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420" tabRatio="783" firstSheet="1"/>
  </bookViews>
  <sheets>
    <sheet name="总投资" sheetId="1" r:id="rId1"/>
    <sheet name="固定资产折旧" sheetId="2" r:id="rId2"/>
    <sheet name="营业收入及税金表" sheetId="3" r:id="rId3"/>
    <sheet name="总成本费用表" sheetId="4" r:id="rId4"/>
    <sheet name="利润及利润分配表" sheetId="5" r:id="rId5"/>
    <sheet name="项目投资现金流量表" sheetId="6" r:id="rId6"/>
    <sheet name="还本付息表" sheetId="7" r:id="rId7"/>
    <sheet name="项目财务现金流量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<sst xmlns="http://schemas.openxmlformats.org/spreadsheetml/2006/main" count="352" uniqueCount="233">
  <si>
    <t>建设投资估算表</t>
  </si>
  <si>
    <t>单位：万元</t>
  </si>
  <si>
    <t>序号</t>
  </si>
  <si>
    <t>工程或费用名称</t>
  </si>
  <si>
    <t>建筑工程费</t>
  </si>
  <si>
    <t>安装工程费</t>
  </si>
  <si>
    <t>设备购置费</t>
  </si>
  <si>
    <t>其他费用</t>
  </si>
  <si>
    <t>合计</t>
  </si>
  <si>
    <t>单位</t>
  </si>
  <si>
    <t>数量</t>
  </si>
  <si>
    <t>综合单价（万元）</t>
  </si>
  <si>
    <t>一</t>
  </si>
  <si>
    <t>工程费用</t>
  </si>
  <si>
    <t>250kw</t>
  </si>
  <si>
    <t>400kw</t>
  </si>
  <si>
    <t>600kw</t>
  </si>
  <si>
    <t>充电桩工程</t>
  </si>
  <si>
    <t>充电桩需求电量</t>
  </si>
  <si>
    <t>泰山路与新兴路交叉口西南角</t>
  </si>
  <si>
    <t>250kw充电桩</t>
  </si>
  <si>
    <t>个</t>
  </si>
  <si>
    <t>江河佳园北门</t>
  </si>
  <si>
    <t>400kw充桩庄</t>
  </si>
  <si>
    <t>绿地国际花都</t>
  </si>
  <si>
    <t>600kw超充桩</t>
  </si>
  <si>
    <t>农信社东门</t>
  </si>
  <si>
    <t>充电桩光伏组件</t>
  </si>
  <si>
    <t>　</t>
  </si>
  <si>
    <t>KW</t>
  </si>
  <si>
    <t>电池储能集装箱</t>
  </si>
  <si>
    <t>KWH</t>
  </si>
  <si>
    <t>电池系统 2000KWH</t>
  </si>
  <si>
    <t>储能变流器</t>
  </si>
  <si>
    <t>集装箱柜体</t>
  </si>
  <si>
    <t>储能EMS</t>
  </si>
  <si>
    <t>附件</t>
  </si>
  <si>
    <t>产业园光伏组件</t>
  </si>
  <si>
    <t>配套电池储能集装箱</t>
  </si>
  <si>
    <t>配套工程</t>
  </si>
  <si>
    <t>2×3150kVA箱变</t>
  </si>
  <si>
    <t>充电桩场地配套设施</t>
  </si>
  <si>
    <t>升压/降压变压器</t>
  </si>
  <si>
    <t>微电网系统</t>
  </si>
  <si>
    <t>10kV联络线（预留）</t>
  </si>
  <si>
    <t>虚拟电厂系统</t>
  </si>
  <si>
    <t>二</t>
  </si>
  <si>
    <t>工程建设其他费用</t>
  </si>
  <si>
    <t>建设管理费</t>
  </si>
  <si>
    <t>建设工程监理费</t>
  </si>
  <si>
    <t>建设项目前期工作咨询费</t>
  </si>
  <si>
    <t>工程勘察费</t>
  </si>
  <si>
    <t>工程设计费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</si>
  <si>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</si>
  <si>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</si>
  <si>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</si>
  <si>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</si>
  <si>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</si>
  <si>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</si>
  <si>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</si>
  <si>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r>
      <rPr>
        <sz val="7"/>
        <color rgb="FF000000"/>
        <rFont val="宋体"/>
        <charset val="134"/>
      </rPr>
      <t>（一</t>
    </r>
    <r>
      <rPr>
        <sz val="7"/>
        <color rgb="FF000000"/>
        <rFont val="Times New Roman"/>
        <charset val="134"/>
      </rPr>
      <t>+</t>
    </r>
    <r>
      <rPr>
        <sz val="7"/>
        <color rgb="FF000000"/>
        <rFont val="宋体"/>
        <charset val="134"/>
      </rPr>
      <t>二）</t>
    </r>
    <r>
      <rPr>
        <sz val="7"/>
        <color rgb="FF000000"/>
        <rFont val="Times New Roman"/>
        <charset val="134"/>
      </rPr>
      <t>*8%</t>
    </r>
  </si>
  <si>
    <t>涨价预备费</t>
  </si>
  <si>
    <t>四</t>
  </si>
  <si>
    <t>建设投资合计</t>
  </si>
  <si>
    <t>比例（%）</t>
  </si>
  <si>
    <t>五</t>
  </si>
  <si>
    <t>建设期利息</t>
  </si>
  <si>
    <t>六</t>
  </si>
  <si>
    <t>固定资产投资</t>
  </si>
  <si>
    <t>八</t>
  </si>
  <si>
    <t>项目总投资</t>
  </si>
  <si>
    <t>固定资产折旧表</t>
  </si>
  <si>
    <t>项目</t>
  </si>
  <si>
    <t>残值率</t>
  </si>
  <si>
    <t>折旧年限</t>
  </si>
  <si>
    <t>运营期</t>
  </si>
  <si>
    <t>附属物及设备折旧</t>
  </si>
  <si>
    <t>原值</t>
  </si>
  <si>
    <t>当期折旧额</t>
  </si>
  <si>
    <t>净值</t>
  </si>
  <si>
    <t>折旧费</t>
  </si>
  <si>
    <t>无形资产摊销</t>
  </si>
  <si>
    <t>营业收入及税金表</t>
  </si>
  <si>
    <t>营业收入</t>
  </si>
  <si>
    <t>（一）</t>
  </si>
  <si>
    <t>光伏收入</t>
  </si>
  <si>
    <t>装机容量</t>
  </si>
  <si>
    <t>衰减值</t>
  </si>
  <si>
    <t>1KW 光伏装机容量平均日发电量</t>
  </si>
  <si>
    <t>年发电天数</t>
  </si>
  <si>
    <t>工商业用电平均电价</t>
  </si>
  <si>
    <t>储能收入</t>
  </si>
  <si>
    <t>1.2.1</t>
  </si>
  <si>
    <t>储能售电价格</t>
  </si>
  <si>
    <t>1.2.2</t>
  </si>
  <si>
    <t>360天一充一放扣能耗（万kwh/n)</t>
  </si>
  <si>
    <t>250kw充电桩收入</t>
  </si>
  <si>
    <t>1.3.1</t>
  </si>
  <si>
    <t>充电桩数量</t>
  </si>
  <si>
    <t>1.3.2</t>
  </si>
  <si>
    <t>充电使用率</t>
  </si>
  <si>
    <t>1.3.3</t>
  </si>
  <si>
    <t>收费标准</t>
  </si>
  <si>
    <t>1.3.4</t>
  </si>
  <si>
    <t>充电桩每小时充电量</t>
  </si>
  <si>
    <t>1.3.5</t>
  </si>
  <si>
    <t>充电小时数</t>
  </si>
  <si>
    <t>1.3.6</t>
  </si>
  <si>
    <t>年运营时间</t>
  </si>
  <si>
    <t>400kw充电桩收入</t>
  </si>
  <si>
    <t>1.5.1</t>
  </si>
  <si>
    <t>1.5.2</t>
  </si>
  <si>
    <t>1.5.3</t>
  </si>
  <si>
    <t>1.5.4</t>
  </si>
  <si>
    <t>1.5.5</t>
  </si>
  <si>
    <t>1.5.6</t>
  </si>
  <si>
    <t>600kw液冷超充桩收入</t>
  </si>
  <si>
    <t>1.6.1</t>
  </si>
  <si>
    <t>1.6.2</t>
  </si>
  <si>
    <t>1.6.3</t>
  </si>
  <si>
    <t>1.6.4</t>
  </si>
  <si>
    <t>1.6.5</t>
  </si>
  <si>
    <t>1.6.6</t>
  </si>
  <si>
    <t>营业税金与附加</t>
  </si>
  <si>
    <t>营业税</t>
  </si>
  <si>
    <t>消费税</t>
  </si>
  <si>
    <t>城市建设维护税</t>
  </si>
  <si>
    <t>教育费附加</t>
  </si>
  <si>
    <t>增值税</t>
  </si>
  <si>
    <t>销项税额</t>
  </si>
  <si>
    <t>进项税额</t>
  </si>
  <si>
    <t>总成本费用表</t>
  </si>
  <si>
    <t>外购燃料及动力费</t>
  </si>
  <si>
    <t>工资及福利费</t>
  </si>
  <si>
    <t>保洁维护费</t>
  </si>
  <si>
    <t>管理费及其他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</si>
  <si>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</si>
  <si>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</si>
  <si>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</si>
  <si>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</si>
  <si>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</si>
  <si>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</si>
  <si>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</si>
  <si>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</si>
  <si>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营业税金及附加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</si>
  <si>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</si>
  <si>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</si>
  <si>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</si>
  <si>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</si>
  <si>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</si>
  <si>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</si>
  <si>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</si>
  <si>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</si>
  <si>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</si>
  <si>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</si>
  <si>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</si>
  <si>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</si>
  <si>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</si>
  <si>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</si>
  <si>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</si>
  <si>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</si>
  <si>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</si>
  <si>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</si>
  <si>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</si>
  <si>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项目投资现金流量表</t>
  </si>
  <si>
    <r>
      <rPr>
        <b/>
        <sz val="8"/>
        <color rgb="FF000000"/>
        <rFont val="宋体"/>
        <charset val="134"/>
      </rPr>
      <t>项</t>
    </r>
    <r>
      <rPr>
        <b/>
        <sz val="8"/>
        <color rgb="FF000000"/>
        <rFont val="宋体"/>
        <charset val="134"/>
      </rPr>
      <t>目</t>
    </r>
  </si>
  <si>
    <t>计算期</t>
  </si>
  <si>
    <t>现金流入</t>
  </si>
  <si>
    <t>留抵退税</t>
  </si>
  <si>
    <t>回收固定资产余值</t>
  </si>
  <si>
    <t>回收流动资金</t>
  </si>
  <si>
    <t>现金流出</t>
  </si>
  <si>
    <t>建设投资</t>
  </si>
  <si>
    <t>流动资金</t>
  </si>
  <si>
    <t>经营成本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</si>
  <si>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</si>
  <si>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</si>
  <si>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</si>
  <si>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</si>
  <si>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</si>
  <si>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</si>
  <si>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</si>
  <si>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</si>
  <si>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</si>
  <si>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</si>
  <si>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</si>
  <si>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r>
      <rPr>
        <sz val="8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）（所得税前）</t>
    </r>
  </si>
  <si>
    <r>
      <rPr>
        <sz val="8"/>
        <color rgb="FF000000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）（所得税后）</t>
    </r>
  </si>
  <si>
    <r>
      <rPr>
        <sz val="8"/>
        <rFont val="宋体"/>
        <charset val="134"/>
      </rPr>
      <t>项目投资财务净现值（所得税前）（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Arial"/>
        <charset val="134"/>
      </rPr>
      <t>5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</si>
  <si>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项目投资财务净现值（所得税后）（</t>
    </r>
    <r>
      <rPr>
        <sz val="8"/>
        <color rgb="FF000000"/>
        <rFont val="Times New Roman"/>
        <charset val="134"/>
      </rPr>
      <t>ic=5%</t>
    </r>
    <r>
      <rPr>
        <sz val="8"/>
        <color rgb="FF000000"/>
        <rFont val="宋体"/>
        <charset val="134"/>
      </rPr>
      <t>）</t>
    </r>
  </si>
  <si>
    <t>项目投资回收期（年）（所得税前）</t>
  </si>
  <si>
    <t>项目投资回收期（年）（所得税后）</t>
  </si>
  <si>
    <t>还本付息表</t>
  </si>
  <si>
    <t>0.5建设期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</si>
  <si>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</si>
  <si>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</si>
  <si>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</si>
  <si>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</si>
  <si>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</si>
  <si>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</si>
  <si>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</si>
  <si>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</si>
  <si>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</si>
  <si>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</si>
  <si>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 xml:space="preserve"> 项目财务现金流量表   </t>
  </si>
  <si>
    <t xml:space="preserve">建设期/运营期
</t>
  </si>
  <si>
    <t>经营活动净现金流量</t>
  </si>
  <si>
    <t>1.1.1</t>
  </si>
  <si>
    <t>1.1.2</t>
  </si>
  <si>
    <t>1.1.3</t>
  </si>
  <si>
    <t>其他流入</t>
  </si>
  <si>
    <t>税金及附加</t>
  </si>
  <si>
    <t>1.2.3</t>
  </si>
  <si>
    <t>1.2.4</t>
  </si>
  <si>
    <t>其他流出</t>
  </si>
  <si>
    <t>投资活动净现金流量</t>
  </si>
  <si>
    <t>2.2.1</t>
  </si>
  <si>
    <t>2.2.2</t>
  </si>
  <si>
    <t>2.2.3</t>
  </si>
  <si>
    <t>2.2.4</t>
  </si>
  <si>
    <t>筹资活动净现金流量</t>
  </si>
  <si>
    <t>3.1.1</t>
  </si>
  <si>
    <t>项目资本金投入</t>
  </si>
  <si>
    <t>3.1.2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</si>
  <si>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</si>
  <si>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</si>
  <si>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</si>
  <si>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</si>
  <si>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</si>
  <si>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</si>
  <si>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</si>
  <si>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净现金流量</t>
  </si>
  <si>
    <t>累计盈余资金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</si>
</sst>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</numFmts>
  <fonts count="58">
    <font>
      <sz val="11"/>
      <name val="宋体"/>
      <charset val="134"/>
    </font>
    <font>
      <b/>
      <sz val="14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8"/>
      <color rgb="FFFF000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Arial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8"/>
      <name val="Arial"/>
      <charset val="134"/>
    </font>
    <font>
      <sz val="8"/>
      <color rgb="FF000000"/>
      <name val="Arial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rgb="FFFF0000"/>
      <name val="宋体"/>
      <charset val="134"/>
    </font>
    <font>
      <b/>
      <sz val="8"/>
      <name val="Times New Roman"/>
      <charset val="134"/>
    </font>
    <font>
      <b/>
      <sz val="7"/>
      <name val="Times New Roman"/>
      <charset val="134"/>
    </font>
    <font>
      <b/>
      <sz val="8"/>
      <color rgb="FFFF0000"/>
      <name val="宋体"/>
      <charset val="134"/>
    </font>
    <font>
      <sz val="7"/>
      <name val="Times New Roman"/>
      <charset val="134"/>
    </font>
    <font>
      <sz val="7"/>
      <name val="宋体"/>
      <charset val="134"/>
    </font>
    <font>
      <sz val="8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" borderId="1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14" applyNumberFormat="0" applyAlignment="0" applyProtection="0">
      <alignment vertical="center"/>
    </xf>
    <xf numFmtId="0" fontId="47" fillId="6" borderId="15" applyNumberFormat="0" applyAlignment="0" applyProtection="0">
      <alignment vertical="center"/>
    </xf>
    <xf numFmtId="0" fontId="48" fillId="6" borderId="14" applyNumberFormat="0" applyAlignment="0" applyProtection="0">
      <alignment vertical="center"/>
    </xf>
    <xf numFmtId="0" fontId="49" fillId="7" borderId="16" applyNumberFormat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</cellStyleXfs>
  <cellXfs count="184"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left" vertical="top" wrapText="1"/>
    </xf>
    <xf numFmtId="176" fontId="11" fillId="0" borderId="1" xfId="0" applyNumberFormat="1" applyFont="1" applyBorder="1" applyAlignment="1">
      <alignment horizontal="left" vertical="top" wrapText="1"/>
    </xf>
    <xf numFmtId="176" fontId="11" fillId="0" borderId="2" xfId="0" applyNumberFormat="1" applyFont="1" applyBorder="1" applyAlignment="1">
      <alignment horizontal="left" vertical="top" wrapText="1"/>
    </xf>
    <xf numFmtId="176" fontId="12" fillId="0" borderId="1" xfId="0" applyNumberFormat="1" applyFont="1" applyBorder="1" applyAlignment="1">
      <alignment horizontal="center" vertical="top" wrapText="1"/>
    </xf>
    <xf numFmtId="177" fontId="12" fillId="0" borderId="4" xfId="0" applyNumberFormat="1" applyFont="1" applyBorder="1" applyAlignment="1">
      <alignment horizontal="center" vertical="top" wrapText="1"/>
    </xf>
    <xf numFmtId="178" fontId="12" fillId="0" borderId="4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left" vertical="top" wrapText="1"/>
    </xf>
    <xf numFmtId="176" fontId="13" fillId="0" borderId="1" xfId="0" applyNumberFormat="1" applyFont="1" applyBorder="1" applyAlignment="1">
      <alignment horizontal="center" vertical="top" wrapText="1"/>
    </xf>
    <xf numFmtId="178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justify" vertical="top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0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76" fontId="15" fillId="0" borderId="2" xfId="0" applyNumberFormat="1" applyFont="1" applyBorder="1" applyAlignment="1">
      <alignment horizontal="center" vertical="top" wrapText="1"/>
    </xf>
    <xf numFmtId="176" fontId="15" fillId="0" borderId="1" xfId="0" applyNumberFormat="1" applyFont="1" applyBorder="1" applyAlignment="1">
      <alignment horizontal="center" vertical="top" wrapText="1"/>
    </xf>
    <xf numFmtId="176" fontId="15" fillId="0" borderId="4" xfId="0" applyNumberFormat="1" applyFont="1" applyBorder="1" applyAlignment="1">
      <alignment horizontal="center" vertical="top" wrapText="1"/>
    </xf>
    <xf numFmtId="176" fontId="16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top" wrapText="1"/>
    </xf>
    <xf numFmtId="0" fontId="19" fillId="0" borderId="0" xfId="0" applyNumberFormat="1" applyFon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20" fillId="0" borderId="4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176" fontId="14" fillId="0" borderId="1" xfId="0" applyNumberFormat="1" applyFont="1" applyBorder="1" applyAlignment="1">
      <alignment horizontal="center" vertical="top" wrapText="1"/>
    </xf>
    <xf numFmtId="176" fontId="1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76" fontId="21" fillId="0" borderId="1" xfId="0" applyNumberFormat="1" applyFont="1" applyBorder="1" applyAlignment="1">
      <alignment horizontal="center" vertical="top" wrapText="1"/>
    </xf>
    <xf numFmtId="176" fontId="22" fillId="0" borderId="1" xfId="0" applyNumberFormat="1" applyFont="1" applyBorder="1" applyAlignment="1">
      <alignment horizontal="center" vertical="top" wrapText="1"/>
    </xf>
    <xf numFmtId="176" fontId="23" fillId="0" borderId="1" xfId="0" applyNumberFormat="1" applyFont="1" applyBorder="1" applyAlignment="1">
      <alignment horizontal="center" vertical="top" wrapText="1"/>
    </xf>
    <xf numFmtId="10" fontId="22" fillId="0" borderId="1" xfId="0" applyNumberFormat="1" applyFont="1" applyBorder="1" applyAlignment="1">
      <alignment horizontal="center" vertical="top" wrapText="1"/>
    </xf>
    <xf numFmtId="10" fontId="15" fillId="0" borderId="1" xfId="0" applyNumberFormat="1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wrapText="1"/>
    </xf>
    <xf numFmtId="10" fontId="23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177" fontId="14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center" vertical="top" wrapText="1"/>
    </xf>
    <xf numFmtId="177" fontId="15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9" fontId="25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8" fontId="15" fillId="0" borderId="4" xfId="0" applyNumberFormat="1" applyFont="1" applyBorder="1" applyAlignment="1">
      <alignment horizontal="center" vertical="top" wrapText="1"/>
    </xf>
    <xf numFmtId="177" fontId="13" fillId="0" borderId="4" xfId="0" applyNumberFormat="1" applyFont="1" applyBorder="1" applyAlignment="1">
      <alignment horizontal="center" vertical="top" wrapText="1"/>
    </xf>
    <xf numFmtId="176" fontId="15" fillId="0" borderId="1" xfId="0" applyNumberFormat="1" applyFont="1" applyBorder="1" applyAlignment="1">
      <alignment horizontal="left" vertical="top" wrapText="1"/>
    </xf>
    <xf numFmtId="177" fontId="15" fillId="0" borderId="4" xfId="0" applyNumberFormat="1" applyFont="1" applyBorder="1" applyAlignment="1">
      <alignment horizontal="center" vertical="top" wrapText="1"/>
    </xf>
    <xf numFmtId="176" fontId="13" fillId="0" borderId="4" xfId="0" applyNumberFormat="1" applyFont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176" fontId="26" fillId="0" borderId="0" xfId="0" applyNumberFormat="1" applyFont="1" applyAlignment="1">
      <alignment horizontal="center" vertical="top" wrapText="1"/>
    </xf>
    <xf numFmtId="0" fontId="28" fillId="0" borderId="0" xfId="0" applyFont="1" applyAlignment="1">
      <alignment horizontal="right" vertical="top" wrapText="1"/>
    </xf>
    <xf numFmtId="0" fontId="29" fillId="0" borderId="0" xfId="0" applyFont="1" applyAlignment="1">
      <alignment horizontal="right" vertical="top" wrapText="1"/>
    </xf>
    <xf numFmtId="176" fontId="28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76" fontId="31" fillId="0" borderId="1" xfId="0" applyNumberFormat="1" applyFont="1" applyBorder="1" applyAlignment="1">
      <alignment horizontal="center" vertical="top" wrapText="1"/>
    </xf>
    <xf numFmtId="10" fontId="32" fillId="0" borderId="2" xfId="0" applyNumberFormat="1" applyFont="1" applyBorder="1" applyAlignment="1">
      <alignment horizontal="center" vertical="top" wrapText="1"/>
    </xf>
    <xf numFmtId="10" fontId="32" fillId="0" borderId="8" xfId="0" applyNumberFormat="1" applyFont="1" applyBorder="1" applyAlignment="1">
      <alignment horizontal="center" vertical="top" wrapText="1"/>
    </xf>
    <xf numFmtId="176" fontId="32" fillId="0" borderId="9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9" fontId="10" fillId="3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0" fontId="32" fillId="0" borderId="1" xfId="0" applyNumberFormat="1" applyFont="1" applyBorder="1" applyAlignment="1">
      <alignment horizontal="center" vertical="top" wrapText="1"/>
    </xf>
    <xf numFmtId="176" fontId="32" fillId="0" borderId="1" xfId="0" applyNumberFormat="1" applyFont="1" applyBorder="1" applyAlignment="1">
      <alignment horizontal="center" vertical="top" wrapText="1"/>
    </xf>
    <xf numFmtId="179" fontId="12" fillId="0" borderId="0" xfId="0" applyNumberFormat="1" applyFont="1">
      <alignment vertical="center"/>
    </xf>
    <xf numFmtId="179" fontId="33" fillId="0" borderId="0" xfId="0" applyNumberFormat="1" applyFont="1">
      <alignment vertical="center"/>
    </xf>
    <xf numFmtId="10" fontId="34" fillId="0" borderId="1" xfId="0" applyNumberFormat="1" applyFont="1" applyBorder="1" applyAlignment="1">
      <alignment horizontal="center" vertical="top" wrapText="1"/>
    </xf>
    <xf numFmtId="179" fontId="13" fillId="0" borderId="0" xfId="0" applyNumberFormat="1" applyFont="1">
      <alignment vertical="center"/>
    </xf>
    <xf numFmtId="179" fontId="17" fillId="0" borderId="0" xfId="0" applyNumberFormat="1" applyFont="1">
      <alignment vertical="center"/>
    </xf>
    <xf numFmtId="176" fontId="34" fillId="0" borderId="1" xfId="0" applyNumberFormat="1" applyFont="1" applyBorder="1" applyAlignment="1">
      <alignment horizontal="center" vertical="top" wrapText="1"/>
    </xf>
    <xf numFmtId="176" fontId="35" fillId="0" borderId="2" xfId="0" applyNumberFormat="1" applyFont="1" applyBorder="1" applyAlignment="1">
      <alignment horizontal="center" vertical="top" wrapText="1"/>
    </xf>
    <xf numFmtId="176" fontId="34" fillId="0" borderId="8" xfId="0" applyNumberFormat="1" applyFont="1" applyBorder="1" applyAlignment="1">
      <alignment horizontal="center" vertical="top" wrapText="1"/>
    </xf>
    <xf numFmtId="176" fontId="34" fillId="0" borderId="9" xfId="0" applyNumberFormat="1" applyFont="1" applyBorder="1" applyAlignment="1">
      <alignment horizontal="center" vertical="top" wrapText="1"/>
    </xf>
    <xf numFmtId="176" fontId="35" fillId="0" borderId="2" xfId="0" applyNumberFormat="1" applyFont="1" applyBorder="1" applyAlignment="1">
      <alignment horizontal="center" vertical="center" wrapText="1"/>
    </xf>
    <xf numFmtId="176" fontId="35" fillId="0" borderId="8" xfId="0" applyNumberFormat="1" applyFont="1" applyBorder="1" applyAlignment="1">
      <alignment horizontal="center" vertical="center" wrapText="1"/>
    </xf>
    <xf numFmtId="176" fontId="35" fillId="0" borderId="9" xfId="0" applyNumberFormat="1" applyFont="1" applyBorder="1" applyAlignment="1">
      <alignment horizontal="left" vertical="center" wrapText="1"/>
    </xf>
    <xf numFmtId="176" fontId="35" fillId="0" borderId="9" xfId="0" applyNumberFormat="1" applyFont="1" applyBorder="1" applyAlignment="1">
      <alignment horizontal="center" vertical="center" wrapText="1"/>
    </xf>
    <xf numFmtId="176" fontId="35" fillId="0" borderId="8" xfId="0" applyNumberFormat="1" applyFont="1" applyBorder="1" applyAlignment="1">
      <alignment horizontal="center" vertical="top" wrapText="1"/>
    </xf>
    <xf numFmtId="176" fontId="35" fillId="0" borderId="9" xfId="0" applyNumberFormat="1" applyFont="1" applyBorder="1" applyAlignment="1">
      <alignment horizontal="left" vertical="top" wrapText="1"/>
    </xf>
    <xf numFmtId="176" fontId="4" fillId="0" borderId="2" xfId="0" applyNumberFormat="1" applyFont="1" applyFill="1" applyBorder="1" applyAlignment="1">
      <alignment horizontal="center" vertical="top" wrapText="1"/>
    </xf>
    <xf numFmtId="176" fontId="35" fillId="0" borderId="8" xfId="0" applyNumberFormat="1" applyFont="1" applyFill="1" applyBorder="1" applyAlignment="1">
      <alignment horizontal="center" vertical="top" wrapText="1"/>
    </xf>
    <xf numFmtId="176" fontId="35" fillId="0" borderId="9" xfId="0" applyNumberFormat="1" applyFont="1" applyFill="1" applyBorder="1" applyAlignment="1">
      <alignment horizontal="center" vertical="top" wrapText="1"/>
    </xf>
    <xf numFmtId="176" fontId="35" fillId="0" borderId="9" xfId="0" applyNumberFormat="1" applyFont="1" applyBorder="1" applyAlignment="1">
      <alignment horizontal="center" vertical="top" wrapText="1"/>
    </xf>
    <xf numFmtId="9" fontId="16" fillId="0" borderId="1" xfId="0" applyNumberFormat="1" applyFont="1" applyBorder="1" applyAlignment="1">
      <alignment horizontal="center" vertical="top" wrapText="1"/>
    </xf>
    <xf numFmtId="176" fontId="34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176" fontId="36" fillId="0" borderId="0" xfId="0" applyNumberFormat="1" applyFont="1" applyAlignment="1">
      <alignment horizontal="center" vertical="top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515" dbFileVersion="0">
    <open main="62" threadCnt="1"/>
    <sheetInfos>
      <sheetInfo cellCmpFml="79" sheetStid="1">
        <open main="2" threadCnt="1"/>
      </sheetInfo>
      <sheetInfo cellCmpFml="9" sheetStid="2">
        <open threadCnt="1"/>
      </sheetInfo>
      <sheetInfo cellCmpFml="75" sheetStid="3">
        <open main="2" threadCnt="1"/>
      </sheetInfo>
      <sheetInfo cellCmpFml="49" sheetStid="4">
        <open threadCnt="1"/>
      </sheetInfo>
      <sheetInfo cellCmpFml="81" sheetStid="5">
        <open main="1" threadCnt="1"/>
      </sheetInfo>
      <sheetInfo cellCmpFml="98" sheetStid="6">
        <open main="1" threadCnt="1"/>
      </sheetInfo>
      <sheetInfo cellCmpFml="34" sheetStid="7">
        <open threadCnt="1"/>
      </sheetInfo>
      <sheetInfo cellCmpFml="85" sheetStid="8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woinfos" Target="woinfos.xml"/><Relationship Id="rId13" Type="http://schemas.openxmlformats.org/officeDocument/2006/relationships/styles" Target="styles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zoomScale="120" zoomScaleNormal="120" workbookViewId="0">
      <pane xSplit="1" ySplit="3" topLeftCell="B4" activePane="bottomRight" state="frozen"/>
      <selection/>
      <selection pane="topRight"/>
      <selection pane="bottomLeft"/>
      <selection pane="bottomRight" activeCell="F41" sqref="F41"/>
    </sheetView>
  </sheetViews>
  <sheetFormatPr defaultColWidth="8.63333333333333" defaultRowHeight="13.5"/>
  <cols>
    <col min="1" max="1" width="6.3" style="56" customWidth="1"/>
    <col min="2" max="2" width="18.75" style="56" customWidth="1"/>
    <col min="3" max="3" width="10.5" style="56" customWidth="1"/>
    <col min="4" max="6" width="9.25" style="56" customWidth="1"/>
    <col min="7" max="7" width="10.5" style="56" customWidth="1"/>
    <col min="8" max="8" width="5.5" style="119" customWidth="1"/>
    <col min="9" max="9" width="9.86666666666667" style="56" customWidth="1"/>
    <col min="10" max="10" width="10.3666666666667" style="120" customWidth="1"/>
    <col min="11" max="11" width="6.66666666666667" style="81" customWidth="1"/>
    <col min="12" max="12" width="15.275" style="105" customWidth="1"/>
    <col min="13" max="13" width="21.9416666666667" style="105" customWidth="1"/>
    <col min="14" max="26" width="8.63333333333333" style="81"/>
  </cols>
  <sheetData>
    <row r="1" ht="23.25" customHeight="1" spans="1:16">
      <c r="A1" s="121" t="s">
        <v>0</v>
      </c>
      <c r="B1" s="121"/>
      <c r="C1" s="121"/>
      <c r="D1" s="121"/>
      <c r="E1" s="121"/>
      <c r="F1" s="121"/>
      <c r="G1" s="121"/>
      <c r="H1" s="122"/>
      <c r="I1" s="121"/>
      <c r="J1" s="123"/>
    </row>
    <row r="2" ht="20.1" customHeight="1" spans="1:16">
      <c r="A2" s="124" t="s">
        <v>1</v>
      </c>
      <c r="B2" s="124"/>
      <c r="C2" s="124"/>
      <c r="D2" s="124"/>
      <c r="E2" s="124"/>
      <c r="F2" s="124"/>
      <c r="G2" s="124"/>
      <c r="H2" s="125"/>
      <c r="I2" s="124"/>
      <c r="J2" s="126"/>
    </row>
    <row r="3" s="117" customFormat="1" ht="27.4" customHeight="1" spans="1:16">
      <c r="A3" s="127" t="s">
        <v>2</v>
      </c>
      <c r="B3" s="127" t="s">
        <v>3</v>
      </c>
      <c r="C3" s="127" t="s">
        <v>4</v>
      </c>
      <c r="D3" s="127" t="s">
        <v>5</v>
      </c>
      <c r="E3" s="127" t="s">
        <v>6</v>
      </c>
      <c r="F3" s="127" t="s">
        <v>7</v>
      </c>
      <c r="G3" s="127" t="s">
        <v>8</v>
      </c>
      <c r="H3" s="127" t="s">
        <v>9</v>
      </c>
      <c r="I3" s="127" t="s">
        <v>10</v>
      </c>
      <c r="J3" s="128" t="s">
        <v>11</v>
      </c>
      <c r="L3" s="129"/>
      <c r="M3" s="129"/>
    </row>
    <row r="4" ht="12" customHeight="1" spans="1:16">
      <c r="A4" s="47" t="s">
        <v>12</v>
      </c>
      <c r="B4" s="86" t="s">
        <v>13</v>
      </c>
      <c r="C4" s="130">
        <f>C5+C9+C10+C16+C23</f>
        <v>0</v>
      </c>
      <c r="D4" s="130">
        <f>D5+D9+D10+D16+D23</f>
        <v>756</v>
      </c>
      <c r="E4" s="130">
        <f>E5+E9+E10+E16+E23</f>
        <v>5478</v>
      </c>
      <c r="F4" s="130"/>
      <c r="G4" s="130">
        <f>C4+D4+E4+F4</f>
        <v>6234</v>
      </c>
      <c r="H4" s="131">
        <f>G4/G47</f>
        <v>0.877914846281927</v>
      </c>
      <c r="I4" s="132"/>
      <c r="J4" s="133"/>
      <c r="N4" s="32" t="s">
        <v>14</v>
      </c>
      <c r="O4" s="32" t="s">
        <v>15</v>
      </c>
      <c r="P4" s="32" t="s">
        <v>16</v>
      </c>
    </row>
    <row r="5" s="76" customFormat="1" spans="1:16">
      <c r="A5" s="134">
        <v>1</v>
      </c>
      <c r="B5" s="134" t="s">
        <v>17</v>
      </c>
      <c r="C5" s="134"/>
      <c r="D5" s="134"/>
      <c r="E5" s="134">
        <f>SUM(E6:E8)</f>
        <v>1110</v>
      </c>
      <c r="F5" s="134"/>
      <c r="G5" s="134">
        <f t="shared" ref="G5:G11" si="0">SUM(C5:F5)</f>
        <v>1110</v>
      </c>
      <c r="H5" s="135"/>
      <c r="I5" s="136">
        <f>SUM(I6:I8)</f>
        <v>39</v>
      </c>
      <c r="J5" s="137"/>
      <c r="K5" s="138"/>
      <c r="L5" s="139" t="s">
        <v>18</v>
      </c>
      <c r="M5" s="140" t="s">
        <v>19</v>
      </c>
      <c r="N5" s="141">
        <v>5</v>
      </c>
      <c r="O5" s="141">
        <v>10</v>
      </c>
      <c r="P5" s="141">
        <v>2</v>
      </c>
    </row>
    <row r="6" s="118" customFormat="1" spans="1:16">
      <c r="A6" s="134">
        <f>A5+0.1</f>
        <v>1.1</v>
      </c>
      <c r="B6" s="142" t="s">
        <v>20</v>
      </c>
      <c r="C6" s="88"/>
      <c r="D6" s="88"/>
      <c r="E6" s="143">
        <f>I6*J6</f>
        <v>500</v>
      </c>
      <c r="F6" s="88"/>
      <c r="G6" s="143">
        <f t="shared" si="0"/>
        <v>500</v>
      </c>
      <c r="H6" s="144" t="s">
        <v>21</v>
      </c>
      <c r="I6" s="144">
        <v>25</v>
      </c>
      <c r="J6" s="144">
        <v>20</v>
      </c>
      <c r="K6" s="145"/>
      <c r="L6" s="139">
        <f>I6*250*0.6*360</f>
        <v>1350000</v>
      </c>
      <c r="M6" s="140" t="s">
        <v>22</v>
      </c>
      <c r="N6" s="146">
        <v>5</v>
      </c>
      <c r="O6" s="146"/>
      <c r="P6" s="146"/>
    </row>
    <row r="7" s="76" customFormat="1" spans="1:16">
      <c r="A7" s="134">
        <f>A6+0.1</f>
        <v>1.2</v>
      </c>
      <c r="B7" s="47" t="s">
        <v>23</v>
      </c>
      <c r="C7" s="130"/>
      <c r="D7" s="130"/>
      <c r="E7" s="143">
        <f>I7*J7</f>
        <v>350</v>
      </c>
      <c r="F7" s="130"/>
      <c r="G7" s="143">
        <f t="shared" si="0"/>
        <v>350</v>
      </c>
      <c r="H7" s="144"/>
      <c r="I7" s="144">
        <v>10</v>
      </c>
      <c r="J7" s="144">
        <v>35</v>
      </c>
      <c r="K7" s="147"/>
      <c r="L7" s="139">
        <f>I7*2*400*2.5*360</f>
        <v>7200000</v>
      </c>
      <c r="M7" s="140" t="s">
        <v>24</v>
      </c>
      <c r="N7" s="141">
        <v>10</v>
      </c>
      <c r="O7" s="141"/>
      <c r="P7" s="141"/>
    </row>
    <row r="8" s="76" customFormat="1" spans="1:16">
      <c r="A8" s="134">
        <f>A7+0.1</f>
        <v>1.3</v>
      </c>
      <c r="B8" s="47" t="s">
        <v>25</v>
      </c>
      <c r="C8" s="130"/>
      <c r="D8" s="130"/>
      <c r="E8" s="143">
        <f>I8*J8</f>
        <v>260</v>
      </c>
      <c r="F8" s="130"/>
      <c r="G8" s="143">
        <f t="shared" si="0"/>
        <v>260</v>
      </c>
      <c r="H8" s="144" t="s">
        <v>21</v>
      </c>
      <c r="I8" s="144">
        <v>4</v>
      </c>
      <c r="J8" s="144">
        <v>65</v>
      </c>
      <c r="K8" s="147"/>
      <c r="L8" s="139">
        <f>I8*2*600*2*360</f>
        <v>3456000</v>
      </c>
      <c r="M8" s="140" t="s">
        <v>26</v>
      </c>
      <c r="N8" s="141">
        <v>5</v>
      </c>
      <c r="O8" s="141"/>
      <c r="P8" s="141">
        <v>2</v>
      </c>
    </row>
    <row r="9" s="76" customFormat="1" spans="1:16">
      <c r="A9" s="134">
        <v>2</v>
      </c>
      <c r="B9" s="134" t="s">
        <v>27</v>
      </c>
      <c r="C9" s="134"/>
      <c r="D9" s="87">
        <f>I9*J9*0.2</f>
        <v>108</v>
      </c>
      <c r="E9" s="87">
        <f>I9*J9*0.8</f>
        <v>432</v>
      </c>
      <c r="F9" s="134" t="s">
        <v>28</v>
      </c>
      <c r="G9" s="87">
        <f t="shared" si="0"/>
        <v>540</v>
      </c>
      <c r="H9" s="135" t="s">
        <v>29</v>
      </c>
      <c r="I9" s="148">
        <v>2000</v>
      </c>
      <c r="J9" s="149">
        <v>0.27</v>
      </c>
      <c r="K9" s="118"/>
      <c r="L9" s="150"/>
      <c r="M9" s="150"/>
      <c r="N9" s="141">
        <f>SUM(N5:N8)</f>
        <v>25</v>
      </c>
      <c r="O9" s="141">
        <f>SUM(O5:O8)</f>
        <v>10</v>
      </c>
      <c r="P9" s="141">
        <f>SUM(P5:P8)</f>
        <v>4</v>
      </c>
    </row>
    <row r="10" s="76" customFormat="1" spans="1:16">
      <c r="A10" s="134">
        <v>3</v>
      </c>
      <c r="B10" s="134" t="s">
        <v>30</v>
      </c>
      <c r="C10" s="134"/>
      <c r="D10" s="134"/>
      <c r="E10" s="134">
        <f>SUM(E11:E15)</f>
        <v>349</v>
      </c>
      <c r="F10" s="134"/>
      <c r="G10" s="134">
        <f t="shared" si="0"/>
        <v>349</v>
      </c>
      <c r="H10" s="135" t="s">
        <v>31</v>
      </c>
      <c r="I10" s="151">
        <v>4000</v>
      </c>
      <c r="J10" s="149">
        <f>G10/I10</f>
        <v>0.08725</v>
      </c>
      <c r="L10" s="152"/>
      <c r="M10" s="152"/>
    </row>
    <row r="11" s="76" customFormat="1" spans="1:16">
      <c r="A11" s="142">
        <f>A10+0.1</f>
        <v>3.1</v>
      </c>
      <c r="B11" s="142" t="s">
        <v>32</v>
      </c>
      <c r="C11" s="142" t="s">
        <v>28</v>
      </c>
      <c r="D11" s="142" t="s">
        <v>28</v>
      </c>
      <c r="E11" s="142">
        <f>I11*J11</f>
        <v>257</v>
      </c>
      <c r="F11" s="142" t="s">
        <v>28</v>
      </c>
      <c r="G11" s="142">
        <f t="shared" si="0"/>
        <v>257</v>
      </c>
      <c r="H11" s="104" t="s">
        <v>21</v>
      </c>
      <c r="I11" s="153">
        <v>2</v>
      </c>
      <c r="J11" s="154">
        <v>128.5</v>
      </c>
      <c r="L11" s="150"/>
      <c r="M11" s="152"/>
    </row>
    <row r="12" s="76" customFormat="1" spans="1:16">
      <c r="A12" s="142">
        <f>A11+0.1</f>
        <v>3.2</v>
      </c>
      <c r="B12" s="142" t="s">
        <v>33</v>
      </c>
      <c r="C12" s="142" t="s">
        <v>28</v>
      </c>
      <c r="D12" s="142" t="s">
        <v>28</v>
      </c>
      <c r="E12" s="142">
        <f>I12*J12</f>
        <v>30</v>
      </c>
      <c r="F12" s="142" t="s">
        <v>28</v>
      </c>
      <c r="G12" s="142">
        <f t="shared" ref="G12:G29" si="1">SUM(C12:F12)</f>
        <v>30</v>
      </c>
      <c r="H12" s="104" t="s">
        <v>21</v>
      </c>
      <c r="I12" s="153">
        <f>I11</f>
        <v>2</v>
      </c>
      <c r="J12" s="154">
        <v>15</v>
      </c>
      <c r="L12" s="150"/>
      <c r="M12" s="152"/>
    </row>
    <row r="13" s="76" customFormat="1" spans="1:16">
      <c r="A13" s="142">
        <f t="shared" ref="A13:A22" si="2">A12+0.1</f>
        <v>3.3</v>
      </c>
      <c r="B13" s="142" t="s">
        <v>34</v>
      </c>
      <c r="C13" s="142" t="s">
        <v>28</v>
      </c>
      <c r="D13" s="142" t="s">
        <v>28</v>
      </c>
      <c r="E13" s="142">
        <f t="shared" ref="E13:E22" si="3">I13*J13</f>
        <v>16</v>
      </c>
      <c r="F13" s="142" t="s">
        <v>28</v>
      </c>
      <c r="G13" s="142">
        <f t="shared" si="1"/>
        <v>16</v>
      </c>
      <c r="H13" s="104" t="s">
        <v>21</v>
      </c>
      <c r="I13" s="153">
        <f>I12</f>
        <v>2</v>
      </c>
      <c r="J13" s="154">
        <v>8</v>
      </c>
      <c r="L13" s="150"/>
      <c r="M13" s="152"/>
    </row>
    <row r="14" s="76" customFormat="1" spans="1:16">
      <c r="A14" s="142">
        <f t="shared" si="2"/>
        <v>3.4</v>
      </c>
      <c r="B14" s="142" t="s">
        <v>35</v>
      </c>
      <c r="C14" s="142" t="s">
        <v>28</v>
      </c>
      <c r="D14" s="142" t="s">
        <v>28</v>
      </c>
      <c r="E14" s="142">
        <f t="shared" si="3"/>
        <v>30</v>
      </c>
      <c r="F14" s="142" t="s">
        <v>28</v>
      </c>
      <c r="G14" s="142">
        <f t="shared" si="1"/>
        <v>30</v>
      </c>
      <c r="H14" s="104" t="s">
        <v>21</v>
      </c>
      <c r="I14" s="153">
        <f t="shared" ref="I14:I22" si="4">I13</f>
        <v>2</v>
      </c>
      <c r="J14" s="154">
        <v>15</v>
      </c>
      <c r="L14" s="150"/>
      <c r="M14" s="152"/>
    </row>
    <row r="15" s="76" customFormat="1" spans="1:16">
      <c r="A15" s="142">
        <f t="shared" si="2"/>
        <v>3.5</v>
      </c>
      <c r="B15" s="142" t="s">
        <v>36</v>
      </c>
      <c r="C15" s="142" t="s">
        <v>28</v>
      </c>
      <c r="D15" s="142" t="s">
        <v>28</v>
      </c>
      <c r="E15" s="142">
        <f t="shared" si="3"/>
        <v>16</v>
      </c>
      <c r="F15" s="142" t="s">
        <v>28</v>
      </c>
      <c r="G15" s="142">
        <f t="shared" si="1"/>
        <v>16</v>
      </c>
      <c r="H15" s="104" t="s">
        <v>21</v>
      </c>
      <c r="I15" s="153">
        <f t="shared" si="4"/>
        <v>2</v>
      </c>
      <c r="J15" s="154">
        <v>8</v>
      </c>
      <c r="L15" s="150"/>
      <c r="M15" s="152"/>
    </row>
    <row r="16" s="76" customFormat="1" spans="1:16">
      <c r="A16" s="134">
        <v>4</v>
      </c>
      <c r="B16" s="134" t="s">
        <v>37</v>
      </c>
      <c r="C16" s="134">
        <v>0</v>
      </c>
      <c r="D16" s="134">
        <f>I16*J16*0.2</f>
        <v>648</v>
      </c>
      <c r="E16" s="134">
        <f>I16*J16*0.8</f>
        <v>2592</v>
      </c>
      <c r="F16" s="134"/>
      <c r="G16" s="134">
        <f t="shared" si="1"/>
        <v>3240</v>
      </c>
      <c r="H16" s="135" t="s">
        <v>29</v>
      </c>
      <c r="I16" s="136">
        <v>12000</v>
      </c>
      <c r="J16" s="137">
        <v>0.27</v>
      </c>
      <c r="L16" s="79"/>
      <c r="M16" s="79"/>
    </row>
    <row r="17" s="76" customFormat="1" spans="1:13">
      <c r="A17" s="134">
        <v>5</v>
      </c>
      <c r="B17" s="134" t="s">
        <v>38</v>
      </c>
      <c r="C17" s="134"/>
      <c r="D17" s="134"/>
      <c r="E17" s="134">
        <f>SUM(E18:E22)</f>
        <v>1396</v>
      </c>
      <c r="F17" s="134"/>
      <c r="G17" s="134">
        <f t="shared" si="1"/>
        <v>1396</v>
      </c>
      <c r="H17" s="135" t="s">
        <v>31</v>
      </c>
      <c r="I17" s="151">
        <v>16000</v>
      </c>
      <c r="J17" s="149">
        <f>G17/I17</f>
        <v>0.08725</v>
      </c>
      <c r="L17" s="79"/>
      <c r="M17" s="79"/>
    </row>
    <row r="18" s="76" customFormat="1" spans="1:13">
      <c r="A18" s="142">
        <f t="shared" si="2"/>
        <v>5.1</v>
      </c>
      <c r="B18" s="142" t="s">
        <v>32</v>
      </c>
      <c r="C18" s="142" t="s">
        <v>28</v>
      </c>
      <c r="D18" s="142" t="s">
        <v>28</v>
      </c>
      <c r="E18" s="142">
        <f t="shared" si="3"/>
        <v>1028</v>
      </c>
      <c r="F18" s="142" t="s">
        <v>28</v>
      </c>
      <c r="G18" s="142">
        <f t="shared" si="1"/>
        <v>1028</v>
      </c>
      <c r="H18" s="104" t="s">
        <v>21</v>
      </c>
      <c r="I18" s="153">
        <v>8</v>
      </c>
      <c r="J18" s="154">
        <v>128.5</v>
      </c>
      <c r="L18" s="79"/>
      <c r="M18" s="79"/>
    </row>
    <row r="19" s="76" customFormat="1" spans="1:13">
      <c r="A19" s="142">
        <f t="shared" si="2"/>
        <v>5.2</v>
      </c>
      <c r="B19" s="142" t="s">
        <v>33</v>
      </c>
      <c r="C19" s="142" t="s">
        <v>28</v>
      </c>
      <c r="D19" s="142" t="s">
        <v>28</v>
      </c>
      <c r="E19" s="142">
        <f t="shared" si="3"/>
        <v>120</v>
      </c>
      <c r="F19" s="142" t="s">
        <v>28</v>
      </c>
      <c r="G19" s="142">
        <f t="shared" si="1"/>
        <v>120</v>
      </c>
      <c r="H19" s="104" t="s">
        <v>21</v>
      </c>
      <c r="I19" s="153">
        <f t="shared" si="4"/>
        <v>8</v>
      </c>
      <c r="J19" s="154">
        <v>15</v>
      </c>
      <c r="L19" s="79"/>
      <c r="M19" s="79"/>
    </row>
    <row r="20" s="76" customFormat="1" spans="1:13">
      <c r="A20" s="142">
        <f t="shared" si="2"/>
        <v>5.3</v>
      </c>
      <c r="B20" s="142" t="s">
        <v>34</v>
      </c>
      <c r="C20" s="142" t="s">
        <v>28</v>
      </c>
      <c r="D20" s="142" t="s">
        <v>28</v>
      </c>
      <c r="E20" s="142">
        <f t="shared" si="3"/>
        <v>64</v>
      </c>
      <c r="F20" s="142" t="s">
        <v>28</v>
      </c>
      <c r="G20" s="142">
        <f t="shared" si="1"/>
        <v>64</v>
      </c>
      <c r="H20" s="104" t="s">
        <v>21</v>
      </c>
      <c r="I20" s="153">
        <f t="shared" si="4"/>
        <v>8</v>
      </c>
      <c r="J20" s="154">
        <v>8</v>
      </c>
      <c r="L20" s="79"/>
      <c r="M20" s="79"/>
    </row>
    <row r="21" s="76" customFormat="1" spans="1:13">
      <c r="A21" s="142">
        <f t="shared" si="2"/>
        <v>5.4</v>
      </c>
      <c r="B21" s="142" t="s">
        <v>35</v>
      </c>
      <c r="C21" s="142" t="s">
        <v>28</v>
      </c>
      <c r="D21" s="142" t="s">
        <v>28</v>
      </c>
      <c r="E21" s="142">
        <f t="shared" si="3"/>
        <v>120</v>
      </c>
      <c r="F21" s="142" t="s">
        <v>28</v>
      </c>
      <c r="G21" s="142">
        <f t="shared" si="1"/>
        <v>120</v>
      </c>
      <c r="H21" s="104" t="s">
        <v>21</v>
      </c>
      <c r="I21" s="153">
        <f t="shared" si="4"/>
        <v>8</v>
      </c>
      <c r="J21" s="154">
        <v>15</v>
      </c>
      <c r="L21" s="79"/>
      <c r="M21" s="79"/>
    </row>
    <row r="22" s="76" customFormat="1" spans="1:13">
      <c r="A22" s="142">
        <f t="shared" si="2"/>
        <v>5.5</v>
      </c>
      <c r="B22" s="142" t="s">
        <v>36</v>
      </c>
      <c r="C22" s="142" t="s">
        <v>28</v>
      </c>
      <c r="D22" s="142" t="s">
        <v>28</v>
      </c>
      <c r="E22" s="142">
        <f t="shared" si="3"/>
        <v>64</v>
      </c>
      <c r="F22" s="142" t="s">
        <v>28</v>
      </c>
      <c r="G22" s="142">
        <f t="shared" si="1"/>
        <v>64</v>
      </c>
      <c r="H22" s="155" t="s">
        <v>21</v>
      </c>
      <c r="I22" s="156">
        <f t="shared" si="4"/>
        <v>8</v>
      </c>
      <c r="J22" s="157">
        <v>8</v>
      </c>
      <c r="L22" s="79"/>
      <c r="M22" s="79"/>
    </row>
    <row r="23" s="76" customFormat="1" ht="14.1" customHeight="1" spans="1:13">
      <c r="A23" s="86">
        <v>6</v>
      </c>
      <c r="B23" s="86" t="s">
        <v>39</v>
      </c>
      <c r="C23" s="130"/>
      <c r="D23" s="130"/>
      <c r="E23" s="130">
        <f>SUM(E24:E28)</f>
        <v>995</v>
      </c>
      <c r="F23" s="130"/>
      <c r="G23" s="134">
        <f t="shared" si="1"/>
        <v>995</v>
      </c>
      <c r="H23" s="158"/>
      <c r="I23" s="158"/>
      <c r="J23" s="159"/>
      <c r="K23" s="160"/>
      <c r="L23" s="161"/>
      <c r="M23" s="152"/>
    </row>
    <row r="24" s="118" customFormat="1" ht="14.1" customHeight="1" spans="1:13">
      <c r="A24" s="47">
        <v>1</v>
      </c>
      <c r="B24" s="142" t="s">
        <v>40</v>
      </c>
      <c r="C24" s="142"/>
      <c r="D24" s="142"/>
      <c r="E24" s="142">
        <v>35</v>
      </c>
      <c r="F24" s="68"/>
      <c r="G24" s="142">
        <f t="shared" si="1"/>
        <v>35</v>
      </c>
      <c r="H24" s="162"/>
      <c r="I24" s="156"/>
      <c r="J24" s="156"/>
      <c r="K24" s="163"/>
      <c r="L24" s="164"/>
      <c r="M24" s="150"/>
    </row>
    <row r="25" s="118" customFormat="1" ht="14.1" customHeight="1" spans="1:13">
      <c r="A25" s="47">
        <v>2</v>
      </c>
      <c r="B25" s="47" t="s">
        <v>41</v>
      </c>
      <c r="C25" s="68"/>
      <c r="D25" s="68"/>
      <c r="E25" s="68">
        <v>80</v>
      </c>
      <c r="F25" s="68"/>
      <c r="G25" s="142">
        <f t="shared" si="1"/>
        <v>80</v>
      </c>
      <c r="H25" s="162"/>
      <c r="I25" s="156"/>
      <c r="J25" s="156"/>
      <c r="K25" s="163"/>
      <c r="L25" s="164"/>
      <c r="M25" s="150"/>
    </row>
    <row r="26" s="118" customFormat="1" ht="14.1" customHeight="1" spans="1:13">
      <c r="A26" s="47">
        <v>3</v>
      </c>
      <c r="B26" s="47" t="s">
        <v>42</v>
      </c>
      <c r="C26" s="68"/>
      <c r="D26" s="68"/>
      <c r="E26" s="68">
        <f>I26*J26</f>
        <v>270</v>
      </c>
      <c r="F26" s="68"/>
      <c r="G26" s="142">
        <f t="shared" si="1"/>
        <v>270</v>
      </c>
      <c r="H26" s="162"/>
      <c r="I26" s="156">
        <v>6</v>
      </c>
      <c r="J26" s="156">
        <v>45</v>
      </c>
      <c r="K26" s="163"/>
      <c r="L26" s="164"/>
      <c r="M26" s="150"/>
    </row>
    <row r="27" s="118" customFormat="1" ht="14.1" customHeight="1" spans="1:13">
      <c r="A27" s="47">
        <v>4</v>
      </c>
      <c r="B27" s="47" t="s">
        <v>43</v>
      </c>
      <c r="C27" s="68"/>
      <c r="D27" s="68"/>
      <c r="E27" s="68">
        <v>250</v>
      </c>
      <c r="F27" s="68"/>
      <c r="G27" s="142">
        <f t="shared" si="1"/>
        <v>250</v>
      </c>
      <c r="H27" s="162"/>
      <c r="I27" s="156"/>
      <c r="J27" s="156"/>
      <c r="K27" s="163"/>
      <c r="L27" s="164"/>
      <c r="M27" s="150"/>
    </row>
    <row r="28" s="118" customFormat="1" ht="14.1" customHeight="1" spans="1:13">
      <c r="A28" s="47">
        <v>5</v>
      </c>
      <c r="B28" s="47" t="s">
        <v>44</v>
      </c>
      <c r="C28" s="68"/>
      <c r="D28" s="68"/>
      <c r="E28" s="68">
        <f>I28*J28</f>
        <v>360</v>
      </c>
      <c r="F28" s="68"/>
      <c r="G28" s="142">
        <f t="shared" si="1"/>
        <v>360</v>
      </c>
      <c r="H28" s="162"/>
      <c r="I28" s="156">
        <v>6000</v>
      </c>
      <c r="J28" s="165">
        <v>0.06</v>
      </c>
      <c r="K28" s="163"/>
      <c r="L28" s="164"/>
      <c r="M28" s="150"/>
    </row>
    <row r="29" s="118" customFormat="1" ht="14.1" customHeight="1" spans="1:13">
      <c r="A29" s="47">
        <v>6</v>
      </c>
      <c r="B29" s="47" t="s">
        <v>45</v>
      </c>
      <c r="C29" s="68"/>
      <c r="D29" s="68"/>
      <c r="E29" s="68">
        <v>240</v>
      </c>
      <c r="F29" s="68"/>
      <c r="G29" s="142">
        <f t="shared" si="1"/>
        <v>240</v>
      </c>
      <c r="H29" s="162"/>
      <c r="I29" s="162"/>
      <c r="J29" s="165"/>
      <c r="K29" s="163"/>
      <c r="L29" s="164"/>
      <c r="M29" s="150"/>
    </row>
    <row r="30" s="76" customFormat="1" ht="14.1" customHeight="1" spans="1:13">
      <c r="A30" s="86" t="s">
        <v>46</v>
      </c>
      <c r="B30" s="86" t="s">
        <v>47</v>
      </c>
      <c r="C30" s="130"/>
      <c r="D30" s="130"/>
      <c r="E30" s="130"/>
      <c r="F30" s="130">
        <f>SUM(F31:F39)</f>
        <v>289.881</v>
      </c>
      <c r="G30" s="130">
        <f t="shared" ref="G30:G39" si="5">C30+D30+E30+F30</f>
        <v>289.881</v>
      </c>
      <c r="H30" s="131">
        <f>G30/G47</f>
        <v>0.0408230403521096</v>
      </c>
      <c r="I30" s="132"/>
      <c r="J30" s="133"/>
      <c r="K30" s="160"/>
      <c r="L30" s="161"/>
      <c r="M30" s="152"/>
    </row>
    <row r="31" ht="14.1" customHeight="1" spans="1:13">
      <c r="A31" s="47">
        <v>1</v>
      </c>
      <c r="B31" s="142" t="s">
        <v>48</v>
      </c>
      <c r="C31" s="68"/>
      <c r="D31" s="68"/>
      <c r="E31" s="68"/>
      <c r="F31" s="88">
        <f>G4*0.005</f>
        <v>31.17</v>
      </c>
      <c r="G31" s="68">
        <f t="shared" si="5"/>
        <v>31.17</v>
      </c>
      <c r="H31" s="166"/>
      <c r="I31" s="167"/>
      <c r="J31" s="168"/>
      <c r="K31" s="163"/>
      <c r="L31" s="164"/>
    </row>
    <row r="32" ht="14.1" customHeight="1" spans="1:13">
      <c r="A32" s="47">
        <v>2</v>
      </c>
      <c r="B32" s="142" t="s">
        <v>49</v>
      </c>
      <c r="C32" s="68"/>
      <c r="D32" s="68"/>
      <c r="E32" s="68"/>
      <c r="F32" s="88">
        <f>G4*0.004</f>
        <v>24.936</v>
      </c>
      <c r="G32" s="68">
        <f t="shared" si="5"/>
        <v>24.936</v>
      </c>
      <c r="H32" s="169"/>
      <c r="I32" s="170"/>
      <c r="J32" s="171"/>
    </row>
    <row r="33" ht="14.1" customHeight="1" spans="1:13">
      <c r="A33" s="47">
        <v>3</v>
      </c>
      <c r="B33" s="142" t="s">
        <v>50</v>
      </c>
      <c r="C33" s="68"/>
      <c r="D33" s="68"/>
      <c r="E33" s="68"/>
      <c r="F33" s="88">
        <f>G4*0.01</f>
        <v>62.34</v>
      </c>
      <c r="G33" s="68">
        <f t="shared" si="5"/>
        <v>62.34</v>
      </c>
      <c r="H33" s="169"/>
      <c r="I33" s="170"/>
      <c r="J33" s="171"/>
    </row>
    <row r="34" ht="14.1" customHeight="1" spans="1:13">
      <c r="A34" s="47">
        <v>4</v>
      </c>
      <c r="B34" s="142" t="s">
        <v>51</v>
      </c>
      <c r="C34" s="68"/>
      <c r="D34" s="68"/>
      <c r="E34" s="68"/>
      <c r="F34" s="88">
        <f>G4*0.002</f>
        <v>12.468</v>
      </c>
      <c r="G34" s="68">
        <f t="shared" si="5"/>
        <v>12.468</v>
      </c>
      <c r="H34" s="169"/>
      <c r="I34" s="170"/>
      <c r="J34" s="172"/>
      <c r="L34" s="12"/>
      <c r="M34" s="12"/>
    </row>
    <row r="35" ht="14.1" customHeight="1" spans="1:13">
      <c r="A35" s="47">
        <v>5</v>
      </c>
      <c r="B35" s="142" t="s">
        <v>52</v>
      </c>
      <c r="C35" s="68"/>
      <c r="D35" s="68"/>
      <c r="E35" s="68"/>
      <c r="F35" s="88">
        <f>G4*0.011</f>
        <v>68.574</v>
      </c>
      <c r="G35" s="68">
        <f t="shared" si="5"/>
        <v>68.574</v>
      </c>
      <c r="H35" s="169"/>
      <c r="I35" s="170"/>
      <c r="J35" s="171"/>
    </row>
    <row r="36" ht="20.1" customHeight="1" spans="1:13">
      <c r="A36" s="47">
        <v>6</v>
      </c>
      <c r="B36" s="142" t="s">
        <v>53</v>
      </c>
      <c r="C36" s="68"/>
      <c r="D36" s="68"/>
      <c r="E36" s="68"/>
      <c r="F36" s="88">
        <f>G4*0.006</f>
        <v>37.404</v>
      </c>
      <c r="G36" s="68">
        <f t="shared" si="5"/>
        <v>37.404</v>
      </c>
      <c r="H36" s="166"/>
      <c r="I36" s="173"/>
      <c r="J36" s="174"/>
    </row>
    <row r="37" ht="18.95" customHeight="1" spans="1:13">
      <c r="A37" s="47">
        <v>7</v>
      </c>
      <c r="B37" s="142" t="s">
        <v>54</v>
      </c>
      <c r="C37" s="68"/>
      <c r="D37" s="68"/>
      <c r="E37" s="68"/>
      <c r="F37" s="88">
        <f>G4*0.003</f>
        <v>18.702</v>
      </c>
      <c r="G37" s="68">
        <f t="shared" si="5"/>
        <v>18.702</v>
      </c>
      <c r="H37" s="166"/>
      <c r="I37" s="173"/>
      <c r="J37" s="174"/>
    </row>
    <row r="38" ht="18.95" customHeight="1" spans="1:13">
      <c r="A38" s="47">
        <v>8</v>
      </c>
      <c r="B38" s="142" t="s">
        <v>55</v>
      </c>
      <c r="C38" s="68"/>
      <c r="D38" s="68"/>
      <c r="E38" s="68"/>
      <c r="F38" s="88">
        <f>G4*0.003</f>
        <v>18.702</v>
      </c>
      <c r="G38" s="68">
        <f t="shared" si="5"/>
        <v>18.702</v>
      </c>
      <c r="H38" s="166"/>
      <c r="I38" s="173"/>
      <c r="J38" s="174"/>
    </row>
    <row r="39" s="76" customFormat="1" ht="14.1" customHeight="1" spans="1:13">
      <c r="A39" s="47">
        <v>9</v>
      </c>
      <c r="B39" s="142" t="s">
        <v>56</v>
      </c>
      <c r="C39" s="130"/>
      <c r="D39" s="130"/>
      <c r="E39" s="130"/>
      <c r="F39" s="68">
        <f>G4*0.0025</f>
        <v>15.585</v>
      </c>
      <c r="G39" s="68">
        <f t="shared" si="5"/>
        <v>15.585</v>
      </c>
      <c r="H39" s="131"/>
      <c r="I39" s="132"/>
      <c r="J39" s="133"/>
      <c r="L39" s="152"/>
      <c r="M39" s="152"/>
    </row>
    <row r="40" s="76" customFormat="1" ht="14.1" customHeight="1" spans="1:13">
      <c r="A40" s="86" t="s">
        <v>57</v>
      </c>
      <c r="B40" s="86" t="s">
        <v>58</v>
      </c>
      <c r="C40" s="130"/>
      <c r="D40" s="130"/>
      <c r="E40" s="130"/>
      <c r="F40" s="130">
        <f>F41+F42</f>
        <v>521.91048</v>
      </c>
      <c r="G40" s="130">
        <f>G41+G42</f>
        <v>521.91048</v>
      </c>
      <c r="H40" s="131">
        <f>G40/G47</f>
        <v>0.0734990309307229</v>
      </c>
      <c r="I40" s="132"/>
      <c r="J40" s="133"/>
      <c r="L40" s="152"/>
      <c r="M40" s="152"/>
    </row>
    <row r="41" ht="14.1" customHeight="1" spans="1:13">
      <c r="A41" s="47">
        <v>3.1</v>
      </c>
      <c r="B41" s="47" t="s">
        <v>59</v>
      </c>
      <c r="C41" s="68"/>
      <c r="D41" s="68"/>
      <c r="E41" s="68"/>
      <c r="F41" s="68">
        <f>(G4+G30)*0.08</f>
        <v>521.91048</v>
      </c>
      <c r="G41" s="68">
        <f>F41</f>
        <v>521.91048</v>
      </c>
      <c r="H41" s="175" t="s">
        <v>60</v>
      </c>
      <c r="I41" s="176"/>
      <c r="J41" s="177"/>
    </row>
    <row r="42" ht="14.1" customHeight="1" spans="1:13">
      <c r="A42" s="47">
        <v>3.2</v>
      </c>
      <c r="B42" s="47" t="s">
        <v>61</v>
      </c>
      <c r="C42" s="68"/>
      <c r="D42" s="68"/>
      <c r="E42" s="68"/>
      <c r="F42" s="68"/>
      <c r="G42" s="68"/>
      <c r="H42" s="166"/>
      <c r="I42" s="173"/>
      <c r="J42" s="178"/>
    </row>
    <row r="43" s="76" customFormat="1" ht="14.1" customHeight="1" spans="1:13">
      <c r="A43" s="86" t="s">
        <v>62</v>
      </c>
      <c r="B43" s="86" t="s">
        <v>63</v>
      </c>
      <c r="C43" s="130">
        <f>C40+C30+C4</f>
        <v>0</v>
      </c>
      <c r="D43" s="130">
        <f>D40+D30+D4</f>
        <v>756</v>
      </c>
      <c r="E43" s="130">
        <f>E40+E30+E4</f>
        <v>5478</v>
      </c>
      <c r="F43" s="130">
        <f>F40+F30+F4</f>
        <v>811.79148</v>
      </c>
      <c r="G43" s="130">
        <f>G4+G30+G40</f>
        <v>7045.79148</v>
      </c>
      <c r="H43" s="131">
        <f>G43/G47</f>
        <v>0.992236917564759</v>
      </c>
      <c r="I43" s="132"/>
      <c r="J43" s="133"/>
      <c r="L43" s="152"/>
      <c r="M43" s="152"/>
    </row>
    <row r="44" ht="14.1" customHeight="1" spans="1:13">
      <c r="A44" s="47"/>
      <c r="B44" s="47" t="s">
        <v>64</v>
      </c>
      <c r="C44" s="179">
        <f>C43/G43</f>
        <v>0</v>
      </c>
      <c r="D44" s="179">
        <f>D43/G43</f>
        <v>0.10729809449314</v>
      </c>
      <c r="E44" s="179">
        <f>E43/G43</f>
        <v>0.777485398986006</v>
      </c>
      <c r="F44" s="179">
        <f>F43/G43</f>
        <v>0.115216506520854</v>
      </c>
      <c r="G44" s="179">
        <v>1</v>
      </c>
      <c r="H44" s="180"/>
      <c r="I44" s="167"/>
      <c r="J44" s="168"/>
    </row>
    <row r="45" s="76" customFormat="1" ht="14.1" customHeight="1" spans="1:13">
      <c r="A45" s="86" t="s">
        <v>65</v>
      </c>
      <c r="B45" s="86" t="s">
        <v>66</v>
      </c>
      <c r="C45" s="130"/>
      <c r="D45" s="130"/>
      <c r="E45" s="130"/>
      <c r="F45" s="130"/>
      <c r="G45" s="130">
        <f>还本付息表!D7</f>
        <v>55.125</v>
      </c>
      <c r="H45" s="131">
        <f>G45/G47</f>
        <v>0.00776308243524081</v>
      </c>
      <c r="I45" s="132"/>
      <c r="J45" s="133"/>
      <c r="L45" s="152"/>
      <c r="M45" s="152"/>
    </row>
    <row r="46" s="76" customFormat="1" ht="14.1" customHeight="1" spans="1:13">
      <c r="A46" s="86" t="s">
        <v>67</v>
      </c>
      <c r="B46" s="86" t="s">
        <v>68</v>
      </c>
      <c r="C46" s="130"/>
      <c r="D46" s="130"/>
      <c r="E46" s="130"/>
      <c r="F46" s="130"/>
      <c r="G46" s="130">
        <f>G43+G45</f>
        <v>7100.91648</v>
      </c>
      <c r="H46" s="131">
        <f>G46/G47</f>
        <v>1</v>
      </c>
      <c r="I46" s="132"/>
      <c r="J46" s="133"/>
      <c r="L46" s="152"/>
      <c r="M46" s="152"/>
    </row>
    <row r="47" s="76" customFormat="1" ht="14.1" customHeight="1" spans="1:13">
      <c r="A47" s="86" t="s">
        <v>69</v>
      </c>
      <c r="B47" s="86" t="s">
        <v>70</v>
      </c>
      <c r="C47" s="130"/>
      <c r="D47" s="130"/>
      <c r="E47" s="130"/>
      <c r="F47" s="130"/>
      <c r="G47" s="130">
        <f>G46</f>
        <v>7100.91648</v>
      </c>
      <c r="H47" s="131">
        <v>1</v>
      </c>
      <c r="I47" s="132"/>
      <c r="J47" s="133"/>
      <c r="L47" s="152"/>
      <c r="M47" s="152"/>
    </row>
    <row r="48" s="81" customFormat="1" spans="1:13">
      <c r="A48" s="181"/>
      <c r="B48" s="181"/>
      <c r="C48" s="181"/>
      <c r="D48" s="181"/>
      <c r="E48" s="181"/>
      <c r="F48" s="181"/>
      <c r="G48" s="182"/>
      <c r="H48" s="106"/>
      <c r="I48" s="181"/>
      <c r="J48" s="183"/>
      <c r="L48" s="150"/>
      <c r="M48" s="150"/>
    </row>
    <row r="49" spans="7:10">
      <c r="G49" s="56">
        <f>G47*0.7</f>
        <v>4970.641536</v>
      </c>
      <c r="J49" s="120">
        <v>8988.5659433172</v>
      </c>
    </row>
    <row r="50" spans="7:10">
      <c r="G50" s="181">
        <v>12648.36</v>
      </c>
    </row>
  </sheetData>
  <sheetProtection formatCells="0" insertHyperlinks="0" autoFilter="0"/>
  <mergeCells count="20">
    <mergeCell ref="A1:J1"/>
    <mergeCell ref="A2:J2"/>
    <mergeCell ref="H4:J4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40:J40"/>
    <mergeCell ref="H41:J41"/>
    <mergeCell ref="H42:J42"/>
    <mergeCell ref="H43:J43"/>
    <mergeCell ref="H44:J44"/>
    <mergeCell ref="H45:J45"/>
    <mergeCell ref="H46:J46"/>
    <mergeCell ref="H47:J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0" zoomScaleNormal="120" workbookViewId="0">
      <selection activeCell="P12" sqref="P12"/>
    </sheetView>
  </sheetViews>
  <sheetFormatPr defaultColWidth="9" defaultRowHeight="13.5"/>
  <cols>
    <col min="1" max="1" width="4.5" customWidth="1"/>
    <col min="2" max="2" width="11.85" customWidth="1"/>
    <col min="3" max="3" width="6.5" customWidth="1"/>
    <col min="4" max="5" width="6.59166666666667" customWidth="1"/>
    <col min="6" max="6" width="8.7" customWidth="1"/>
    <col min="7" max="13" width="8.11666666666667" style="105" customWidth="1"/>
  </cols>
  <sheetData>
    <row r="1" ht="18.75" spans="1:15">
      <c r="A1" s="34" t="s">
        <v>71</v>
      </c>
      <c r="B1" s="35"/>
      <c r="C1" s="35"/>
      <c r="D1" s="35"/>
      <c r="E1" s="35"/>
      <c r="F1" s="35"/>
      <c r="G1" s="106"/>
      <c r="H1" s="106"/>
      <c r="I1" s="106"/>
      <c r="J1" s="106"/>
      <c r="K1" s="106"/>
      <c r="L1" s="106"/>
      <c r="M1" s="106"/>
    </row>
    <row r="2" spans="1:15">
      <c r="G2" s="12"/>
      <c r="H2" s="12"/>
      <c r="I2" s="12"/>
      <c r="J2" s="12"/>
      <c r="K2" s="12" t="s">
        <v>1</v>
      </c>
      <c r="L2" s="12"/>
      <c r="M2" s="12"/>
    </row>
    <row r="3" spans="1:15">
      <c r="A3" s="107" t="s">
        <v>2</v>
      </c>
      <c r="B3" s="107" t="s">
        <v>72</v>
      </c>
      <c r="C3" s="107" t="s">
        <v>8</v>
      </c>
      <c r="D3" s="107" t="s">
        <v>73</v>
      </c>
      <c r="E3" s="108" t="s">
        <v>74</v>
      </c>
      <c r="F3" s="109" t="s">
        <v>75</v>
      </c>
      <c r="G3" s="109"/>
      <c r="H3" s="109"/>
      <c r="I3" s="109"/>
      <c r="J3" s="109"/>
      <c r="K3" s="109"/>
      <c r="L3" s="109"/>
      <c r="M3" s="109"/>
      <c r="N3" s="109"/>
      <c r="O3" s="109"/>
    </row>
    <row r="4" spans="1:15">
      <c r="A4" s="110"/>
      <c r="B4" s="110"/>
      <c r="C4" s="110"/>
      <c r="D4" s="110"/>
      <c r="E4" s="111"/>
      <c r="F4" s="112">
        <v>0.5</v>
      </c>
      <c r="G4" s="113">
        <v>2</v>
      </c>
      <c r="H4" s="113">
        <v>3</v>
      </c>
      <c r="I4" s="113">
        <v>4</v>
      </c>
      <c r="J4" s="113">
        <v>5</v>
      </c>
      <c r="K4" s="113">
        <v>6</v>
      </c>
      <c r="L4" s="113">
        <v>7</v>
      </c>
      <c r="M4" s="113">
        <v>8</v>
      </c>
      <c r="N4" s="113">
        <v>9</v>
      </c>
      <c r="O4" s="113">
        <v>10</v>
      </c>
    </row>
    <row r="5" spans="1:15">
      <c r="A5" s="57">
        <v>1</v>
      </c>
      <c r="B5" s="57" t="s">
        <v>76</v>
      </c>
      <c r="C5" s="114"/>
      <c r="D5" s="66">
        <v>0.05</v>
      </c>
      <c r="E5" s="97">
        <v>15</v>
      </c>
      <c r="F5" s="115"/>
      <c r="G5" s="116"/>
      <c r="H5" s="116"/>
      <c r="I5" s="116"/>
      <c r="J5" s="116"/>
      <c r="K5" s="116"/>
      <c r="L5" s="116"/>
      <c r="M5" s="116"/>
      <c r="N5" s="116"/>
      <c r="O5" s="116"/>
    </row>
    <row r="6" spans="1:15">
      <c r="A6" s="57">
        <v>1.1</v>
      </c>
      <c r="B6" s="57" t="s">
        <v>77</v>
      </c>
      <c r="C6" s="114"/>
      <c r="D6" s="114"/>
      <c r="E6" s="114"/>
      <c r="F6" s="103">
        <f>总投资!G43*0.91</f>
        <v>6411.6702468</v>
      </c>
      <c r="G6" s="103">
        <f t="shared" ref="G6:T6" si="0">F8</f>
        <v>6208.634022318</v>
      </c>
      <c r="H6" s="103">
        <f t="shared" si="0"/>
        <v>5802.561573354</v>
      </c>
      <c r="I6" s="103">
        <f t="shared" si="0"/>
        <v>5396.48912439</v>
      </c>
      <c r="J6" s="103">
        <f t="shared" si="0"/>
        <v>4990.416675426</v>
      </c>
      <c r="K6" s="103">
        <f t="shared" si="0"/>
        <v>4584.344226462</v>
      </c>
      <c r="L6" s="103">
        <f t="shared" si="0"/>
        <v>4178.271777498</v>
      </c>
      <c r="M6" s="103">
        <f t="shared" si="0"/>
        <v>3772.199328534</v>
      </c>
      <c r="N6" s="103">
        <f t="shared" si="0"/>
        <v>3366.12687957</v>
      </c>
      <c r="O6" s="103">
        <f t="shared" si="0"/>
        <v>2960.054430606</v>
      </c>
    </row>
    <row r="7" ht="16.9" customHeight="1" spans="1:15">
      <c r="A7" s="57">
        <v>1.2</v>
      </c>
      <c r="B7" s="57" t="s">
        <v>78</v>
      </c>
      <c r="C7" s="114">
        <f>SUM(F7:M7)</f>
        <v>3045.54336723</v>
      </c>
      <c r="D7" s="114"/>
      <c r="E7" s="114"/>
      <c r="F7" s="103">
        <f>F6*0.95*0.5/15</f>
        <v>203.036224482</v>
      </c>
      <c r="G7" s="103">
        <f>F6*0.95/15</f>
        <v>406.072448964</v>
      </c>
      <c r="H7" s="103">
        <f t="shared" ref="H7:T7" si="1">G7</f>
        <v>406.072448964</v>
      </c>
      <c r="I7" s="103">
        <f t="shared" si="1"/>
        <v>406.072448964</v>
      </c>
      <c r="J7" s="103">
        <f t="shared" si="1"/>
        <v>406.072448964</v>
      </c>
      <c r="K7" s="103">
        <f t="shared" si="1"/>
        <v>406.072448964</v>
      </c>
      <c r="L7" s="103">
        <f t="shared" si="1"/>
        <v>406.072448964</v>
      </c>
      <c r="M7" s="103">
        <f t="shared" si="1"/>
        <v>406.072448964</v>
      </c>
      <c r="N7" s="103">
        <f t="shared" si="1"/>
        <v>406.072448964</v>
      </c>
      <c r="O7" s="103">
        <f t="shared" si="1"/>
        <v>406.072448964</v>
      </c>
    </row>
    <row r="8" spans="1:15">
      <c r="A8" s="57">
        <v>1.3</v>
      </c>
      <c r="B8" s="57" t="s">
        <v>79</v>
      </c>
      <c r="C8" s="114"/>
      <c r="D8" s="114"/>
      <c r="E8" s="114"/>
      <c r="F8" s="103">
        <f t="shared" ref="F8:T8" si="2">F6-F7</f>
        <v>6208.634022318</v>
      </c>
      <c r="G8" s="103">
        <f t="shared" si="2"/>
        <v>5802.561573354</v>
      </c>
      <c r="H8" s="103">
        <f t="shared" si="2"/>
        <v>5396.48912439</v>
      </c>
      <c r="I8" s="103">
        <f t="shared" si="2"/>
        <v>4990.416675426</v>
      </c>
      <c r="J8" s="103">
        <f t="shared" si="2"/>
        <v>4584.344226462</v>
      </c>
      <c r="K8" s="103">
        <f t="shared" si="2"/>
        <v>4178.271777498</v>
      </c>
      <c r="L8" s="103">
        <f t="shared" si="2"/>
        <v>3772.199328534</v>
      </c>
      <c r="M8" s="103">
        <f t="shared" si="2"/>
        <v>3366.12687957</v>
      </c>
      <c r="N8" s="103">
        <f t="shared" si="2"/>
        <v>2960.054430606</v>
      </c>
      <c r="O8" s="103">
        <f t="shared" si="2"/>
        <v>2553.981981642</v>
      </c>
    </row>
    <row r="9" spans="1:15">
      <c r="A9" s="57">
        <v>2</v>
      </c>
      <c r="B9" s="57" t="s">
        <v>80</v>
      </c>
      <c r="C9" s="114">
        <f>SUM(F9:M9)</f>
        <v>3045.54336723</v>
      </c>
      <c r="D9" s="114"/>
      <c r="E9" s="114"/>
      <c r="F9" s="103">
        <f t="shared" ref="F9:T9" si="3">F7</f>
        <v>203.036224482</v>
      </c>
      <c r="G9" s="103">
        <f t="shared" si="3"/>
        <v>406.072448964</v>
      </c>
      <c r="H9" s="103">
        <f t="shared" si="3"/>
        <v>406.072448964</v>
      </c>
      <c r="I9" s="103">
        <f t="shared" si="3"/>
        <v>406.072448964</v>
      </c>
      <c r="J9" s="103">
        <f t="shared" si="3"/>
        <v>406.072448964</v>
      </c>
      <c r="K9" s="103">
        <f t="shared" si="3"/>
        <v>406.072448964</v>
      </c>
      <c r="L9" s="103">
        <f t="shared" si="3"/>
        <v>406.072448964</v>
      </c>
      <c r="M9" s="103">
        <f t="shared" si="3"/>
        <v>406.072448964</v>
      </c>
      <c r="N9" s="103">
        <f t="shared" si="3"/>
        <v>406.072448964</v>
      </c>
      <c r="O9" s="103">
        <f t="shared" si="3"/>
        <v>406.072448964</v>
      </c>
    </row>
    <row r="10" spans="1:15">
      <c r="A10" s="57">
        <v>3</v>
      </c>
      <c r="B10" s="57" t="s">
        <v>81</v>
      </c>
      <c r="C10" s="114"/>
      <c r="D10" s="114"/>
      <c r="E10" s="114"/>
      <c r="F10" s="114"/>
      <c r="G10" s="103"/>
      <c r="H10" s="103"/>
      <c r="I10" s="103"/>
      <c r="J10" s="103"/>
      <c r="K10" s="103"/>
      <c r="L10" s="103"/>
      <c r="M10" s="103"/>
      <c r="N10" s="103"/>
      <c r="O10" s="103"/>
    </row>
    <row r="11" spans="1:15">
      <c r="A11" s="57">
        <v>3.1</v>
      </c>
      <c r="B11" s="57" t="s">
        <v>77</v>
      </c>
      <c r="C11" s="114"/>
      <c r="D11" s="114"/>
      <c r="E11" s="114"/>
      <c r="F11" s="114"/>
      <c r="G11" s="103"/>
      <c r="H11" s="103"/>
      <c r="I11" s="103"/>
      <c r="J11" s="103"/>
      <c r="K11" s="103"/>
      <c r="L11" s="103"/>
      <c r="M11" s="103"/>
      <c r="N11" s="103"/>
      <c r="O11" s="103"/>
    </row>
    <row r="12" spans="1:15">
      <c r="A12" s="57">
        <v>3.2</v>
      </c>
      <c r="B12" s="57" t="s">
        <v>78</v>
      </c>
      <c r="C12" s="114"/>
      <c r="D12" s="114"/>
      <c r="E12" s="114"/>
      <c r="F12" s="114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5">
      <c r="A13" s="57">
        <v>3.3</v>
      </c>
      <c r="B13" s="57" t="s">
        <v>79</v>
      </c>
      <c r="C13" s="114"/>
      <c r="D13" s="114"/>
      <c r="E13" s="114"/>
      <c r="F13" s="114"/>
      <c r="G13" s="103"/>
      <c r="H13" s="103"/>
      <c r="I13" s="103"/>
      <c r="J13" s="103"/>
      <c r="K13" s="103"/>
      <c r="L13" s="103"/>
      <c r="M13" s="103"/>
      <c r="N13" s="103"/>
      <c r="O13" s="103"/>
    </row>
  </sheetData>
  <sheetProtection formatCells="0" insertHyperlinks="0" autoFilter="0"/>
  <mergeCells count="7">
    <mergeCell ref="A1:M1"/>
    <mergeCell ref="F3:O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zoomScale="110" zoomScaleNormal="110" topLeftCell="A5" workbookViewId="0">
      <selection activeCell="D14" sqref="D14"/>
    </sheetView>
  </sheetViews>
  <sheetFormatPr defaultColWidth="9" defaultRowHeight="13.5"/>
  <cols>
    <col min="1" max="1" width="6.975" style="56" customWidth="1"/>
    <col min="2" max="2" width="16.575" style="56" customWidth="1"/>
    <col min="3" max="3" width="8.25" style="80" customWidth="1"/>
    <col min="4" max="4" width="9.28333333333333" style="80" customWidth="1"/>
    <col min="5" max="9" width="9.28333333333333" customWidth="1"/>
    <col min="10" max="10" width="9.28333333333333" style="81" customWidth="1"/>
    <col min="11" max="13" width="9.28333333333333" customWidth="1"/>
  </cols>
  <sheetData>
    <row r="1" ht="17.45" customHeight="1" spans="1:13">
      <c r="A1" s="34" t="s">
        <v>82</v>
      </c>
      <c r="B1" s="34"/>
      <c r="C1" s="15"/>
      <c r="D1" s="15"/>
      <c r="E1" s="34"/>
      <c r="F1" s="34"/>
      <c r="G1" s="34"/>
      <c r="H1" s="34"/>
      <c r="I1" s="34"/>
      <c r="J1" s="1"/>
      <c r="K1" s="34"/>
    </row>
    <row r="2" spans="1:13">
      <c r="E2">
        <f>1.26*365</f>
        <v>459.9</v>
      </c>
      <c r="J2" s="81" t="s">
        <v>1</v>
      </c>
    </row>
    <row r="3" ht="16.15" customHeight="1" spans="1:13">
      <c r="A3" s="39" t="s">
        <v>2</v>
      </c>
      <c r="B3" s="37" t="s">
        <v>72</v>
      </c>
      <c r="C3" s="38" t="s">
        <v>8</v>
      </c>
      <c r="D3" s="39" t="s">
        <v>75</v>
      </c>
      <c r="E3" s="39"/>
      <c r="F3" s="39"/>
      <c r="G3" s="39"/>
      <c r="H3" s="39"/>
      <c r="I3" s="39"/>
      <c r="J3" s="39"/>
      <c r="K3" s="39"/>
      <c r="L3" s="39"/>
      <c r="M3" s="39"/>
    </row>
    <row r="4" spans="1:13">
      <c r="A4" s="39"/>
      <c r="B4" s="82"/>
      <c r="C4" s="83"/>
      <c r="D4" s="82">
        <v>0.5</v>
      </c>
      <c r="E4" s="82">
        <v>2</v>
      </c>
      <c r="F4" s="82">
        <v>3</v>
      </c>
      <c r="G4" s="82">
        <v>4</v>
      </c>
      <c r="H4" s="82">
        <v>5</v>
      </c>
      <c r="I4" s="82">
        <v>6</v>
      </c>
      <c r="J4" s="82">
        <v>7</v>
      </c>
      <c r="K4" s="82">
        <v>8</v>
      </c>
      <c r="L4" s="82">
        <v>9</v>
      </c>
      <c r="M4" s="82">
        <v>10</v>
      </c>
    </row>
    <row r="5" s="76" customFormat="1" ht="17" customHeight="1" spans="1:13">
      <c r="A5" s="39" t="s">
        <v>12</v>
      </c>
      <c r="B5" s="39" t="s">
        <v>83</v>
      </c>
      <c r="C5" s="84">
        <f>SUM((E5:K5))</f>
        <v>7490.61046012819</v>
      </c>
      <c r="D5" s="85">
        <f>D6+D12+D15+D22+D29</f>
        <v>518.376132</v>
      </c>
      <c r="E5" s="85">
        <f t="shared" ref="E5:M5" si="0">E6+E12+E15+E22+E29</f>
        <v>1052.95344768</v>
      </c>
      <c r="F5" s="85">
        <f t="shared" si="0"/>
        <v>1069.1733904416</v>
      </c>
      <c r="G5" s="85">
        <f t="shared" si="0"/>
        <v>1072.88399848939</v>
      </c>
      <c r="H5" s="85">
        <f t="shared" si="0"/>
        <v>1076.61317849695</v>
      </c>
      <c r="I5" s="85">
        <f t="shared" si="0"/>
        <v>1076.64833760446</v>
      </c>
      <c r="J5" s="85">
        <f t="shared" si="0"/>
        <v>1072.98938341644</v>
      </c>
      <c r="K5" s="85">
        <f t="shared" si="0"/>
        <v>1069.34872399936</v>
      </c>
      <c r="L5" s="85">
        <f t="shared" si="0"/>
        <v>1069.43876787936</v>
      </c>
      <c r="M5" s="85">
        <f t="shared" si="0"/>
        <v>1065.83442403996</v>
      </c>
    </row>
    <row r="6" s="76" customFormat="1" ht="13" customHeight="1" spans="1:13">
      <c r="A6" s="86" t="s">
        <v>84</v>
      </c>
      <c r="B6" s="87" t="s">
        <v>85</v>
      </c>
      <c r="C6" s="84">
        <f>SUM((E6:K6))</f>
        <v>2880.53596012819</v>
      </c>
      <c r="D6" s="85">
        <f>(D7*D9*D10-20000*180)*D11/10000</f>
        <v>213.181632</v>
      </c>
      <c r="E6" s="85">
        <f>(E7*E9*E10-20000*360)*E11/10000</f>
        <v>422.61144768</v>
      </c>
      <c r="F6" s="85">
        <f t="shared" ref="F6:M6" si="1">(F7*F9*F10-20000*360)*F11/10000</f>
        <v>418.8783904416</v>
      </c>
      <c r="G6" s="85">
        <f t="shared" si="1"/>
        <v>415.163998489392</v>
      </c>
      <c r="H6" s="85">
        <f t="shared" si="1"/>
        <v>411.468178496945</v>
      </c>
      <c r="I6" s="85">
        <f t="shared" si="1"/>
        <v>407.79083760446</v>
      </c>
      <c r="J6" s="85">
        <f t="shared" si="1"/>
        <v>404.131883416438</v>
      </c>
      <c r="K6" s="85">
        <f t="shared" si="1"/>
        <v>400.491223999356</v>
      </c>
      <c r="L6" s="85">
        <f t="shared" si="1"/>
        <v>396.868767879359</v>
      </c>
      <c r="M6" s="85">
        <f t="shared" si="1"/>
        <v>393.264424039962</v>
      </c>
    </row>
    <row r="7" customFormat="1" ht="12" customHeight="1" spans="1:13">
      <c r="A7" s="43">
        <v>1</v>
      </c>
      <c r="B7" s="88" t="s">
        <v>86</v>
      </c>
      <c r="C7" s="66"/>
      <c r="D7" s="24">
        <f>14000*(1-D8)</f>
        <v>13720</v>
      </c>
      <c r="E7" s="89">
        <f t="shared" ref="E7:R7" si="2">D7*(1-E8)</f>
        <v>13651.4</v>
      </c>
      <c r="F7" s="89">
        <f t="shared" si="2"/>
        <v>13583.143</v>
      </c>
      <c r="G7" s="89">
        <f t="shared" si="2"/>
        <v>13515.227285</v>
      </c>
      <c r="H7" s="89">
        <f t="shared" si="2"/>
        <v>13447.651148575</v>
      </c>
      <c r="I7" s="89">
        <f t="shared" si="2"/>
        <v>13380.4128928321</v>
      </c>
      <c r="J7" s="89">
        <f t="shared" si="2"/>
        <v>13313.510828368</v>
      </c>
      <c r="K7" s="89">
        <f t="shared" si="2"/>
        <v>13246.9432742261</v>
      </c>
      <c r="L7" s="89">
        <f t="shared" si="2"/>
        <v>13180.708557855</v>
      </c>
      <c r="M7" s="89">
        <f t="shared" si="2"/>
        <v>13114.8050150657</v>
      </c>
    </row>
    <row r="8" s="77" customFormat="1" ht="12" customHeight="1" spans="1:13">
      <c r="A8" s="43">
        <v>2</v>
      </c>
      <c r="B8" s="90" t="s">
        <v>87</v>
      </c>
      <c r="C8" s="91"/>
      <c r="D8" s="92">
        <v>0.02</v>
      </c>
      <c r="E8" s="93">
        <v>0.005</v>
      </c>
      <c r="F8" s="92">
        <v>0.005</v>
      </c>
      <c r="G8" s="92">
        <v>0.005</v>
      </c>
      <c r="H8" s="92">
        <v>0.005</v>
      </c>
      <c r="I8" s="92">
        <v>0.005</v>
      </c>
      <c r="J8" s="92">
        <v>0.005</v>
      </c>
      <c r="K8" s="92">
        <v>0.005</v>
      </c>
      <c r="L8" s="92">
        <f>K8</f>
        <v>0.005</v>
      </c>
      <c r="M8" s="92">
        <f>L8</f>
        <v>0.005</v>
      </c>
    </row>
    <row r="9" customFormat="1" ht="16" customHeight="1" spans="1:13">
      <c r="A9" s="43">
        <v>3</v>
      </c>
      <c r="B9" s="88" t="s">
        <v>88</v>
      </c>
      <c r="C9" s="66"/>
      <c r="D9" s="24">
        <v>3.376</v>
      </c>
      <c r="E9" s="89">
        <f>D9</f>
        <v>3.376</v>
      </c>
      <c r="F9" s="89">
        <f t="shared" ref="F9:R9" si="3">E9</f>
        <v>3.376</v>
      </c>
      <c r="G9" s="89">
        <f t="shared" si="3"/>
        <v>3.376</v>
      </c>
      <c r="H9" s="89">
        <f t="shared" si="3"/>
        <v>3.376</v>
      </c>
      <c r="I9" s="89">
        <f t="shared" si="3"/>
        <v>3.376</v>
      </c>
      <c r="J9" s="89">
        <f t="shared" si="3"/>
        <v>3.376</v>
      </c>
      <c r="K9" s="89">
        <f t="shared" si="3"/>
        <v>3.376</v>
      </c>
      <c r="L9" s="89">
        <f t="shared" si="3"/>
        <v>3.376</v>
      </c>
      <c r="M9" s="89">
        <f t="shared" si="3"/>
        <v>3.376</v>
      </c>
    </row>
    <row r="10" customFormat="1" ht="12" customHeight="1" spans="1:13">
      <c r="A10" s="43">
        <v>4</v>
      </c>
      <c r="B10" s="88" t="s">
        <v>89</v>
      </c>
      <c r="C10" s="66"/>
      <c r="D10" s="24">
        <v>180</v>
      </c>
      <c r="E10" s="89">
        <v>360</v>
      </c>
      <c r="F10" s="24">
        <f t="shared" ref="F10:R10" si="4">E10</f>
        <v>360</v>
      </c>
      <c r="G10" s="24">
        <f t="shared" si="4"/>
        <v>360</v>
      </c>
      <c r="H10" s="24">
        <f t="shared" si="4"/>
        <v>360</v>
      </c>
      <c r="I10" s="24">
        <f t="shared" si="4"/>
        <v>360</v>
      </c>
      <c r="J10" s="24">
        <f t="shared" si="4"/>
        <v>360</v>
      </c>
      <c r="K10" s="24">
        <f t="shared" si="4"/>
        <v>360</v>
      </c>
      <c r="L10" s="24">
        <f t="shared" si="4"/>
        <v>360</v>
      </c>
      <c r="M10" s="24">
        <f t="shared" si="4"/>
        <v>360</v>
      </c>
    </row>
    <row r="11" customFormat="1" ht="12" customHeight="1" spans="1:13">
      <c r="A11" s="43">
        <v>5</v>
      </c>
      <c r="B11" s="88" t="s">
        <v>90</v>
      </c>
      <c r="C11" s="66"/>
      <c r="D11" s="24">
        <v>0.45</v>
      </c>
      <c r="E11" s="89">
        <f t="shared" ref="E11:R11" si="5">D11</f>
        <v>0.45</v>
      </c>
      <c r="F11" s="89">
        <f t="shared" si="5"/>
        <v>0.45</v>
      </c>
      <c r="G11" s="89">
        <f t="shared" si="5"/>
        <v>0.45</v>
      </c>
      <c r="H11" s="89">
        <f t="shared" si="5"/>
        <v>0.45</v>
      </c>
      <c r="I11" s="89">
        <f t="shared" si="5"/>
        <v>0.45</v>
      </c>
      <c r="J11" s="89">
        <f t="shared" si="5"/>
        <v>0.45</v>
      </c>
      <c r="K11" s="89">
        <f t="shared" si="5"/>
        <v>0.45</v>
      </c>
      <c r="L11" s="89">
        <f t="shared" si="5"/>
        <v>0.45</v>
      </c>
      <c r="M11" s="89">
        <f t="shared" si="5"/>
        <v>0.45</v>
      </c>
    </row>
    <row r="12" s="76" customFormat="1" ht="15" customHeight="1" spans="1:13">
      <c r="A12" s="94">
        <v>1.2</v>
      </c>
      <c r="B12" s="39" t="s">
        <v>91</v>
      </c>
      <c r="C12" s="84">
        <f>SUM((D12:K12))</f>
        <v>3547.8</v>
      </c>
      <c r="D12" s="85">
        <f>(D13*D14)*180/10000</f>
        <v>236.52</v>
      </c>
      <c r="E12" s="85">
        <f>(E13*E14)*360/10000</f>
        <v>473.04</v>
      </c>
      <c r="F12" s="85">
        <f t="shared" ref="F12:R12" si="6">(F13*F14)*360/10000</f>
        <v>473.04</v>
      </c>
      <c r="G12" s="85">
        <f t="shared" si="6"/>
        <v>473.04</v>
      </c>
      <c r="H12" s="85">
        <f t="shared" si="6"/>
        <v>473.04</v>
      </c>
      <c r="I12" s="85">
        <f t="shared" si="6"/>
        <v>473.04</v>
      </c>
      <c r="J12" s="85">
        <f t="shared" si="6"/>
        <v>473.04</v>
      </c>
      <c r="K12" s="85">
        <f t="shared" si="6"/>
        <v>473.04</v>
      </c>
      <c r="L12" s="85">
        <f t="shared" si="6"/>
        <v>473.04</v>
      </c>
      <c r="M12" s="85">
        <f t="shared" si="6"/>
        <v>473.04</v>
      </c>
    </row>
    <row r="13" ht="12" customHeight="1" spans="1:13">
      <c r="A13" s="84" t="s">
        <v>92</v>
      </c>
      <c r="B13" s="44" t="s">
        <v>93</v>
      </c>
      <c r="C13" s="66"/>
      <c r="D13" s="24">
        <f>0.73</f>
        <v>0.73</v>
      </c>
      <c r="E13" s="44">
        <f t="shared" ref="E13:R13" si="7">D13</f>
        <v>0.73</v>
      </c>
      <c r="F13" s="44">
        <f t="shared" si="7"/>
        <v>0.73</v>
      </c>
      <c r="G13" s="44">
        <f t="shared" si="7"/>
        <v>0.73</v>
      </c>
      <c r="H13" s="44">
        <f t="shared" si="7"/>
        <v>0.73</v>
      </c>
      <c r="I13" s="44">
        <f t="shared" si="7"/>
        <v>0.73</v>
      </c>
      <c r="J13" s="47">
        <f t="shared" si="7"/>
        <v>0.73</v>
      </c>
      <c r="K13" s="44">
        <f t="shared" si="7"/>
        <v>0.73</v>
      </c>
      <c r="L13" s="44">
        <f t="shared" si="7"/>
        <v>0.73</v>
      </c>
      <c r="M13" s="44">
        <f t="shared" si="7"/>
        <v>0.73</v>
      </c>
    </row>
    <row r="14" s="78" customFormat="1" ht="12" customHeight="1" spans="1:13">
      <c r="A14" s="95" t="s">
        <v>94</v>
      </c>
      <c r="B14" s="96" t="s">
        <v>95</v>
      </c>
      <c r="C14" s="97"/>
      <c r="D14" s="24">
        <f>20000*0.9</f>
        <v>18000</v>
      </c>
      <c r="E14" s="24">
        <f t="shared" ref="E14:M14" si="8">D14</f>
        <v>18000</v>
      </c>
      <c r="F14" s="96">
        <f t="shared" si="8"/>
        <v>18000</v>
      </c>
      <c r="G14" s="96">
        <f t="shared" si="8"/>
        <v>18000</v>
      </c>
      <c r="H14" s="96">
        <f t="shared" si="8"/>
        <v>18000</v>
      </c>
      <c r="I14" s="96">
        <f t="shared" si="8"/>
        <v>18000</v>
      </c>
      <c r="J14" s="96">
        <f t="shared" si="8"/>
        <v>18000</v>
      </c>
      <c r="K14" s="96">
        <f t="shared" si="8"/>
        <v>18000</v>
      </c>
      <c r="L14" s="96">
        <f t="shared" si="8"/>
        <v>18000</v>
      </c>
      <c r="M14" s="96">
        <f t="shared" si="8"/>
        <v>18000</v>
      </c>
    </row>
    <row r="15" s="78" customFormat="1" ht="12" customHeight="1" spans="1:13">
      <c r="A15" s="98">
        <v>1.3</v>
      </c>
      <c r="B15" s="39" t="s">
        <v>96</v>
      </c>
      <c r="C15" s="84">
        <f>SUM(D15:K15)</f>
        <v>452.925</v>
      </c>
      <c r="D15" s="85">
        <f t="shared" ref="D15:R15" si="9">D16*D17*D18*D19*D20*D21/10000</f>
        <v>18.5625</v>
      </c>
      <c r="E15" s="85">
        <f t="shared" si="9"/>
        <v>44.55</v>
      </c>
      <c r="F15" s="85">
        <f t="shared" si="9"/>
        <v>51.975</v>
      </c>
      <c r="G15" s="85">
        <f t="shared" si="9"/>
        <v>59.4</v>
      </c>
      <c r="H15" s="85">
        <f t="shared" si="9"/>
        <v>66.825</v>
      </c>
      <c r="I15" s="85">
        <f t="shared" si="9"/>
        <v>70.5375</v>
      </c>
      <c r="J15" s="85">
        <f t="shared" si="9"/>
        <v>70.5375</v>
      </c>
      <c r="K15" s="85">
        <f t="shared" si="9"/>
        <v>70.5375</v>
      </c>
      <c r="L15" s="85">
        <f t="shared" si="9"/>
        <v>74.25</v>
      </c>
      <c r="M15" s="85">
        <f t="shared" si="9"/>
        <v>74.25</v>
      </c>
    </row>
    <row r="16" s="78" customFormat="1" ht="12" customHeight="1" spans="1:13">
      <c r="A16" s="99" t="s">
        <v>97</v>
      </c>
      <c r="B16" s="96" t="s">
        <v>98</v>
      </c>
      <c r="C16" s="66"/>
      <c r="D16" s="24">
        <f>总投资!I6*2</f>
        <v>50</v>
      </c>
      <c r="E16" s="24">
        <f t="shared" ref="E16:R16" si="10">D16</f>
        <v>50</v>
      </c>
      <c r="F16" s="24">
        <f t="shared" si="10"/>
        <v>50</v>
      </c>
      <c r="G16" s="24">
        <f t="shared" si="10"/>
        <v>50</v>
      </c>
      <c r="H16" s="24">
        <f t="shared" si="10"/>
        <v>50</v>
      </c>
      <c r="I16" s="24">
        <f t="shared" si="10"/>
        <v>50</v>
      </c>
      <c r="J16" s="24">
        <f t="shared" si="10"/>
        <v>50</v>
      </c>
      <c r="K16" s="24">
        <f t="shared" si="10"/>
        <v>50</v>
      </c>
      <c r="L16" s="24">
        <f t="shared" si="10"/>
        <v>50</v>
      </c>
      <c r="M16" s="24">
        <f t="shared" si="10"/>
        <v>50</v>
      </c>
    </row>
    <row r="17" s="78" customFormat="1" ht="12" customHeight="1" spans="1:13">
      <c r="A17" s="100" t="s">
        <v>99</v>
      </c>
      <c r="B17" s="101" t="s">
        <v>100</v>
      </c>
      <c r="C17" s="102"/>
      <c r="D17" s="101">
        <v>0.5</v>
      </c>
      <c r="E17" s="101">
        <v>0.6</v>
      </c>
      <c r="F17" s="101">
        <v>0.7</v>
      </c>
      <c r="G17" s="101">
        <v>0.8</v>
      </c>
      <c r="H17" s="101">
        <v>0.9</v>
      </c>
      <c r="I17" s="101">
        <v>0.95</v>
      </c>
      <c r="J17" s="101">
        <v>0.95</v>
      </c>
      <c r="K17" s="101">
        <v>0.95</v>
      </c>
      <c r="L17" s="101">
        <v>1</v>
      </c>
      <c r="M17" s="101">
        <f>L17</f>
        <v>1</v>
      </c>
    </row>
    <row r="18" s="78" customFormat="1" ht="12" customHeight="1" spans="1:13">
      <c r="A18" s="99" t="s">
        <v>101</v>
      </c>
      <c r="B18" s="96" t="s">
        <v>102</v>
      </c>
      <c r="C18" s="66"/>
      <c r="D18" s="24">
        <v>0.15</v>
      </c>
      <c r="E18" s="24">
        <f t="shared" ref="E18:R18" si="11">D18</f>
        <v>0.15</v>
      </c>
      <c r="F18" s="24">
        <f t="shared" si="11"/>
        <v>0.15</v>
      </c>
      <c r="G18" s="24">
        <f t="shared" si="11"/>
        <v>0.15</v>
      </c>
      <c r="H18" s="24">
        <f t="shared" si="11"/>
        <v>0.15</v>
      </c>
      <c r="I18" s="24">
        <f t="shared" si="11"/>
        <v>0.15</v>
      </c>
      <c r="J18" s="24">
        <f t="shared" si="11"/>
        <v>0.15</v>
      </c>
      <c r="K18" s="24">
        <f t="shared" si="11"/>
        <v>0.15</v>
      </c>
      <c r="L18" s="24">
        <f t="shared" si="11"/>
        <v>0.15</v>
      </c>
      <c r="M18" s="24">
        <f t="shared" si="11"/>
        <v>0.15</v>
      </c>
    </row>
    <row r="19" s="78" customFormat="1" ht="12" customHeight="1" spans="1:13">
      <c r="A19" s="99" t="s">
        <v>103</v>
      </c>
      <c r="B19" s="96" t="s">
        <v>104</v>
      </c>
      <c r="C19" s="66"/>
      <c r="D19" s="24">
        <v>250</v>
      </c>
      <c r="E19" s="24">
        <f>D19</f>
        <v>250</v>
      </c>
      <c r="F19" s="24">
        <f t="shared" ref="F19:R19" si="12">E19</f>
        <v>250</v>
      </c>
      <c r="G19" s="24">
        <f t="shared" si="12"/>
        <v>250</v>
      </c>
      <c r="H19" s="24">
        <f t="shared" si="12"/>
        <v>250</v>
      </c>
      <c r="I19" s="24">
        <f t="shared" si="12"/>
        <v>250</v>
      </c>
      <c r="J19" s="24">
        <f t="shared" si="12"/>
        <v>250</v>
      </c>
      <c r="K19" s="24">
        <f t="shared" si="12"/>
        <v>250</v>
      </c>
      <c r="L19" s="24">
        <f t="shared" si="12"/>
        <v>250</v>
      </c>
      <c r="M19" s="24">
        <f t="shared" si="12"/>
        <v>250</v>
      </c>
    </row>
    <row r="20" s="78" customFormat="1" ht="12" customHeight="1" spans="1:13">
      <c r="A20" s="99" t="s">
        <v>105</v>
      </c>
      <c r="B20" s="96" t="s">
        <v>106</v>
      </c>
      <c r="C20" s="66"/>
      <c r="D20" s="24">
        <v>1.1</v>
      </c>
      <c r="E20" s="24">
        <f t="shared" ref="E20:R20" si="13">D20</f>
        <v>1.1</v>
      </c>
      <c r="F20" s="24">
        <f t="shared" si="13"/>
        <v>1.1</v>
      </c>
      <c r="G20" s="24">
        <f t="shared" si="13"/>
        <v>1.1</v>
      </c>
      <c r="H20" s="24">
        <f t="shared" si="13"/>
        <v>1.1</v>
      </c>
      <c r="I20" s="24">
        <f t="shared" si="13"/>
        <v>1.1</v>
      </c>
      <c r="J20" s="24">
        <f t="shared" si="13"/>
        <v>1.1</v>
      </c>
      <c r="K20" s="24">
        <f t="shared" si="13"/>
        <v>1.1</v>
      </c>
      <c r="L20" s="24">
        <f t="shared" si="13"/>
        <v>1.1</v>
      </c>
      <c r="M20" s="24">
        <f t="shared" si="13"/>
        <v>1.1</v>
      </c>
    </row>
    <row r="21" s="76" customFormat="1" ht="17" customHeight="1" spans="1:13">
      <c r="A21" s="99" t="s">
        <v>107</v>
      </c>
      <c r="B21" s="96" t="s">
        <v>108</v>
      </c>
      <c r="C21" s="66"/>
      <c r="D21" s="24">
        <v>180</v>
      </c>
      <c r="E21" s="24">
        <v>360</v>
      </c>
      <c r="F21" s="24">
        <f t="shared" ref="F21:R21" si="14">E21</f>
        <v>360</v>
      </c>
      <c r="G21" s="24">
        <f t="shared" si="14"/>
        <v>360</v>
      </c>
      <c r="H21" s="24">
        <f t="shared" si="14"/>
        <v>360</v>
      </c>
      <c r="I21" s="24">
        <f t="shared" si="14"/>
        <v>360</v>
      </c>
      <c r="J21" s="24">
        <f t="shared" si="14"/>
        <v>360</v>
      </c>
      <c r="K21" s="24">
        <f t="shared" si="14"/>
        <v>360</v>
      </c>
      <c r="L21" s="24">
        <f t="shared" si="14"/>
        <v>360</v>
      </c>
      <c r="M21" s="24">
        <f t="shared" si="14"/>
        <v>360</v>
      </c>
    </row>
    <row r="22" s="79" customFormat="1" ht="12" customHeight="1" spans="1:13">
      <c r="A22" s="98">
        <v>1.5</v>
      </c>
      <c r="B22" s="39" t="s">
        <v>109</v>
      </c>
      <c r="C22" s="84">
        <f>SUM(D22:K22)</f>
        <v>630.72</v>
      </c>
      <c r="D22" s="85">
        <f t="shared" ref="D22:M22" si="15">D23*D24*D25*D26*D27*D28/10000</f>
        <v>34.56</v>
      </c>
      <c r="E22" s="85">
        <f t="shared" si="15"/>
        <v>77.76</v>
      </c>
      <c r="F22" s="85">
        <f t="shared" si="15"/>
        <v>86.4</v>
      </c>
      <c r="G22" s="85">
        <f t="shared" si="15"/>
        <v>86.4</v>
      </c>
      <c r="H22" s="85">
        <f t="shared" si="15"/>
        <v>86.4</v>
      </c>
      <c r="I22" s="85">
        <f t="shared" si="15"/>
        <v>86.4</v>
      </c>
      <c r="J22" s="85">
        <f t="shared" si="15"/>
        <v>86.4</v>
      </c>
      <c r="K22" s="85">
        <f t="shared" si="15"/>
        <v>86.4</v>
      </c>
      <c r="L22" s="85">
        <f t="shared" si="15"/>
        <v>86.4</v>
      </c>
      <c r="M22" s="85">
        <f t="shared" si="15"/>
        <v>86.4</v>
      </c>
    </row>
    <row r="23" s="79" customFormat="1" ht="12" customHeight="1" spans="1:13">
      <c r="A23" s="99" t="s">
        <v>110</v>
      </c>
      <c r="B23" s="96" t="s">
        <v>98</v>
      </c>
      <c r="C23" s="66"/>
      <c r="D23" s="24">
        <f>总投资!I7*2</f>
        <v>20</v>
      </c>
      <c r="E23" s="24">
        <f t="shared" ref="E23:R23" si="16">D23</f>
        <v>20</v>
      </c>
      <c r="F23" s="24">
        <f t="shared" si="16"/>
        <v>20</v>
      </c>
      <c r="G23" s="24">
        <f t="shared" si="16"/>
        <v>20</v>
      </c>
      <c r="H23" s="24">
        <f t="shared" si="16"/>
        <v>20</v>
      </c>
      <c r="I23" s="24">
        <f t="shared" si="16"/>
        <v>20</v>
      </c>
      <c r="J23" s="24">
        <f t="shared" si="16"/>
        <v>20</v>
      </c>
      <c r="K23" s="24">
        <f t="shared" si="16"/>
        <v>20</v>
      </c>
      <c r="L23" s="24">
        <f t="shared" si="16"/>
        <v>20</v>
      </c>
      <c r="M23" s="24">
        <f t="shared" si="16"/>
        <v>20</v>
      </c>
    </row>
    <row r="24" s="79" customFormat="1" ht="12" customHeight="1" spans="1:13">
      <c r="A24" s="100" t="s">
        <v>111</v>
      </c>
      <c r="B24" s="101" t="s">
        <v>100</v>
      </c>
      <c r="C24" s="102"/>
      <c r="D24" s="101">
        <v>0.8</v>
      </c>
      <c r="E24" s="101">
        <v>0.9</v>
      </c>
      <c r="F24" s="101">
        <v>1</v>
      </c>
      <c r="G24" s="101">
        <f t="shared" ref="G24:M24" si="17">F24</f>
        <v>1</v>
      </c>
      <c r="H24" s="101">
        <f t="shared" si="17"/>
        <v>1</v>
      </c>
      <c r="I24" s="101">
        <f t="shared" si="17"/>
        <v>1</v>
      </c>
      <c r="J24" s="101">
        <f t="shared" si="17"/>
        <v>1</v>
      </c>
      <c r="K24" s="101">
        <f t="shared" si="17"/>
        <v>1</v>
      </c>
      <c r="L24" s="101">
        <f t="shared" si="17"/>
        <v>1</v>
      </c>
      <c r="M24" s="101">
        <f t="shared" si="17"/>
        <v>1</v>
      </c>
    </row>
    <row r="25" s="79" customFormat="1" ht="12" customHeight="1" spans="1:13">
      <c r="A25" s="99" t="s">
        <v>112</v>
      </c>
      <c r="B25" s="96" t="s">
        <v>102</v>
      </c>
      <c r="C25" s="66"/>
      <c r="D25" s="24">
        <v>0.15</v>
      </c>
      <c r="E25" s="24">
        <f t="shared" ref="E25:R25" si="18">D25</f>
        <v>0.15</v>
      </c>
      <c r="F25" s="24">
        <f t="shared" si="18"/>
        <v>0.15</v>
      </c>
      <c r="G25" s="24">
        <f t="shared" si="18"/>
        <v>0.15</v>
      </c>
      <c r="H25" s="24">
        <f t="shared" si="18"/>
        <v>0.15</v>
      </c>
      <c r="I25" s="24">
        <f t="shared" si="18"/>
        <v>0.15</v>
      </c>
      <c r="J25" s="24">
        <f t="shared" si="18"/>
        <v>0.15</v>
      </c>
      <c r="K25" s="24">
        <f t="shared" si="18"/>
        <v>0.15</v>
      </c>
      <c r="L25" s="24">
        <f t="shared" si="18"/>
        <v>0.15</v>
      </c>
      <c r="M25" s="24">
        <f t="shared" si="18"/>
        <v>0.15</v>
      </c>
    </row>
    <row r="26" s="79" customFormat="1" ht="12" customHeight="1" spans="1:13">
      <c r="A26" s="99" t="s">
        <v>113</v>
      </c>
      <c r="B26" s="96" t="s">
        <v>104</v>
      </c>
      <c r="C26" s="66"/>
      <c r="D26" s="24">
        <v>400</v>
      </c>
      <c r="E26" s="24">
        <f>D26</f>
        <v>400</v>
      </c>
      <c r="F26" s="24">
        <f t="shared" ref="F26:R26" si="19">E26</f>
        <v>400</v>
      </c>
      <c r="G26" s="24">
        <f t="shared" si="19"/>
        <v>400</v>
      </c>
      <c r="H26" s="24">
        <f t="shared" si="19"/>
        <v>400</v>
      </c>
      <c r="I26" s="24">
        <f t="shared" si="19"/>
        <v>400</v>
      </c>
      <c r="J26" s="24">
        <f t="shared" si="19"/>
        <v>400</v>
      </c>
      <c r="K26" s="24">
        <f t="shared" si="19"/>
        <v>400</v>
      </c>
      <c r="L26" s="24">
        <f t="shared" si="19"/>
        <v>400</v>
      </c>
      <c r="M26" s="24">
        <f t="shared" si="19"/>
        <v>400</v>
      </c>
    </row>
    <row r="27" s="79" customFormat="1" ht="12" customHeight="1" spans="1:13">
      <c r="A27" s="99" t="s">
        <v>114</v>
      </c>
      <c r="B27" s="96" t="s">
        <v>106</v>
      </c>
      <c r="C27" s="66"/>
      <c r="D27" s="24">
        <v>2</v>
      </c>
      <c r="E27" s="24">
        <f t="shared" ref="E27:R27" si="20">D27</f>
        <v>2</v>
      </c>
      <c r="F27" s="24">
        <f t="shared" si="20"/>
        <v>2</v>
      </c>
      <c r="G27" s="24">
        <f t="shared" si="20"/>
        <v>2</v>
      </c>
      <c r="H27" s="24">
        <f t="shared" si="20"/>
        <v>2</v>
      </c>
      <c r="I27" s="24">
        <f t="shared" si="20"/>
        <v>2</v>
      </c>
      <c r="J27" s="24">
        <f t="shared" si="20"/>
        <v>2</v>
      </c>
      <c r="K27" s="24">
        <f t="shared" si="20"/>
        <v>2</v>
      </c>
      <c r="L27" s="24">
        <f t="shared" si="20"/>
        <v>2</v>
      </c>
      <c r="M27" s="24">
        <f t="shared" si="20"/>
        <v>2</v>
      </c>
    </row>
    <row r="28" s="79" customFormat="1" ht="12" customHeight="1" spans="1:13">
      <c r="A28" s="99" t="s">
        <v>115</v>
      </c>
      <c r="B28" s="96" t="s">
        <v>108</v>
      </c>
      <c r="C28" s="66"/>
      <c r="D28" s="24">
        <v>180</v>
      </c>
      <c r="E28" s="24">
        <v>360</v>
      </c>
      <c r="F28" s="24">
        <f t="shared" ref="F28:R28" si="21">E28</f>
        <v>360</v>
      </c>
      <c r="G28" s="24">
        <f t="shared" si="21"/>
        <v>360</v>
      </c>
      <c r="H28" s="24">
        <f t="shared" si="21"/>
        <v>360</v>
      </c>
      <c r="I28" s="24">
        <f t="shared" si="21"/>
        <v>360</v>
      </c>
      <c r="J28" s="24">
        <f t="shared" si="21"/>
        <v>360</v>
      </c>
      <c r="K28" s="24">
        <f t="shared" si="21"/>
        <v>360</v>
      </c>
      <c r="L28" s="24">
        <f t="shared" si="21"/>
        <v>360</v>
      </c>
      <c r="M28" s="24">
        <f t="shared" si="21"/>
        <v>360</v>
      </c>
    </row>
    <row r="29" s="79" customFormat="1" ht="12" customHeight="1" spans="1:13">
      <c r="A29" s="98">
        <v>1.6</v>
      </c>
      <c r="B29" s="39" t="s">
        <v>116</v>
      </c>
      <c r="C29" s="84">
        <f>SUM(D29:K29)</f>
        <v>283.824</v>
      </c>
      <c r="D29" s="85">
        <f t="shared" ref="D29:R29" si="22">D30*D31*D32*D33*D34*D35/10000</f>
        <v>15.552</v>
      </c>
      <c r="E29" s="85">
        <f t="shared" si="22"/>
        <v>34.992</v>
      </c>
      <c r="F29" s="85">
        <f t="shared" si="22"/>
        <v>38.88</v>
      </c>
      <c r="G29" s="85">
        <f t="shared" si="22"/>
        <v>38.88</v>
      </c>
      <c r="H29" s="85">
        <f t="shared" si="22"/>
        <v>38.88</v>
      </c>
      <c r="I29" s="85">
        <f t="shared" si="22"/>
        <v>38.88</v>
      </c>
      <c r="J29" s="85">
        <f t="shared" si="22"/>
        <v>38.88</v>
      </c>
      <c r="K29" s="85">
        <f t="shared" si="22"/>
        <v>38.88</v>
      </c>
      <c r="L29" s="85">
        <f t="shared" si="22"/>
        <v>38.88</v>
      </c>
      <c r="M29" s="85">
        <f t="shared" si="22"/>
        <v>38.88</v>
      </c>
    </row>
    <row r="30" s="79" customFormat="1" ht="12" customHeight="1" spans="1:13">
      <c r="A30" s="99" t="s">
        <v>117</v>
      </c>
      <c r="B30" s="96" t="s">
        <v>98</v>
      </c>
      <c r="C30" s="66"/>
      <c r="D30" s="24">
        <f>总投资!I8*2</f>
        <v>8</v>
      </c>
      <c r="E30" s="24">
        <f t="shared" ref="E30:R30" si="23">D30</f>
        <v>8</v>
      </c>
      <c r="F30" s="24">
        <f t="shared" si="23"/>
        <v>8</v>
      </c>
      <c r="G30" s="24">
        <f t="shared" si="23"/>
        <v>8</v>
      </c>
      <c r="H30" s="24">
        <f t="shared" si="23"/>
        <v>8</v>
      </c>
      <c r="I30" s="24">
        <f t="shared" si="23"/>
        <v>8</v>
      </c>
      <c r="J30" s="24">
        <f t="shared" si="23"/>
        <v>8</v>
      </c>
      <c r="K30" s="24">
        <f t="shared" si="23"/>
        <v>8</v>
      </c>
      <c r="L30" s="24">
        <f t="shared" si="23"/>
        <v>8</v>
      </c>
      <c r="M30" s="24">
        <f t="shared" si="23"/>
        <v>8</v>
      </c>
    </row>
    <row r="31" s="79" customFormat="1" ht="12" customHeight="1" spans="1:13">
      <c r="A31" s="100" t="s">
        <v>118</v>
      </c>
      <c r="B31" s="101" t="s">
        <v>100</v>
      </c>
      <c r="C31" s="102"/>
      <c r="D31" s="101">
        <v>0.8</v>
      </c>
      <c r="E31" s="101">
        <v>0.9</v>
      </c>
      <c r="F31" s="101">
        <v>1</v>
      </c>
      <c r="G31" s="101">
        <f t="shared" ref="G31:M31" si="24">F31</f>
        <v>1</v>
      </c>
      <c r="H31" s="101">
        <f t="shared" si="24"/>
        <v>1</v>
      </c>
      <c r="I31" s="101">
        <f t="shared" si="24"/>
        <v>1</v>
      </c>
      <c r="J31" s="101">
        <f t="shared" si="24"/>
        <v>1</v>
      </c>
      <c r="K31" s="101">
        <f t="shared" si="24"/>
        <v>1</v>
      </c>
      <c r="L31" s="101">
        <f t="shared" si="24"/>
        <v>1</v>
      </c>
      <c r="M31" s="101">
        <f t="shared" si="24"/>
        <v>1</v>
      </c>
    </row>
    <row r="32" s="79" customFormat="1" ht="12" customHeight="1" spans="1:13">
      <c r="A32" s="99" t="s">
        <v>119</v>
      </c>
      <c r="B32" s="96" t="s">
        <v>102</v>
      </c>
      <c r="C32" s="66"/>
      <c r="D32" s="24">
        <v>0.15</v>
      </c>
      <c r="E32" s="24">
        <f t="shared" ref="E32:R32" si="25">D32</f>
        <v>0.15</v>
      </c>
      <c r="F32" s="24">
        <f t="shared" si="25"/>
        <v>0.15</v>
      </c>
      <c r="G32" s="24">
        <f t="shared" si="25"/>
        <v>0.15</v>
      </c>
      <c r="H32" s="24">
        <f t="shared" si="25"/>
        <v>0.15</v>
      </c>
      <c r="I32" s="24">
        <f t="shared" si="25"/>
        <v>0.15</v>
      </c>
      <c r="J32" s="24">
        <f t="shared" si="25"/>
        <v>0.15</v>
      </c>
      <c r="K32" s="24">
        <f t="shared" si="25"/>
        <v>0.15</v>
      </c>
      <c r="L32" s="24">
        <f t="shared" si="25"/>
        <v>0.15</v>
      </c>
      <c r="M32" s="24">
        <f t="shared" si="25"/>
        <v>0.15</v>
      </c>
    </row>
    <row r="33" s="79" customFormat="1" ht="12" customHeight="1" spans="1:13">
      <c r="A33" s="99" t="s">
        <v>120</v>
      </c>
      <c r="B33" s="96" t="s">
        <v>104</v>
      </c>
      <c r="C33" s="66"/>
      <c r="D33" s="24">
        <v>600</v>
      </c>
      <c r="E33" s="24">
        <f t="shared" ref="E33:R33" si="26">D33</f>
        <v>600</v>
      </c>
      <c r="F33" s="24">
        <f t="shared" si="26"/>
        <v>600</v>
      </c>
      <c r="G33" s="24">
        <f t="shared" si="26"/>
        <v>600</v>
      </c>
      <c r="H33" s="24">
        <f t="shared" si="26"/>
        <v>600</v>
      </c>
      <c r="I33" s="24">
        <f t="shared" si="26"/>
        <v>600</v>
      </c>
      <c r="J33" s="24">
        <f t="shared" si="26"/>
        <v>600</v>
      </c>
      <c r="K33" s="24">
        <f t="shared" si="26"/>
        <v>600</v>
      </c>
      <c r="L33" s="24">
        <f t="shared" si="26"/>
        <v>600</v>
      </c>
      <c r="M33" s="24">
        <f t="shared" si="26"/>
        <v>600</v>
      </c>
    </row>
    <row r="34" s="79" customFormat="1" ht="12" customHeight="1" spans="1:13">
      <c r="A34" s="99" t="s">
        <v>121</v>
      </c>
      <c r="B34" s="96" t="s">
        <v>106</v>
      </c>
      <c r="C34" s="66"/>
      <c r="D34" s="24">
        <v>1.5</v>
      </c>
      <c r="E34" s="24">
        <f t="shared" ref="E34:R34" si="27">D34</f>
        <v>1.5</v>
      </c>
      <c r="F34" s="24">
        <f t="shared" si="27"/>
        <v>1.5</v>
      </c>
      <c r="G34" s="24">
        <f t="shared" si="27"/>
        <v>1.5</v>
      </c>
      <c r="H34" s="24">
        <f t="shared" si="27"/>
        <v>1.5</v>
      </c>
      <c r="I34" s="24">
        <f t="shared" si="27"/>
        <v>1.5</v>
      </c>
      <c r="J34" s="24">
        <f t="shared" si="27"/>
        <v>1.5</v>
      </c>
      <c r="K34" s="24">
        <f t="shared" si="27"/>
        <v>1.5</v>
      </c>
      <c r="L34" s="24">
        <f t="shared" si="27"/>
        <v>1.5</v>
      </c>
      <c r="M34" s="24">
        <f t="shared" si="27"/>
        <v>1.5</v>
      </c>
    </row>
    <row r="35" s="79" customFormat="1" ht="12" customHeight="1" spans="1:13">
      <c r="A35" s="99" t="s">
        <v>122</v>
      </c>
      <c r="B35" s="96" t="s">
        <v>108</v>
      </c>
      <c r="C35" s="66"/>
      <c r="D35" s="24">
        <v>180</v>
      </c>
      <c r="E35" s="24">
        <v>360</v>
      </c>
      <c r="F35" s="24">
        <f t="shared" ref="F35:R35" si="28">E35</f>
        <v>360</v>
      </c>
      <c r="G35" s="24">
        <f t="shared" si="28"/>
        <v>360</v>
      </c>
      <c r="H35" s="24">
        <f t="shared" si="28"/>
        <v>360</v>
      </c>
      <c r="I35" s="24">
        <f t="shared" si="28"/>
        <v>360</v>
      </c>
      <c r="J35" s="24">
        <f t="shared" si="28"/>
        <v>360</v>
      </c>
      <c r="K35" s="24">
        <f t="shared" si="28"/>
        <v>360</v>
      </c>
      <c r="L35" s="24">
        <f t="shared" si="28"/>
        <v>360</v>
      </c>
      <c r="M35" s="24">
        <f t="shared" si="28"/>
        <v>360</v>
      </c>
    </row>
    <row r="36" s="76" customFormat="1" ht="12" customHeight="1" spans="1:13">
      <c r="A36" s="98">
        <v>2</v>
      </c>
      <c r="B36" s="39" t="s">
        <v>123</v>
      </c>
      <c r="C36" s="84">
        <f>SUM((D36:K36))</f>
        <v>94.2629057312088</v>
      </c>
      <c r="D36" s="85">
        <f t="shared" ref="D36:R36" si="29">D37+D38+D39+D40</f>
        <v>6.1789224566</v>
      </c>
      <c r="E36" s="85">
        <f t="shared" si="29"/>
        <v>12.481357768384</v>
      </c>
      <c r="F36" s="85">
        <f t="shared" si="29"/>
        <v>12.6051060500421</v>
      </c>
      <c r="G36" s="85">
        <f t="shared" si="29"/>
        <v>12.6219741810419</v>
      </c>
      <c r="H36" s="85">
        <f t="shared" si="29"/>
        <v>12.6390753901367</v>
      </c>
      <c r="I36" s="85">
        <f t="shared" si="29"/>
        <v>12.624666636936</v>
      </c>
      <c r="J36" s="20">
        <f t="shared" si="29"/>
        <v>12.5787467618763</v>
      </c>
      <c r="K36" s="85">
        <f t="shared" si="29"/>
        <v>12.5330564861919</v>
      </c>
      <c r="L36" s="85">
        <f t="shared" si="29"/>
        <v>12.519336536886</v>
      </c>
      <c r="M36" s="85">
        <f t="shared" si="29"/>
        <v>12.4741020217015</v>
      </c>
    </row>
    <row r="37" ht="12" customHeight="1" spans="1:13">
      <c r="A37" s="99">
        <v>2.1</v>
      </c>
      <c r="B37" s="44" t="s">
        <v>124</v>
      </c>
      <c r="C37" s="66"/>
      <c r="D37" s="66"/>
      <c r="E37" s="25"/>
      <c r="F37" s="25"/>
      <c r="G37" s="25"/>
      <c r="H37" s="25"/>
      <c r="I37" s="25"/>
      <c r="J37" s="103"/>
      <c r="K37" s="25"/>
      <c r="L37" s="25"/>
      <c r="M37" s="25"/>
    </row>
    <row r="38" ht="12" customHeight="1" spans="1:13">
      <c r="A38" s="99">
        <v>2.2</v>
      </c>
      <c r="B38" s="44" t="s">
        <v>125</v>
      </c>
      <c r="C38" s="66"/>
      <c r="D38" s="66"/>
      <c r="E38" s="25"/>
      <c r="F38" s="25"/>
      <c r="G38" s="25"/>
      <c r="H38" s="25"/>
      <c r="I38" s="25"/>
      <c r="J38" s="103"/>
      <c r="K38" s="25"/>
      <c r="L38" s="25"/>
      <c r="M38" s="25"/>
    </row>
    <row r="39" ht="12" customHeight="1" spans="1:13">
      <c r="A39" s="99">
        <v>2.3</v>
      </c>
      <c r="B39" s="104" t="s">
        <v>126</v>
      </c>
      <c r="C39" s="66">
        <f>SUM((D39:K39))</f>
        <v>65.9840340118462</v>
      </c>
      <c r="D39" s="24">
        <f t="shared" ref="D39:R39" si="30">D41*0.07</f>
        <v>4.32524571962</v>
      </c>
      <c r="E39" s="24">
        <f t="shared" si="30"/>
        <v>8.7369504378688</v>
      </c>
      <c r="F39" s="24">
        <f t="shared" si="30"/>
        <v>8.82357423502946</v>
      </c>
      <c r="G39" s="24">
        <f t="shared" si="30"/>
        <v>8.83538192672931</v>
      </c>
      <c r="H39" s="24">
        <f t="shared" si="30"/>
        <v>8.84735277309566</v>
      </c>
      <c r="I39" s="24">
        <f t="shared" si="30"/>
        <v>8.83726664585519</v>
      </c>
      <c r="J39" s="26">
        <f t="shared" si="30"/>
        <v>8.80512273331341</v>
      </c>
      <c r="K39" s="24">
        <f t="shared" si="30"/>
        <v>8.77313954033434</v>
      </c>
      <c r="L39" s="24">
        <f t="shared" si="30"/>
        <v>8.76353557582017</v>
      </c>
      <c r="M39" s="24">
        <f t="shared" si="30"/>
        <v>8.73187141519107</v>
      </c>
    </row>
    <row r="40" ht="12" customHeight="1" spans="1:13">
      <c r="A40" s="99">
        <v>2.4</v>
      </c>
      <c r="B40" s="44" t="s">
        <v>127</v>
      </c>
      <c r="C40" s="66">
        <f>SUM((D40:K40))</f>
        <v>28.2788717193626</v>
      </c>
      <c r="D40" s="24">
        <f t="shared" ref="D40:R40" si="31">D41*0.03</f>
        <v>1.85367673698</v>
      </c>
      <c r="E40" s="24">
        <f t="shared" si="31"/>
        <v>3.7444073305152</v>
      </c>
      <c r="F40" s="24">
        <f t="shared" si="31"/>
        <v>3.78153181501262</v>
      </c>
      <c r="G40" s="24">
        <f t="shared" si="31"/>
        <v>3.78659225431256</v>
      </c>
      <c r="H40" s="24">
        <f t="shared" si="31"/>
        <v>3.791722617041</v>
      </c>
      <c r="I40" s="24">
        <f t="shared" si="31"/>
        <v>3.78739999108079</v>
      </c>
      <c r="J40" s="26">
        <f t="shared" si="31"/>
        <v>3.77362402856289</v>
      </c>
      <c r="K40" s="24">
        <f t="shared" si="31"/>
        <v>3.75991694585757</v>
      </c>
      <c r="L40" s="24">
        <f t="shared" si="31"/>
        <v>3.75580096106579</v>
      </c>
      <c r="M40" s="24">
        <f t="shared" si="31"/>
        <v>3.74223060651046</v>
      </c>
    </row>
    <row r="41" ht="12" customHeight="1" spans="1:13">
      <c r="A41" s="99">
        <v>3</v>
      </c>
      <c r="B41" s="44" t="s">
        <v>128</v>
      </c>
      <c r="C41" s="66">
        <f>SUM((D41:K41))</f>
        <v>942.629057312088</v>
      </c>
      <c r="D41" s="24">
        <f t="shared" ref="D41:R41" si="32">D42-D43</f>
        <v>61.789224566</v>
      </c>
      <c r="E41" s="24">
        <f t="shared" si="32"/>
        <v>124.81357768384</v>
      </c>
      <c r="F41" s="24">
        <f t="shared" si="32"/>
        <v>126.051060500421</v>
      </c>
      <c r="G41" s="24">
        <f t="shared" si="32"/>
        <v>126.219741810419</v>
      </c>
      <c r="H41" s="24">
        <f t="shared" si="32"/>
        <v>126.390753901367</v>
      </c>
      <c r="I41" s="24">
        <f t="shared" si="32"/>
        <v>126.24666636936</v>
      </c>
      <c r="J41" s="24">
        <f t="shared" si="32"/>
        <v>125.787467618763</v>
      </c>
      <c r="K41" s="24">
        <f t="shared" si="32"/>
        <v>125.330564861919</v>
      </c>
      <c r="L41" s="24">
        <f t="shared" si="32"/>
        <v>125.19336536886</v>
      </c>
      <c r="M41" s="24">
        <f t="shared" si="32"/>
        <v>124.741020217015</v>
      </c>
    </row>
    <row r="42" ht="12" customHeight="1" spans="1:13">
      <c r="A42" s="99">
        <v>3.1</v>
      </c>
      <c r="B42" s="44" t="s">
        <v>129</v>
      </c>
      <c r="C42" s="66">
        <f>SUM((D42:K42))</f>
        <v>986.469496976665</v>
      </c>
      <c r="D42" s="24">
        <f>(D6+D12)*0.13+(D15+D22+D29)*0.09</f>
        <v>64.64191716</v>
      </c>
      <c r="E42" s="24">
        <f t="shared" ref="E42:M42" si="33">(E6+E12)*0.13+(E15+E22+E29)*0.09</f>
        <v>130.5918681984</v>
      </c>
      <c r="F42" s="24">
        <f t="shared" si="33"/>
        <v>131.902340757408</v>
      </c>
      <c r="G42" s="24">
        <f t="shared" si="33"/>
        <v>132.087719803621</v>
      </c>
      <c r="H42" s="24">
        <f t="shared" si="33"/>
        <v>132.275513204603</v>
      </c>
      <c r="I42" s="24">
        <f t="shared" si="33"/>
        <v>132.13158388858</v>
      </c>
      <c r="J42" s="24">
        <f t="shared" si="33"/>
        <v>131.655919844137</v>
      </c>
      <c r="K42" s="24">
        <f t="shared" si="33"/>
        <v>131.182634119916</v>
      </c>
      <c r="L42" s="24">
        <f t="shared" si="33"/>
        <v>131.045839824317</v>
      </c>
      <c r="M42" s="24">
        <f t="shared" si="33"/>
        <v>130.577275125195</v>
      </c>
    </row>
    <row r="43" ht="12" customHeight="1" spans="1:13">
      <c r="A43" s="99">
        <v>3.2</v>
      </c>
      <c r="B43" s="44" t="s">
        <v>130</v>
      </c>
      <c r="C43" s="66">
        <f>SUM((D43:K43))</f>
        <v>43.8404396645769</v>
      </c>
      <c r="D43" s="24">
        <f>总成本费用表!D5*0.13+总成本费用表!D8*0.09</f>
        <v>2.852692594</v>
      </c>
      <c r="E43" s="24">
        <f>总成本费用表!E5*0.13+总成本费用表!E8*0.09</f>
        <v>5.77829051456</v>
      </c>
      <c r="F43" s="24">
        <f>总成本费用表!F5*0.13+总成本费用表!F8*0.09</f>
        <v>5.8512802569872</v>
      </c>
      <c r="G43" s="24">
        <f>总成本费用表!G5*0.13+总成本费用表!G8*0.09</f>
        <v>5.86797799320226</v>
      </c>
      <c r="H43" s="24">
        <f>总成本费用表!H5*0.13+总成本费用表!H8*0.09</f>
        <v>5.88475930323625</v>
      </c>
      <c r="I43" s="24">
        <f>总成本费用表!I5*0.13+总成本费用表!I8*0.09</f>
        <v>5.88491751922007</v>
      </c>
      <c r="J43" s="24">
        <f>总成本费用表!J5*0.13+总成本费用表!J8*0.09</f>
        <v>5.86845222537397</v>
      </c>
      <c r="K43" s="24">
        <f>总成本费用表!K5*0.13+总成本费用表!K8*0.09</f>
        <v>5.8520692579971</v>
      </c>
      <c r="L43" s="24">
        <f>总成本费用表!L5*0.13+总成本费用表!L8*0.09</f>
        <v>5.85247445545712</v>
      </c>
      <c r="M43" s="24">
        <f>总成本费用表!M5*0.13+总成本费用表!M8*0.09</f>
        <v>5.83625490817983</v>
      </c>
    </row>
  </sheetData>
  <sheetProtection formatCells="0" insertHyperlinks="0" autoFilter="0"/>
  <mergeCells count="5">
    <mergeCell ref="A1:K1"/>
    <mergeCell ref="D3:M3"/>
    <mergeCell ref="A3:A4"/>
    <mergeCell ref="B3:B4"/>
    <mergeCell ref="C3:C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workbookViewId="0">
      <selection activeCell="D8" sqref="D8"/>
    </sheetView>
  </sheetViews>
  <sheetFormatPr defaultColWidth="9" defaultRowHeight="13.5"/>
  <cols>
    <col min="1" max="1" width="3.36666666666667" style="56" customWidth="1"/>
    <col min="2" max="2" width="14.1333333333333" style="56" customWidth="1"/>
    <col min="3" max="3" width="10.4666666666667" customWidth="1"/>
    <col min="4" max="4" width="7.86666666666667" customWidth="1"/>
    <col min="5" max="11" width="8.60833333333333" customWidth="1"/>
  </cols>
  <sheetData>
    <row r="1" spans="1:13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ht="15.4" customHeight="1" spans="1:13">
      <c r="K2" t="s">
        <v>1</v>
      </c>
    </row>
    <row r="3" s="31" customFormat="1" ht="14.1" customHeight="1" spans="1:13">
      <c r="A3" s="70" t="s">
        <v>2</v>
      </c>
      <c r="B3" s="70" t="s">
        <v>72</v>
      </c>
      <c r="C3" s="71" t="s">
        <v>8</v>
      </c>
      <c r="D3" s="39" t="s">
        <v>75</v>
      </c>
      <c r="E3" s="39"/>
      <c r="F3" s="39"/>
      <c r="G3" s="39"/>
      <c r="H3" s="39"/>
      <c r="I3" s="39"/>
      <c r="J3" s="39"/>
      <c r="K3" s="39"/>
      <c r="L3" s="39"/>
      <c r="M3" s="39"/>
    </row>
    <row r="4" s="31" customFormat="1" ht="12" customHeight="1" spans="1:13">
      <c r="A4" s="72"/>
      <c r="B4" s="72"/>
      <c r="C4" s="73"/>
      <c r="D4" s="72">
        <v>0.5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</row>
    <row r="5" s="32" customFormat="1" ht="15" customHeight="1" spans="1:13">
      <c r="A5" s="46">
        <v>1</v>
      </c>
      <c r="B5" s="47" t="s">
        <v>132</v>
      </c>
      <c r="C5" s="68">
        <f>SUM(D5:K5)</f>
        <v>60</v>
      </c>
      <c r="D5" s="68">
        <f>E5*0.5</f>
        <v>4</v>
      </c>
      <c r="E5" s="68">
        <f>8</f>
        <v>8</v>
      </c>
      <c r="F5" s="68">
        <f t="shared" ref="F5:M5" si="0">E5</f>
        <v>8</v>
      </c>
      <c r="G5" s="68">
        <f t="shared" si="0"/>
        <v>8</v>
      </c>
      <c r="H5" s="68">
        <f t="shared" si="0"/>
        <v>8</v>
      </c>
      <c r="I5" s="68">
        <f t="shared" si="0"/>
        <v>8</v>
      </c>
      <c r="J5" s="68">
        <f t="shared" si="0"/>
        <v>8</v>
      </c>
      <c r="K5" s="68">
        <f t="shared" si="0"/>
        <v>8</v>
      </c>
      <c r="L5" s="68">
        <f t="shared" si="0"/>
        <v>8</v>
      </c>
      <c r="M5" s="68">
        <f t="shared" si="0"/>
        <v>8</v>
      </c>
    </row>
    <row r="6" s="32" customFormat="1" ht="15" customHeight="1" spans="1:13">
      <c r="A6" s="46">
        <v>2</v>
      </c>
      <c r="B6" s="47" t="s">
        <v>133</v>
      </c>
      <c r="C6" s="68">
        <f>SUM(D6:K6)</f>
        <v>480</v>
      </c>
      <c r="D6" s="68">
        <f>8*8*0.5</f>
        <v>32</v>
      </c>
      <c r="E6" s="68">
        <f>8*8</f>
        <v>64</v>
      </c>
      <c r="F6" s="68">
        <f t="shared" ref="F6:M6" si="1">E6</f>
        <v>64</v>
      </c>
      <c r="G6" s="68">
        <f t="shared" si="1"/>
        <v>64</v>
      </c>
      <c r="H6" s="68">
        <f t="shared" si="1"/>
        <v>64</v>
      </c>
      <c r="I6" s="68">
        <f t="shared" si="1"/>
        <v>64</v>
      </c>
      <c r="J6" s="68">
        <f t="shared" si="1"/>
        <v>64</v>
      </c>
      <c r="K6" s="68">
        <f t="shared" si="1"/>
        <v>64</v>
      </c>
      <c r="L6" s="68">
        <f t="shared" si="1"/>
        <v>64</v>
      </c>
      <c r="M6" s="68">
        <f t="shared" si="1"/>
        <v>64</v>
      </c>
    </row>
    <row r="7" s="32" customFormat="1" ht="15" customHeight="1" spans="1:13">
      <c r="A7" s="46">
        <v>3</v>
      </c>
      <c r="B7" s="47" t="s">
        <v>134</v>
      </c>
      <c r="C7" s="68">
        <f>SUM(D7:K7)</f>
        <v>162.4289795856</v>
      </c>
      <c r="D7" s="68">
        <f>D10*0.1</f>
        <v>20.3036224482</v>
      </c>
      <c r="E7" s="68">
        <f>E10*0.05</f>
        <v>20.3036224482</v>
      </c>
      <c r="F7" s="68">
        <f t="shared" ref="F7:R7" si="2">F10*0.05</f>
        <v>20.3036224482</v>
      </c>
      <c r="G7" s="68">
        <f t="shared" si="2"/>
        <v>20.3036224482</v>
      </c>
      <c r="H7" s="68">
        <f t="shared" si="2"/>
        <v>20.3036224482</v>
      </c>
      <c r="I7" s="68">
        <f t="shared" si="2"/>
        <v>20.3036224482</v>
      </c>
      <c r="J7" s="68">
        <f t="shared" si="2"/>
        <v>20.3036224482</v>
      </c>
      <c r="K7" s="68">
        <f t="shared" si="2"/>
        <v>20.3036224482</v>
      </c>
      <c r="L7" s="68">
        <f t="shared" si="2"/>
        <v>20.3036224482</v>
      </c>
      <c r="M7" s="68">
        <f t="shared" si="2"/>
        <v>20.3036224482</v>
      </c>
    </row>
    <row r="8" s="31" customFormat="1" ht="15" customHeight="1" spans="1:13">
      <c r="A8" s="46">
        <v>5</v>
      </c>
      <c r="B8" s="44" t="s">
        <v>135</v>
      </c>
      <c r="C8" s="68">
        <f t="shared" ref="C8:C15" si="3">SUM(D8:K8)</f>
        <v>400.44932960641</v>
      </c>
      <c r="D8" s="66">
        <f>营业收入及税金表!D5*0.05</f>
        <v>25.9188066</v>
      </c>
      <c r="E8" s="66">
        <f>营业收入及税金表!E5*0.05</f>
        <v>52.647672384</v>
      </c>
      <c r="F8" s="66">
        <f>营业收入及税金表!F5*0.05</f>
        <v>53.45866952208</v>
      </c>
      <c r="G8" s="66">
        <f>营业收入及税金表!G5*0.05</f>
        <v>53.6441999244696</v>
      </c>
      <c r="H8" s="66">
        <f>营业收入及税金表!H5*0.05</f>
        <v>53.8306589248473</v>
      </c>
      <c r="I8" s="66">
        <f>营业收入及税金表!I5*0.05</f>
        <v>53.832416880223</v>
      </c>
      <c r="J8" s="66">
        <f>营业收入及税金表!J5*0.05</f>
        <v>53.6494691708219</v>
      </c>
      <c r="K8" s="66">
        <f>营业收入及税金表!K5*0.05</f>
        <v>53.4674361999678</v>
      </c>
      <c r="L8" s="66">
        <f>营业收入及税金表!L5*0.05</f>
        <v>53.471938393968</v>
      </c>
      <c r="M8" s="66">
        <f>营业收入及税金表!M5*0.05</f>
        <v>53.2917212019981</v>
      </c>
    </row>
    <row r="9" s="31" customFormat="1" ht="21" customHeight="1" spans="1:13">
      <c r="A9" s="46">
        <v>6</v>
      </c>
      <c r="B9" s="44" t="s">
        <v>136</v>
      </c>
      <c r="C9" s="68">
        <f t="shared" si="3"/>
        <v>1102.87830919201</v>
      </c>
      <c r="D9" s="74">
        <f>SUM(D5:D8)</f>
        <v>82.2224290482</v>
      </c>
      <c r="E9" s="74">
        <f>SUM(E5:E8)</f>
        <v>144.9512948322</v>
      </c>
      <c r="F9" s="74">
        <f t="shared" ref="D9:R9" si="4">SUM(F5:F8)</f>
        <v>145.76229197028</v>
      </c>
      <c r="G9" s="74">
        <f t="shared" si="4"/>
        <v>145.94782237267</v>
      </c>
      <c r="H9" s="74">
        <f t="shared" si="4"/>
        <v>146.134281373047</v>
      </c>
      <c r="I9" s="74">
        <f t="shared" si="4"/>
        <v>146.136039328423</v>
      </c>
      <c r="J9" s="74">
        <f t="shared" si="4"/>
        <v>145.953091619022</v>
      </c>
      <c r="K9" s="74">
        <f t="shared" si="4"/>
        <v>145.771058648168</v>
      </c>
      <c r="L9" s="74">
        <f t="shared" si="4"/>
        <v>145.775560842168</v>
      </c>
      <c r="M9" s="74">
        <f t="shared" si="4"/>
        <v>145.595343650198</v>
      </c>
    </row>
    <row r="10" s="31" customFormat="1" ht="15" customHeight="1" spans="1:13">
      <c r="A10" s="46">
        <v>7</v>
      </c>
      <c r="B10" s="44" t="s">
        <v>80</v>
      </c>
      <c r="C10" s="68">
        <f t="shared" si="3"/>
        <v>3045.54336723</v>
      </c>
      <c r="D10" s="66">
        <f>固定资产折旧!F9</f>
        <v>203.036224482</v>
      </c>
      <c r="E10" s="66">
        <f>固定资产折旧!G9</f>
        <v>406.072448964</v>
      </c>
      <c r="F10" s="66">
        <f>固定资产折旧!H9</f>
        <v>406.072448964</v>
      </c>
      <c r="G10" s="66">
        <f>固定资产折旧!I9</f>
        <v>406.072448964</v>
      </c>
      <c r="H10" s="66">
        <f>固定资产折旧!J9</f>
        <v>406.072448964</v>
      </c>
      <c r="I10" s="66">
        <f>固定资产折旧!K9</f>
        <v>406.072448964</v>
      </c>
      <c r="J10" s="66">
        <f>固定资产折旧!L9</f>
        <v>406.072448964</v>
      </c>
      <c r="K10" s="66">
        <f>固定资产折旧!M9</f>
        <v>406.072448964</v>
      </c>
      <c r="L10" s="66">
        <f>固定资产折旧!N9</f>
        <v>406.072448964</v>
      </c>
      <c r="M10" s="66">
        <f>固定资产折旧!O9</f>
        <v>406.072448964</v>
      </c>
    </row>
    <row r="11" s="31" customFormat="1" ht="15" customHeight="1" spans="1:13">
      <c r="A11" s="46">
        <v>8</v>
      </c>
      <c r="B11" s="44" t="s">
        <v>137</v>
      </c>
      <c r="C11" s="68"/>
      <c r="D11" s="66"/>
      <c r="E11" s="74"/>
      <c r="F11" s="74"/>
      <c r="G11" s="74"/>
      <c r="H11" s="74"/>
      <c r="I11" s="74"/>
      <c r="J11" s="74"/>
      <c r="K11" s="74"/>
      <c r="L11" s="74"/>
      <c r="M11" s="74"/>
    </row>
    <row r="12" s="32" customFormat="1" ht="15" customHeight="1" spans="1:13">
      <c r="A12" s="46">
        <v>9</v>
      </c>
      <c r="B12" s="47" t="s">
        <v>138</v>
      </c>
      <c r="C12" s="68">
        <f t="shared" si="3"/>
        <v>1038.6</v>
      </c>
      <c r="D12" s="68">
        <f>还本付息表!E9</f>
        <v>108</v>
      </c>
      <c r="E12" s="68">
        <f>还本付息表!F9</f>
        <v>201.825</v>
      </c>
      <c r="F12" s="68">
        <f>还本付息表!G9</f>
        <v>181.8</v>
      </c>
      <c r="G12" s="68">
        <f>还本付息表!H9</f>
        <v>160.875</v>
      </c>
      <c r="H12" s="68">
        <f>还本付息表!I9</f>
        <v>139.05</v>
      </c>
      <c r="I12" s="68">
        <f>还本付息表!J9</f>
        <v>115.875</v>
      </c>
      <c r="J12" s="68">
        <f>还本付息表!K9</f>
        <v>91.575</v>
      </c>
      <c r="K12" s="68">
        <f>还本付息表!L9</f>
        <v>39.6</v>
      </c>
      <c r="L12" s="68">
        <f>还本付息表!M9</f>
        <v>26.775</v>
      </c>
      <c r="M12" s="68">
        <f>还本付息表!N9</f>
        <v>13.5</v>
      </c>
    </row>
    <row r="13" s="31" customFormat="1" ht="18.95" customHeight="1" spans="1:13">
      <c r="A13" s="46">
        <v>10</v>
      </c>
      <c r="B13" s="44" t="s">
        <v>139</v>
      </c>
      <c r="C13" s="68">
        <f t="shared" si="3"/>
        <v>5187.02167642201</v>
      </c>
      <c r="D13" s="74">
        <f t="shared" ref="D13:R13" si="5">SUM(D9:D12)</f>
        <v>393.2586535302</v>
      </c>
      <c r="E13" s="74">
        <f t="shared" si="5"/>
        <v>752.8487437962</v>
      </c>
      <c r="F13" s="74">
        <f t="shared" si="5"/>
        <v>733.63474093428</v>
      </c>
      <c r="G13" s="74">
        <f t="shared" si="5"/>
        <v>712.89527133667</v>
      </c>
      <c r="H13" s="74">
        <f t="shared" si="5"/>
        <v>691.256730337047</v>
      </c>
      <c r="I13" s="74">
        <f t="shared" si="5"/>
        <v>668.083488292423</v>
      </c>
      <c r="J13" s="74">
        <f t="shared" si="5"/>
        <v>643.600540583022</v>
      </c>
      <c r="K13" s="74">
        <f t="shared" si="5"/>
        <v>591.443507612168</v>
      </c>
      <c r="L13" s="74">
        <f t="shared" si="5"/>
        <v>578.623009806168</v>
      </c>
      <c r="M13" s="74">
        <f t="shared" si="5"/>
        <v>565.167792614198</v>
      </c>
    </row>
    <row r="14" s="31" customFormat="1" ht="15" customHeight="1" spans="1:13">
      <c r="A14" s="75">
        <v>12.1</v>
      </c>
      <c r="B14" s="44" t="s">
        <v>140</v>
      </c>
      <c r="C14" s="68">
        <f t="shared" si="3"/>
        <v>4484.59269683641</v>
      </c>
      <c r="D14" s="74">
        <f t="shared" ref="D14:R14" si="6">D8+D10+D11+D12</f>
        <v>336.955031082</v>
      </c>
      <c r="E14" s="74">
        <f t="shared" si="6"/>
        <v>660.545121348</v>
      </c>
      <c r="F14" s="74">
        <f t="shared" si="6"/>
        <v>641.33111848608</v>
      </c>
      <c r="G14" s="74">
        <f t="shared" si="6"/>
        <v>620.59164888847</v>
      </c>
      <c r="H14" s="74">
        <f t="shared" si="6"/>
        <v>598.953107888847</v>
      </c>
      <c r="I14" s="74">
        <f t="shared" si="6"/>
        <v>575.779865844223</v>
      </c>
      <c r="J14" s="74">
        <f t="shared" si="6"/>
        <v>551.296918134822</v>
      </c>
      <c r="K14" s="74">
        <f t="shared" si="6"/>
        <v>499.139885163968</v>
      </c>
      <c r="L14" s="74">
        <f t="shared" si="6"/>
        <v>486.319387357968</v>
      </c>
      <c r="M14" s="74">
        <f t="shared" si="6"/>
        <v>472.864170165998</v>
      </c>
    </row>
    <row r="15" s="31" customFormat="1" ht="15" customHeight="1" spans="1:13">
      <c r="A15" s="75">
        <v>12.2</v>
      </c>
      <c r="B15" s="44" t="s">
        <v>141</v>
      </c>
      <c r="C15" s="68">
        <f t="shared" si="3"/>
        <v>540</v>
      </c>
      <c r="D15" s="66">
        <f t="shared" ref="D15:R15" si="7">D5+D6</f>
        <v>36</v>
      </c>
      <c r="E15" s="66">
        <f t="shared" si="7"/>
        <v>72</v>
      </c>
      <c r="F15" s="66">
        <f t="shared" si="7"/>
        <v>72</v>
      </c>
      <c r="G15" s="66">
        <f t="shared" si="7"/>
        <v>72</v>
      </c>
      <c r="H15" s="66">
        <f t="shared" si="7"/>
        <v>72</v>
      </c>
      <c r="I15" s="66">
        <f t="shared" si="7"/>
        <v>72</v>
      </c>
      <c r="J15" s="66">
        <f t="shared" si="7"/>
        <v>72</v>
      </c>
      <c r="K15" s="66">
        <f t="shared" si="7"/>
        <v>72</v>
      </c>
      <c r="L15" s="66">
        <f t="shared" si="7"/>
        <v>72</v>
      </c>
      <c r="M15" s="66">
        <f t="shared" si="7"/>
        <v>72</v>
      </c>
    </row>
  </sheetData>
  <sheetProtection formatCells="0" insertHyperlinks="0" autoFilter="0"/>
  <mergeCells count="5">
    <mergeCell ref="A1:K1"/>
    <mergeCell ref="D3:M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10" zoomScaleNormal="110" topLeftCell="C1" workbookViewId="0">
      <selection activeCell="N1" sqref="N$1:R$1048576"/>
    </sheetView>
  </sheetViews>
  <sheetFormatPr defaultColWidth="9" defaultRowHeight="13.5"/>
  <cols>
    <col min="1" max="1" width="3.63333333333333" customWidth="1"/>
    <col min="2" max="2" width="26.5083333333333" customWidth="1"/>
    <col min="3" max="3" width="9.93333333333333" style="56" customWidth="1"/>
    <col min="4" max="4" width="12.4166666666667" style="56" customWidth="1"/>
    <col min="5" max="11" width="12.4166666666667" customWidth="1"/>
  </cols>
  <sheetData>
    <row r="1" ht="27" customHeight="1" spans="1:13">
      <c r="A1" s="34" t="s">
        <v>142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>
      <c r="K2" t="s">
        <v>1</v>
      </c>
    </row>
    <row r="3" spans="1:13">
      <c r="A3" s="57" t="s">
        <v>2</v>
      </c>
      <c r="B3" s="58"/>
      <c r="C3" s="59"/>
      <c r="D3" s="60" t="s">
        <v>75</v>
      </c>
      <c r="E3" s="60"/>
      <c r="F3" s="60"/>
      <c r="G3" s="60"/>
      <c r="H3" s="60"/>
      <c r="I3" s="60"/>
      <c r="J3" s="60"/>
      <c r="K3" s="60"/>
      <c r="L3" s="60"/>
      <c r="M3" s="60"/>
    </row>
    <row r="4" spans="1:13">
      <c r="A4" s="57"/>
      <c r="B4" s="44" t="s">
        <v>143</v>
      </c>
      <c r="C4" s="61" t="s">
        <v>8</v>
      </c>
      <c r="D4" s="62">
        <v>0.5</v>
      </c>
      <c r="E4" s="63">
        <v>2</v>
      </c>
      <c r="F4" s="63">
        <v>3</v>
      </c>
      <c r="G4" s="63">
        <v>4</v>
      </c>
      <c r="H4" s="63">
        <v>5</v>
      </c>
      <c r="I4" s="63">
        <v>6</v>
      </c>
      <c r="J4" s="63">
        <v>7</v>
      </c>
      <c r="K4" s="63">
        <v>8</v>
      </c>
      <c r="L4" s="63">
        <v>9</v>
      </c>
      <c r="M4" s="63">
        <v>10</v>
      </c>
    </row>
    <row r="5" ht="12" customHeight="1" spans="1:13">
      <c r="A5" s="64">
        <v>1</v>
      </c>
      <c r="B5" s="44" t="s">
        <v>83</v>
      </c>
      <c r="C5" s="65">
        <f>SUM(D5:K5)</f>
        <v>8008.98659212819</v>
      </c>
      <c r="D5" s="66">
        <f>营业收入及税金表!D5</f>
        <v>518.376132</v>
      </c>
      <c r="E5" s="66">
        <f>营业收入及税金表!E5</f>
        <v>1052.95344768</v>
      </c>
      <c r="F5" s="66">
        <f>营业收入及税金表!F5</f>
        <v>1069.1733904416</v>
      </c>
      <c r="G5" s="66">
        <f>营业收入及税金表!G5</f>
        <v>1072.88399848939</v>
      </c>
      <c r="H5" s="66">
        <f>营业收入及税金表!H5</f>
        <v>1076.61317849695</v>
      </c>
      <c r="I5" s="66">
        <f>营业收入及税金表!I5</f>
        <v>1076.64833760446</v>
      </c>
      <c r="J5" s="66">
        <f>营业收入及税金表!J5</f>
        <v>1072.98938341644</v>
      </c>
      <c r="K5" s="66">
        <f>营业收入及税金表!K5</f>
        <v>1069.34872399936</v>
      </c>
      <c r="L5" s="66">
        <f>营业收入及税金表!L5</f>
        <v>1069.43876787936</v>
      </c>
      <c r="M5" s="66">
        <f>营业收入及税金表!M5</f>
        <v>1065.83442403996</v>
      </c>
    </row>
    <row r="6" ht="12" customHeight="1" spans="1:13">
      <c r="A6" s="64">
        <v>2</v>
      </c>
      <c r="B6" s="44" t="s">
        <v>144</v>
      </c>
      <c r="C6" s="65">
        <f>SUM(D6:K6)</f>
        <v>94.2629057312088</v>
      </c>
      <c r="D6" s="67">
        <f>营业收入及税金表!D36</f>
        <v>6.1789224566</v>
      </c>
      <c r="E6" s="67">
        <f>营业收入及税金表!E36</f>
        <v>12.481357768384</v>
      </c>
      <c r="F6" s="67">
        <f>营业收入及税金表!F36</f>
        <v>12.6051060500421</v>
      </c>
      <c r="G6" s="67">
        <f>营业收入及税金表!G36</f>
        <v>12.6219741810419</v>
      </c>
      <c r="H6" s="67">
        <f>营业收入及税金表!H36</f>
        <v>12.6390753901367</v>
      </c>
      <c r="I6" s="67">
        <f>营业收入及税金表!I36</f>
        <v>12.624666636936</v>
      </c>
      <c r="J6" s="67">
        <f>营业收入及税金表!J36</f>
        <v>12.5787467618763</v>
      </c>
      <c r="K6" s="67">
        <f>营业收入及税金表!K36</f>
        <v>12.5330564861919</v>
      </c>
      <c r="L6" s="67">
        <f>营业收入及税金表!L36</f>
        <v>12.519336536886</v>
      </c>
      <c r="M6" s="67">
        <f>营业收入及税金表!M36</f>
        <v>12.4741020217015</v>
      </c>
    </row>
    <row r="7" ht="12" customHeight="1" spans="1:13">
      <c r="A7" s="64">
        <v>3</v>
      </c>
      <c r="B7" s="44" t="s">
        <v>128</v>
      </c>
      <c r="C7" s="65">
        <f>SUM(D7:K7)</f>
        <v>942.629057312088</v>
      </c>
      <c r="D7" s="66">
        <f>营业收入及税金表!D41</f>
        <v>61.789224566</v>
      </c>
      <c r="E7" s="66">
        <f>营业收入及税金表!E41</f>
        <v>124.81357768384</v>
      </c>
      <c r="F7" s="66">
        <f>营业收入及税金表!F41</f>
        <v>126.051060500421</v>
      </c>
      <c r="G7" s="66">
        <f>营业收入及税金表!G41</f>
        <v>126.219741810419</v>
      </c>
      <c r="H7" s="66">
        <f>营业收入及税金表!H41</f>
        <v>126.390753901367</v>
      </c>
      <c r="I7" s="66">
        <f>营业收入及税金表!I41</f>
        <v>126.24666636936</v>
      </c>
      <c r="J7" s="66">
        <f>营业收入及税金表!J41</f>
        <v>125.787467618763</v>
      </c>
      <c r="K7" s="66">
        <f>营业收入及税金表!K41</f>
        <v>125.330564861919</v>
      </c>
      <c r="L7" s="66">
        <f>营业收入及税金表!L41</f>
        <v>125.19336536886</v>
      </c>
      <c r="M7" s="66">
        <f>营业收入及税金表!M41</f>
        <v>124.741020217015</v>
      </c>
    </row>
    <row r="8" ht="12" customHeight="1" spans="1:13">
      <c r="A8" s="64">
        <v>4</v>
      </c>
      <c r="B8" s="44" t="s">
        <v>145</v>
      </c>
      <c r="C8" s="65">
        <f>SUM(D8:K8)</f>
        <v>5187.02167642201</v>
      </c>
      <c r="D8" s="66">
        <f>总成本费用表!D13</f>
        <v>393.2586535302</v>
      </c>
      <c r="E8" s="66">
        <f>总成本费用表!E13</f>
        <v>752.8487437962</v>
      </c>
      <c r="F8" s="66">
        <f>总成本费用表!F13</f>
        <v>733.63474093428</v>
      </c>
      <c r="G8" s="66">
        <f>总成本费用表!G13</f>
        <v>712.89527133667</v>
      </c>
      <c r="H8" s="66">
        <f>总成本费用表!H13</f>
        <v>691.256730337047</v>
      </c>
      <c r="I8" s="66">
        <f>总成本费用表!I13</f>
        <v>668.083488292423</v>
      </c>
      <c r="J8" s="66">
        <f>总成本费用表!J13</f>
        <v>643.600540583022</v>
      </c>
      <c r="K8" s="66">
        <f>总成本费用表!K13</f>
        <v>591.443507612168</v>
      </c>
      <c r="L8" s="66">
        <f>总成本费用表!L13</f>
        <v>578.623009806168</v>
      </c>
      <c r="M8" s="66">
        <f>总成本费用表!M13</f>
        <v>565.167792614198</v>
      </c>
    </row>
    <row r="9" ht="12" customHeight="1" spans="1:13">
      <c r="A9" s="64">
        <v>5</v>
      </c>
      <c r="B9" s="44" t="s">
        <v>146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ht="12" customHeight="1" spans="1:13">
      <c r="A10" s="64">
        <v>6</v>
      </c>
      <c r="B10" s="57" t="s">
        <v>147</v>
      </c>
      <c r="C10" s="66">
        <f>SUM(D10:K10)</f>
        <v>1785.07295266289</v>
      </c>
      <c r="D10" s="68">
        <f t="shared" ref="D10:R10" si="0">D5-D6-D7-D8+D9</f>
        <v>57.1493314471999</v>
      </c>
      <c r="E10" s="68">
        <f t="shared" si="0"/>
        <v>162.809768431576</v>
      </c>
      <c r="F10" s="68">
        <f t="shared" si="0"/>
        <v>196.882482956858</v>
      </c>
      <c r="G10" s="66">
        <f t="shared" si="0"/>
        <v>221.147011161262</v>
      </c>
      <c r="H10" s="66">
        <f t="shared" si="0"/>
        <v>246.326618868395</v>
      </c>
      <c r="I10" s="66">
        <f t="shared" si="0"/>
        <v>269.693516305742</v>
      </c>
      <c r="J10" s="66">
        <f t="shared" si="0"/>
        <v>291.022628452777</v>
      </c>
      <c r="K10" s="66">
        <f t="shared" si="0"/>
        <v>340.041595039077</v>
      </c>
      <c r="L10" s="66">
        <f t="shared" si="0"/>
        <v>353.103056167446</v>
      </c>
      <c r="M10" s="66">
        <f t="shared" si="0"/>
        <v>363.451509187047</v>
      </c>
    </row>
    <row r="11" ht="12" customHeight="1" spans="1:13">
      <c r="A11" s="64">
        <v>7</v>
      </c>
      <c r="B11" s="57" t="s">
        <v>148</v>
      </c>
      <c r="C11" s="66"/>
      <c r="D11" s="68"/>
      <c r="E11" s="68"/>
      <c r="F11" s="68"/>
      <c r="G11" s="66"/>
      <c r="H11" s="66"/>
      <c r="I11" s="66"/>
      <c r="J11" s="66"/>
      <c r="K11" s="66"/>
      <c r="L11" s="66"/>
      <c r="M11" s="66"/>
    </row>
    <row r="12" ht="12" customHeight="1" spans="1:13">
      <c r="A12" s="64">
        <v>8</v>
      </c>
      <c r="B12" s="57" t="s">
        <v>149</v>
      </c>
      <c r="C12" s="66">
        <f>SUM(D12:K12)</f>
        <v>1785.07295266289</v>
      </c>
      <c r="D12" s="68">
        <f>D10-D11</f>
        <v>57.1493314471999</v>
      </c>
      <c r="E12" s="68">
        <f>E10-E11</f>
        <v>162.809768431576</v>
      </c>
      <c r="F12" s="68">
        <f t="shared" ref="D12:R12" si="1">F10-F11</f>
        <v>196.882482956858</v>
      </c>
      <c r="G12" s="68">
        <f t="shared" si="1"/>
        <v>221.147011161262</v>
      </c>
      <c r="H12" s="68">
        <f t="shared" si="1"/>
        <v>246.326618868395</v>
      </c>
      <c r="I12" s="66">
        <f t="shared" si="1"/>
        <v>269.693516305742</v>
      </c>
      <c r="J12" s="66">
        <f t="shared" si="1"/>
        <v>291.022628452777</v>
      </c>
      <c r="K12" s="66">
        <f t="shared" si="1"/>
        <v>340.041595039077</v>
      </c>
      <c r="L12" s="66">
        <f t="shared" si="1"/>
        <v>353.103056167446</v>
      </c>
      <c r="M12" s="66">
        <f t="shared" si="1"/>
        <v>363.451509187047</v>
      </c>
    </row>
    <row r="13" ht="12" customHeight="1" spans="1:13">
      <c r="A13" s="64">
        <v>9</v>
      </c>
      <c r="B13" s="44" t="s">
        <v>150</v>
      </c>
      <c r="C13" s="66">
        <f t="shared" ref="C13:C18" si="2">SUM(D13:K13)</f>
        <v>446.268238165721</v>
      </c>
      <c r="D13" s="68">
        <f t="shared" ref="D13:R13" si="3">D12*0.25</f>
        <v>14.2873328618</v>
      </c>
      <c r="E13" s="68">
        <f t="shared" si="3"/>
        <v>40.7024421078939</v>
      </c>
      <c r="F13" s="68">
        <f t="shared" si="3"/>
        <v>49.2206207392144</v>
      </c>
      <c r="G13" s="68">
        <f t="shared" si="3"/>
        <v>55.2867527903155</v>
      </c>
      <c r="H13" s="68">
        <f t="shared" si="3"/>
        <v>61.5816547170987</v>
      </c>
      <c r="I13" s="66">
        <f t="shared" si="3"/>
        <v>67.4233790764355</v>
      </c>
      <c r="J13" s="66">
        <f t="shared" si="3"/>
        <v>72.7556571131942</v>
      </c>
      <c r="K13" s="66">
        <f t="shared" si="3"/>
        <v>85.0103987597693</v>
      </c>
      <c r="L13" s="66">
        <f t="shared" si="3"/>
        <v>88.2757640418614</v>
      </c>
      <c r="M13" s="66">
        <f t="shared" si="3"/>
        <v>90.8628772967619</v>
      </c>
    </row>
    <row r="14" ht="12" customHeight="1" spans="1:13">
      <c r="A14" s="64">
        <v>10</v>
      </c>
      <c r="B14" s="57" t="s">
        <v>151</v>
      </c>
      <c r="C14" s="66">
        <f t="shared" si="2"/>
        <v>1338.80471449716</v>
      </c>
      <c r="D14" s="68">
        <f t="shared" ref="D14:R14" si="4">D10-D11-D13</f>
        <v>42.8619985853999</v>
      </c>
      <c r="E14" s="68">
        <f t="shared" si="4"/>
        <v>122.107326323682</v>
      </c>
      <c r="F14" s="68">
        <f t="shared" si="4"/>
        <v>147.661862217643</v>
      </c>
      <c r="G14" s="68">
        <f t="shared" si="4"/>
        <v>165.860258370946</v>
      </c>
      <c r="H14" s="68">
        <f t="shared" si="4"/>
        <v>184.744964151296</v>
      </c>
      <c r="I14" s="68">
        <f t="shared" si="4"/>
        <v>202.270137229306</v>
      </c>
      <c r="J14" s="68">
        <f t="shared" si="4"/>
        <v>218.266971339583</v>
      </c>
      <c r="K14" s="68">
        <f t="shared" si="4"/>
        <v>255.031196279308</v>
      </c>
      <c r="L14" s="68">
        <f t="shared" si="4"/>
        <v>264.827292125584</v>
      </c>
      <c r="M14" s="68">
        <f t="shared" si="4"/>
        <v>272.588631890286</v>
      </c>
    </row>
    <row r="15" ht="12" customHeight="1" spans="1:13">
      <c r="A15" s="64">
        <v>11</v>
      </c>
      <c r="B15" s="57" t="s">
        <v>152</v>
      </c>
      <c r="C15" s="66">
        <f t="shared" si="2"/>
        <v>3250.32338777758</v>
      </c>
      <c r="D15" s="68">
        <v>0</v>
      </c>
      <c r="E15" s="68">
        <f t="shared" ref="E15:R15" si="5">D24</f>
        <v>38.57579872686</v>
      </c>
      <c r="F15" s="68">
        <f t="shared" si="5"/>
        <v>148.472392418174</v>
      </c>
      <c r="G15" s="68">
        <f t="shared" si="5"/>
        <v>281.368068414052</v>
      </c>
      <c r="H15" s="68">
        <f t="shared" si="5"/>
        <v>430.642300947904</v>
      </c>
      <c r="I15" s="68">
        <f t="shared" si="5"/>
        <v>596.912768684071</v>
      </c>
      <c r="J15" s="68">
        <f t="shared" si="5"/>
        <v>778.955892190446</v>
      </c>
      <c r="K15" s="68">
        <f t="shared" si="5"/>
        <v>975.396166396071</v>
      </c>
      <c r="L15" s="68">
        <f t="shared" si="5"/>
        <v>1204.92424304745</v>
      </c>
      <c r="M15" s="68">
        <f t="shared" si="5"/>
        <v>1443.26880596047</v>
      </c>
    </row>
    <row r="16" ht="12" customHeight="1" spans="1:13">
      <c r="A16" s="64">
        <v>12</v>
      </c>
      <c r="B16" s="57" t="s">
        <v>153</v>
      </c>
      <c r="C16" s="66">
        <f t="shared" si="2"/>
        <v>4589.12810227474</v>
      </c>
      <c r="D16" s="68">
        <f t="shared" ref="D16:R16" si="6">D14+D15+D11</f>
        <v>42.8619985853999</v>
      </c>
      <c r="E16" s="68">
        <f t="shared" si="6"/>
        <v>160.683125050542</v>
      </c>
      <c r="F16" s="68">
        <f t="shared" si="6"/>
        <v>296.134254635817</v>
      </c>
      <c r="G16" s="68">
        <f t="shared" si="6"/>
        <v>447.228326784999</v>
      </c>
      <c r="H16" s="68">
        <f t="shared" si="6"/>
        <v>615.3872650992</v>
      </c>
      <c r="I16" s="68">
        <f t="shared" si="6"/>
        <v>799.182905913377</v>
      </c>
      <c r="J16" s="68">
        <f t="shared" si="6"/>
        <v>997.222863530029</v>
      </c>
      <c r="K16" s="68">
        <f t="shared" si="6"/>
        <v>1230.42736267538</v>
      </c>
      <c r="L16" s="68">
        <f t="shared" si="6"/>
        <v>1469.75153517303</v>
      </c>
      <c r="M16" s="68">
        <f t="shared" si="6"/>
        <v>1715.85743785076</v>
      </c>
    </row>
    <row r="17" ht="12" customHeight="1" spans="1:13">
      <c r="A17" s="64">
        <v>13</v>
      </c>
      <c r="B17" s="57" t="s">
        <v>154</v>
      </c>
      <c r="C17" s="66">
        <f t="shared" si="2"/>
        <v>133.880471449716</v>
      </c>
      <c r="D17" s="68">
        <f t="shared" ref="D17:R17" si="7">D14*0.1</f>
        <v>4.28619985853999</v>
      </c>
      <c r="E17" s="68">
        <f t="shared" si="7"/>
        <v>12.2107326323682</v>
      </c>
      <c r="F17" s="68">
        <f t="shared" si="7"/>
        <v>14.7661862217643</v>
      </c>
      <c r="G17" s="68">
        <f t="shared" si="7"/>
        <v>16.5860258370946</v>
      </c>
      <c r="H17" s="68">
        <f t="shared" si="7"/>
        <v>18.4744964151296</v>
      </c>
      <c r="I17" s="68">
        <f t="shared" si="7"/>
        <v>20.2270137229306</v>
      </c>
      <c r="J17" s="68">
        <f t="shared" si="7"/>
        <v>21.8266971339583</v>
      </c>
      <c r="K17" s="68">
        <f t="shared" si="7"/>
        <v>25.5031196279308</v>
      </c>
      <c r="L17" s="68">
        <f t="shared" si="7"/>
        <v>26.4827292125584</v>
      </c>
      <c r="M17" s="68">
        <f t="shared" si="7"/>
        <v>27.2588631890286</v>
      </c>
    </row>
    <row r="18" ht="12" customHeight="1" spans="1:13">
      <c r="A18" s="64">
        <v>14</v>
      </c>
      <c r="B18" s="44" t="s">
        <v>155</v>
      </c>
      <c r="C18" s="66">
        <f t="shared" si="2"/>
        <v>4455.24763082503</v>
      </c>
      <c r="D18" s="66">
        <f t="shared" ref="D18:R18" si="8">D16-D17</f>
        <v>38.57579872686</v>
      </c>
      <c r="E18" s="66">
        <f t="shared" si="8"/>
        <v>148.472392418174</v>
      </c>
      <c r="F18" s="66">
        <f t="shared" si="8"/>
        <v>281.368068414052</v>
      </c>
      <c r="G18" s="66">
        <f t="shared" si="8"/>
        <v>430.642300947904</v>
      </c>
      <c r="H18" s="66">
        <f t="shared" si="8"/>
        <v>596.912768684071</v>
      </c>
      <c r="I18" s="66">
        <f t="shared" si="8"/>
        <v>778.955892190446</v>
      </c>
      <c r="J18" s="66">
        <f t="shared" si="8"/>
        <v>975.396166396071</v>
      </c>
      <c r="K18" s="66">
        <f t="shared" si="8"/>
        <v>1204.92424304745</v>
      </c>
      <c r="L18" s="66">
        <f t="shared" si="8"/>
        <v>1443.26880596047</v>
      </c>
      <c r="M18" s="66">
        <f t="shared" si="8"/>
        <v>1688.59857466173</v>
      </c>
    </row>
    <row r="19" ht="12" customHeight="1" spans="1:13">
      <c r="A19" s="64">
        <v>15</v>
      </c>
      <c r="B19" s="57" t="s">
        <v>156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  <row r="20" ht="12" customHeight="1" spans="1:13">
      <c r="A20" s="64">
        <v>16</v>
      </c>
      <c r="B20" s="57" t="s">
        <v>157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ht="12" customHeight="1" spans="1:13">
      <c r="A21" s="64">
        <v>17</v>
      </c>
      <c r="B21" s="57" t="s">
        <v>158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ht="12" customHeight="1" spans="1:13">
      <c r="A22" s="64">
        <v>18</v>
      </c>
      <c r="B22" s="57" t="s">
        <v>159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ht="12" customHeight="1" spans="1:13">
      <c r="A23" s="64"/>
      <c r="B23" s="57" t="s">
        <v>160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ht="12" customHeight="1" spans="1:13">
      <c r="A24" s="64">
        <v>19</v>
      </c>
      <c r="B24" s="44" t="s">
        <v>161</v>
      </c>
      <c r="C24" s="66">
        <f>SUM(D24:K24)</f>
        <v>4455.24763082503</v>
      </c>
      <c r="D24" s="66">
        <f t="shared" ref="D24:R24" si="9">D18-D19-D20-D21-D22</f>
        <v>38.57579872686</v>
      </c>
      <c r="E24" s="66">
        <f t="shared" si="9"/>
        <v>148.472392418174</v>
      </c>
      <c r="F24" s="66">
        <f t="shared" si="9"/>
        <v>281.368068414052</v>
      </c>
      <c r="G24" s="66">
        <f t="shared" si="9"/>
        <v>430.642300947904</v>
      </c>
      <c r="H24" s="66">
        <f t="shared" si="9"/>
        <v>596.912768684071</v>
      </c>
      <c r="I24" s="66">
        <f t="shared" si="9"/>
        <v>778.955892190446</v>
      </c>
      <c r="J24" s="66">
        <f t="shared" si="9"/>
        <v>975.396166396071</v>
      </c>
      <c r="K24" s="66">
        <f t="shared" si="9"/>
        <v>1204.92424304745</v>
      </c>
      <c r="L24" s="66">
        <f t="shared" si="9"/>
        <v>1443.26880596047</v>
      </c>
      <c r="M24" s="66">
        <f t="shared" si="9"/>
        <v>1688.59857466173</v>
      </c>
    </row>
    <row r="25" ht="12" customHeight="1" spans="1:13">
      <c r="A25" s="64">
        <v>20</v>
      </c>
      <c r="B25" s="44" t="s">
        <v>162</v>
      </c>
      <c r="C25" s="66">
        <f>SUM(D25:K25)</f>
        <v>2823.67295266289</v>
      </c>
      <c r="D25" s="66">
        <f>D10+总成本费用表!D12</f>
        <v>165.1493314472</v>
      </c>
      <c r="E25" s="66">
        <f>E10+总成本费用表!E12</f>
        <v>364.634768431576</v>
      </c>
      <c r="F25" s="66">
        <f>F10+总成本费用表!F12</f>
        <v>378.682482956857</v>
      </c>
      <c r="G25" s="66">
        <f>G10+总成本费用表!G12</f>
        <v>382.022011161262</v>
      </c>
      <c r="H25" s="66">
        <f>H10+总成本费用表!H12</f>
        <v>385.376618868395</v>
      </c>
      <c r="I25" s="66">
        <f>I10+总成本费用表!I12</f>
        <v>385.568516305742</v>
      </c>
      <c r="J25" s="66">
        <f>J10+总成本费用表!J12</f>
        <v>382.597628452777</v>
      </c>
      <c r="K25" s="66">
        <f>K10+总成本费用表!K12</f>
        <v>379.641595039077</v>
      </c>
      <c r="L25" s="66">
        <f>L10+总成本费用表!L12</f>
        <v>379.878056167446</v>
      </c>
      <c r="M25" s="66">
        <f>M10+总成本费用表!M12</f>
        <v>376.951509187047</v>
      </c>
    </row>
    <row r="26" ht="18" customHeight="1" spans="1:13">
      <c r="A26" s="64">
        <v>21</v>
      </c>
      <c r="B26" s="44" t="s">
        <v>163</v>
      </c>
      <c r="C26" s="66">
        <f>SUM(D26:K26)</f>
        <v>5869.21631989288</v>
      </c>
      <c r="D26" s="66">
        <f>D25+总成本费用表!D10+总成本费用表!D11</f>
        <v>368.1855559292</v>
      </c>
      <c r="E26" s="66">
        <f>E25+总成本费用表!E10+总成本费用表!E11</f>
        <v>770.707217395576</v>
      </c>
      <c r="F26" s="66">
        <f>F25+总成本费用表!F10+总成本费用表!F11</f>
        <v>784.754931920857</v>
      </c>
      <c r="G26" s="66">
        <f>G25+总成本费用表!G10+总成本费用表!G11</f>
        <v>788.094460125262</v>
      </c>
      <c r="H26" s="66">
        <f>H25+总成本费用表!H10+总成本费用表!H11</f>
        <v>791.449067832395</v>
      </c>
      <c r="I26" s="66">
        <f>I25+总成本费用表!I10+总成本费用表!I11</f>
        <v>791.640965269742</v>
      </c>
      <c r="J26" s="66">
        <f>J25+总成本费用表!J10+总成本费用表!J11</f>
        <v>788.670077416777</v>
      </c>
      <c r="K26" s="66">
        <f>K25+总成本费用表!K10+总成本费用表!K11</f>
        <v>785.714044003077</v>
      </c>
      <c r="L26" s="66">
        <f>L25+总成本费用表!L10+总成本费用表!L11</f>
        <v>785.950505131446</v>
      </c>
      <c r="M26" s="66">
        <f>M25+总成本费用表!M10+总成本费用表!M11</f>
        <v>783.023958151048</v>
      </c>
    </row>
  </sheetData>
  <sheetProtection formatCells="0" insertHyperlinks="0" autoFilter="0"/>
  <mergeCells count="3">
    <mergeCell ref="A1:K1"/>
    <mergeCell ref="D3:M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90" zoomScaleNormal="90" topLeftCell="B4" workbookViewId="0">
      <selection activeCell="M20" sqref="M20"/>
    </sheetView>
  </sheetViews>
  <sheetFormatPr defaultColWidth="9" defaultRowHeight="13.5"/>
  <cols>
    <col min="1" max="1" width="4.13333333333333" customWidth="1"/>
    <col min="2" max="2" width="30.1166666666667" style="33" customWidth="1"/>
    <col min="3" max="3" width="13.45" style="33" customWidth="1"/>
    <col min="4" max="13" width="11.85" customWidth="1"/>
  </cols>
  <sheetData>
    <row r="1" ht="17.85" customHeight="1" spans="1:13">
      <c r="A1" s="34" t="s">
        <v>164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>
      <c r="J2" t="s">
        <v>1</v>
      </c>
    </row>
    <row r="3" s="31" customFormat="1" ht="15" customHeight="1" spans="1:13">
      <c r="A3" s="36" t="s">
        <v>2</v>
      </c>
      <c r="B3" s="37" t="s">
        <v>165</v>
      </c>
      <c r="C3" s="38" t="s">
        <v>8</v>
      </c>
      <c r="D3" s="39" t="s">
        <v>166</v>
      </c>
      <c r="E3" s="39"/>
      <c r="F3" s="39"/>
      <c r="G3" s="39"/>
      <c r="H3" s="39"/>
      <c r="I3" s="39"/>
      <c r="J3" s="39"/>
      <c r="K3" s="39"/>
      <c r="L3" s="39"/>
      <c r="M3" s="39"/>
    </row>
    <row r="4" s="31" customFormat="1" ht="15" customHeight="1" spans="1:13">
      <c r="A4" s="36"/>
      <c r="B4" s="40"/>
      <c r="C4" s="41"/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</row>
    <row r="5" s="31" customFormat="1" ht="15" customHeight="1" spans="1:13">
      <c r="A5" s="43">
        <v>1</v>
      </c>
      <c r="B5" s="44" t="s">
        <v>167</v>
      </c>
      <c r="C5" s="45">
        <f>SUM(D5:K5)</f>
        <v>8643.10782532819</v>
      </c>
      <c r="D5" s="45">
        <f>D6+D7+D8+D9</f>
        <v>1152.4973652</v>
      </c>
      <c r="E5" s="45">
        <f t="shared" ref="D5:R5" si="0">E6+E7+E8+E9</f>
        <v>1052.95344768</v>
      </c>
      <c r="F5" s="45">
        <f t="shared" si="0"/>
        <v>1069.1733904416</v>
      </c>
      <c r="G5" s="45">
        <f t="shared" si="0"/>
        <v>1072.88399848939</v>
      </c>
      <c r="H5" s="45">
        <f t="shared" si="0"/>
        <v>1076.61317849695</v>
      </c>
      <c r="I5" s="45">
        <f t="shared" si="0"/>
        <v>1076.64833760446</v>
      </c>
      <c r="J5" s="45">
        <f t="shared" si="0"/>
        <v>1072.98938341644</v>
      </c>
      <c r="K5" s="45">
        <f t="shared" si="0"/>
        <v>1069.34872399936</v>
      </c>
      <c r="L5" s="45">
        <f t="shared" si="0"/>
        <v>1069.43876787936</v>
      </c>
      <c r="M5" s="45">
        <f t="shared" si="0"/>
        <v>3619.81640568196</v>
      </c>
    </row>
    <row r="6" s="31" customFormat="1" ht="15" customHeight="1" spans="1:13">
      <c r="A6" s="43">
        <v>1.1</v>
      </c>
      <c r="B6" s="44" t="s">
        <v>83</v>
      </c>
      <c r="C6" s="45">
        <f t="shared" ref="C6:C15" si="1">SUM(D6:K6)</f>
        <v>8008.98659212819</v>
      </c>
      <c r="D6" s="45">
        <f>营业收入及税金表!D5</f>
        <v>518.376132</v>
      </c>
      <c r="E6" s="45">
        <f>营业收入及税金表!E5</f>
        <v>1052.95344768</v>
      </c>
      <c r="F6" s="45">
        <f>营业收入及税金表!F5</f>
        <v>1069.1733904416</v>
      </c>
      <c r="G6" s="45">
        <f>营业收入及税金表!G5</f>
        <v>1072.88399848939</v>
      </c>
      <c r="H6" s="45">
        <f>营业收入及税金表!H5</f>
        <v>1076.61317849695</v>
      </c>
      <c r="I6" s="45">
        <f>营业收入及税金表!I5</f>
        <v>1076.64833760446</v>
      </c>
      <c r="J6" s="45">
        <f>营业收入及税金表!J5</f>
        <v>1072.98938341644</v>
      </c>
      <c r="K6" s="45">
        <f>营业收入及税金表!K5</f>
        <v>1069.34872399936</v>
      </c>
      <c r="L6" s="45">
        <f>营业收入及税金表!L5</f>
        <v>1069.43876787936</v>
      </c>
      <c r="M6" s="45">
        <f>营业收入及税金表!M5</f>
        <v>1065.83442403996</v>
      </c>
    </row>
    <row r="7" s="32" customFormat="1" ht="15" customHeight="1" spans="1:13">
      <c r="A7" s="46">
        <v>1.2</v>
      </c>
      <c r="B7" s="47" t="s">
        <v>168</v>
      </c>
      <c r="C7" s="45">
        <f t="shared" si="1"/>
        <v>634.1212332</v>
      </c>
      <c r="D7" s="48">
        <f>D11*0.09</f>
        <v>634.1212332</v>
      </c>
      <c r="E7" s="48"/>
      <c r="F7" s="49"/>
      <c r="G7" s="48"/>
      <c r="H7" s="48"/>
      <c r="I7" s="48"/>
      <c r="J7" s="48"/>
      <c r="K7" s="48"/>
      <c r="L7" s="48"/>
      <c r="M7" s="48"/>
    </row>
    <row r="8" s="31" customFormat="1" ht="15" customHeight="1" spans="1:13">
      <c r="A8" s="43">
        <v>1.3</v>
      </c>
      <c r="B8" s="44" t="s">
        <v>169</v>
      </c>
      <c r="C8" s="45">
        <f t="shared" si="1"/>
        <v>0</v>
      </c>
      <c r="D8" s="45"/>
      <c r="E8" s="45"/>
      <c r="F8" s="45"/>
      <c r="G8" s="45"/>
      <c r="H8" s="45"/>
      <c r="I8" s="45"/>
      <c r="J8" s="45"/>
      <c r="K8" s="48"/>
      <c r="L8" s="48"/>
      <c r="M8" s="48">
        <f>固定资产折旧!O8</f>
        <v>2553.981981642</v>
      </c>
    </row>
    <row r="9" s="31" customFormat="1" ht="15" customHeight="1" spans="1:13">
      <c r="A9" s="43">
        <v>1.4</v>
      </c>
      <c r="B9" s="44" t="s">
        <v>170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="31" customFormat="1" ht="15" customHeight="1" spans="1:13">
      <c r="A10" s="43">
        <v>2</v>
      </c>
      <c r="B10" s="44" t="s">
        <v>171</v>
      </c>
      <c r="C10" s="45">
        <f t="shared" si="1"/>
        <v>9185.56175223531</v>
      </c>
      <c r="D10" s="45">
        <f t="shared" ref="D10:R10" si="2">D11+D12+D13+D14+D15+D16</f>
        <v>7195.9820560708</v>
      </c>
      <c r="E10" s="45">
        <f t="shared" si="2"/>
        <v>282.246230284424</v>
      </c>
      <c r="F10" s="45">
        <f t="shared" si="2"/>
        <v>284.418458520743</v>
      </c>
      <c r="G10" s="45">
        <f t="shared" si="2"/>
        <v>284.78953836413</v>
      </c>
      <c r="H10" s="45">
        <f t="shared" si="2"/>
        <v>285.164110664551</v>
      </c>
      <c r="I10" s="45">
        <f t="shared" si="2"/>
        <v>285.007372334719</v>
      </c>
      <c r="J10" s="45">
        <f t="shared" si="2"/>
        <v>284.319305999661</v>
      </c>
      <c r="K10" s="45">
        <f t="shared" si="2"/>
        <v>283.634679996279</v>
      </c>
      <c r="L10" s="45">
        <f t="shared" si="2"/>
        <v>283.488262747913</v>
      </c>
      <c r="M10" s="45">
        <f t="shared" si="2"/>
        <v>282.810465888915</v>
      </c>
    </row>
    <row r="11" s="31" customFormat="1" ht="15" customHeight="1" spans="1:13">
      <c r="A11" s="43">
        <v>2.1</v>
      </c>
      <c r="B11" s="44" t="s">
        <v>172</v>
      </c>
      <c r="C11" s="45">
        <f t="shared" si="1"/>
        <v>7045.79148</v>
      </c>
      <c r="D11" s="45">
        <f>总投资!G43</f>
        <v>7045.79148</v>
      </c>
      <c r="E11" s="45"/>
      <c r="F11" s="45"/>
      <c r="G11" s="45"/>
      <c r="H11" s="45"/>
      <c r="I11" s="45"/>
      <c r="J11" s="45"/>
      <c r="K11" s="45"/>
      <c r="L11" s="45"/>
      <c r="M11" s="45"/>
    </row>
    <row r="12" s="31" customFormat="1" ht="15" customHeight="1" spans="1:13">
      <c r="A12" s="43">
        <v>2.2</v>
      </c>
      <c r="B12" s="44" t="s">
        <v>173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="31" customFormat="1" ht="15" customHeight="1" spans="1:13">
      <c r="A13" s="43">
        <v>2.3</v>
      </c>
      <c r="B13" s="44" t="s">
        <v>174</v>
      </c>
      <c r="C13" s="45">
        <f t="shared" si="1"/>
        <v>1102.87830919201</v>
      </c>
      <c r="D13" s="45">
        <f>总成本费用表!D9</f>
        <v>82.2224290482</v>
      </c>
      <c r="E13" s="45">
        <f>总成本费用表!E9</f>
        <v>144.9512948322</v>
      </c>
      <c r="F13" s="45">
        <f>总成本费用表!F9</f>
        <v>145.76229197028</v>
      </c>
      <c r="G13" s="45">
        <f>总成本费用表!G9</f>
        <v>145.94782237267</v>
      </c>
      <c r="H13" s="45">
        <f>总成本费用表!H9</f>
        <v>146.134281373047</v>
      </c>
      <c r="I13" s="45">
        <f>总成本费用表!I9</f>
        <v>146.136039328423</v>
      </c>
      <c r="J13" s="45">
        <f>总成本费用表!J9</f>
        <v>145.953091619022</v>
      </c>
      <c r="K13" s="45">
        <f>总成本费用表!K9</f>
        <v>145.771058648168</v>
      </c>
      <c r="L13" s="45">
        <f>总成本费用表!L9</f>
        <v>145.775560842168</v>
      </c>
      <c r="M13" s="45">
        <f>总成本费用表!M9</f>
        <v>145.595343650198</v>
      </c>
    </row>
    <row r="14" s="31" customFormat="1" ht="15" customHeight="1" spans="1:13">
      <c r="A14" s="43">
        <v>2.4</v>
      </c>
      <c r="B14" s="44" t="s">
        <v>144</v>
      </c>
      <c r="C14" s="45">
        <f t="shared" si="1"/>
        <v>94.2629057312088</v>
      </c>
      <c r="D14" s="45">
        <f>营业收入及税金表!D36</f>
        <v>6.1789224566</v>
      </c>
      <c r="E14" s="45">
        <f>营业收入及税金表!E36</f>
        <v>12.481357768384</v>
      </c>
      <c r="F14" s="45">
        <f>营业收入及税金表!F36</f>
        <v>12.6051060500421</v>
      </c>
      <c r="G14" s="45">
        <f>营业收入及税金表!G36</f>
        <v>12.6219741810419</v>
      </c>
      <c r="H14" s="45">
        <f>营业收入及税金表!H36</f>
        <v>12.6390753901367</v>
      </c>
      <c r="I14" s="45">
        <f>营业收入及税金表!I36</f>
        <v>12.624666636936</v>
      </c>
      <c r="J14" s="45">
        <f>营业收入及税金表!J36</f>
        <v>12.5787467618763</v>
      </c>
      <c r="K14" s="45">
        <f>营业收入及税金表!K36</f>
        <v>12.5330564861919</v>
      </c>
      <c r="L14" s="45">
        <f>营业收入及税金表!L36</f>
        <v>12.519336536886</v>
      </c>
      <c r="M14" s="45">
        <f>营业收入及税金表!M36</f>
        <v>12.4741020217015</v>
      </c>
    </row>
    <row r="15" s="31" customFormat="1" ht="15" customHeight="1" spans="1:13">
      <c r="A15" s="43">
        <v>2.5</v>
      </c>
      <c r="B15" s="44" t="s">
        <v>128</v>
      </c>
      <c r="C15" s="45">
        <f t="shared" si="1"/>
        <v>942.629057312088</v>
      </c>
      <c r="D15" s="45">
        <f>利润及利润分配表!D7</f>
        <v>61.789224566</v>
      </c>
      <c r="E15" s="45">
        <f>利润及利润分配表!E7</f>
        <v>124.81357768384</v>
      </c>
      <c r="F15" s="45">
        <f>利润及利润分配表!F7</f>
        <v>126.051060500421</v>
      </c>
      <c r="G15" s="45">
        <f>利润及利润分配表!G7</f>
        <v>126.219741810419</v>
      </c>
      <c r="H15" s="45">
        <f>利润及利润分配表!H7</f>
        <v>126.390753901367</v>
      </c>
      <c r="I15" s="45">
        <f>利润及利润分配表!I7</f>
        <v>126.24666636936</v>
      </c>
      <c r="J15" s="45">
        <f>利润及利润分配表!J7</f>
        <v>125.787467618763</v>
      </c>
      <c r="K15" s="45">
        <f>利润及利润分配表!K7</f>
        <v>125.330564861919</v>
      </c>
      <c r="L15" s="45">
        <f>利润及利润分配表!L7</f>
        <v>125.19336536886</v>
      </c>
      <c r="M15" s="45">
        <f>利润及利润分配表!M7</f>
        <v>124.741020217015</v>
      </c>
    </row>
    <row r="16" s="31" customFormat="1" ht="15" customHeight="1" spans="1:13">
      <c r="A16" s="43">
        <v>2.6</v>
      </c>
      <c r="B16" s="44" t="s">
        <v>175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="31" customFormat="1" ht="22" customHeight="1" spans="1:13">
      <c r="A17" s="43">
        <v>3</v>
      </c>
      <c r="B17" s="44" t="s">
        <v>176</v>
      </c>
      <c r="C17" s="45">
        <f>SUM(D17:K17)</f>
        <v>-542.453926907114</v>
      </c>
      <c r="D17" s="45">
        <f t="shared" ref="D17:R17" si="3">D5-D10</f>
        <v>-6043.4846908708</v>
      </c>
      <c r="E17" s="45">
        <f t="shared" si="3"/>
        <v>770.707217395576</v>
      </c>
      <c r="F17" s="45">
        <f t="shared" si="3"/>
        <v>784.754931920857</v>
      </c>
      <c r="G17" s="45">
        <f t="shared" si="3"/>
        <v>788.094460125262</v>
      </c>
      <c r="H17" s="45">
        <f t="shared" si="3"/>
        <v>791.449067832395</v>
      </c>
      <c r="I17" s="45">
        <f t="shared" si="3"/>
        <v>791.640965269742</v>
      </c>
      <c r="J17" s="45">
        <f t="shared" si="3"/>
        <v>788.670077416777</v>
      </c>
      <c r="K17" s="45">
        <f t="shared" si="3"/>
        <v>785.714044003077</v>
      </c>
      <c r="L17" s="45">
        <f t="shared" si="3"/>
        <v>785.950505131446</v>
      </c>
      <c r="M17" s="45">
        <f t="shared" si="3"/>
        <v>3337.00593979305</v>
      </c>
    </row>
    <row r="18" s="31" customFormat="1" ht="22" customHeight="1" spans="1:13">
      <c r="A18" s="43">
        <v>4</v>
      </c>
      <c r="B18" s="44" t="s">
        <v>177</v>
      </c>
      <c r="C18" s="45"/>
      <c r="D18" s="45">
        <f>D17</f>
        <v>-6043.4846908708</v>
      </c>
      <c r="E18" s="45">
        <f t="shared" ref="E18:R18" si="4">D18+E17</f>
        <v>-5272.77747347522</v>
      </c>
      <c r="F18" s="45">
        <f t="shared" si="4"/>
        <v>-4488.02254155437</v>
      </c>
      <c r="G18" s="45">
        <f t="shared" si="4"/>
        <v>-3699.9280814291</v>
      </c>
      <c r="H18" s="45">
        <f t="shared" si="4"/>
        <v>-2908.47901359671</v>
      </c>
      <c r="I18" s="45">
        <f t="shared" si="4"/>
        <v>-2116.83804832697</v>
      </c>
      <c r="J18" s="45">
        <f t="shared" si="4"/>
        <v>-1328.16797091019</v>
      </c>
      <c r="K18" s="45">
        <f t="shared" si="4"/>
        <v>-542.453926907114</v>
      </c>
      <c r="L18" s="45">
        <f t="shared" si="4"/>
        <v>243.496578224331</v>
      </c>
      <c r="M18" s="45">
        <f t="shared" si="4"/>
        <v>3580.50251801738</v>
      </c>
    </row>
    <row r="19" s="31" customFormat="1" ht="22" customHeight="1" spans="1:13">
      <c r="A19" s="43">
        <v>5</v>
      </c>
      <c r="B19" s="44" t="s">
        <v>178</v>
      </c>
      <c r="C19" s="45">
        <f>SUM(D19:K19)</f>
        <v>-1433.09875485146</v>
      </c>
      <c r="D19" s="45">
        <f>D17/POWER(1.05,1)</f>
        <v>-5755.69970559124</v>
      </c>
      <c r="E19" s="45">
        <f>E17/POWER(1.05,2)</f>
        <v>699.054165438164</v>
      </c>
      <c r="F19" s="45">
        <f>F17/POWER(1.05,3)</f>
        <v>677.900815826245</v>
      </c>
      <c r="G19" s="45">
        <f>G17/POWER(1.05,4)</f>
        <v>648.367262714825</v>
      </c>
      <c r="H19" s="45">
        <f>H17/POWER(1.052,5)</f>
        <v>614.248737935581</v>
      </c>
      <c r="I19" s="45">
        <f>I17/POWER(1.05,6)</f>
        <v>590.734676892563</v>
      </c>
      <c r="J19" s="45">
        <f>J17/POWER(1.05,7)</f>
        <v>560.493099652381</v>
      </c>
      <c r="K19" s="45">
        <f>K17/POWER(1.05,8)</f>
        <v>531.802192280022</v>
      </c>
      <c r="L19" s="45">
        <f>L17/POWER(1.05,9)</f>
        <v>506.630703313611</v>
      </c>
      <c r="M19" s="45">
        <f>M17/POWER(1.05,9)</f>
        <v>2151.06378226235</v>
      </c>
    </row>
    <row r="20" s="31" customFormat="1" ht="22" customHeight="1" spans="1:13">
      <c r="A20" s="43">
        <v>6</v>
      </c>
      <c r="B20" s="44" t="s">
        <v>179</v>
      </c>
      <c r="C20" s="45"/>
      <c r="D20" s="45">
        <f>D19</f>
        <v>-5755.69970559124</v>
      </c>
      <c r="E20" s="45">
        <f t="shared" ref="E20:R20" si="5">D20+E19</f>
        <v>-5056.64554015307</v>
      </c>
      <c r="F20" s="45">
        <f t="shared" si="5"/>
        <v>-4378.74472432683</v>
      </c>
      <c r="G20" s="45">
        <f t="shared" si="5"/>
        <v>-3730.377461612</v>
      </c>
      <c r="H20" s="45">
        <f t="shared" si="5"/>
        <v>-3116.12872367642</v>
      </c>
      <c r="I20" s="45">
        <f t="shared" si="5"/>
        <v>-2525.39404678386</v>
      </c>
      <c r="J20" s="45">
        <f t="shared" si="5"/>
        <v>-1964.90094713148</v>
      </c>
      <c r="K20" s="45">
        <f t="shared" si="5"/>
        <v>-1433.09875485146</v>
      </c>
      <c r="L20" s="45">
        <f t="shared" si="5"/>
        <v>-926.468051537844</v>
      </c>
      <c r="M20" s="45">
        <f t="shared" si="5"/>
        <v>1224.5957307245</v>
      </c>
    </row>
    <row r="21" s="31" customFormat="1" ht="22" customHeight="1" spans="1:13">
      <c r="A21" s="43">
        <v>7</v>
      </c>
      <c r="B21" s="44" t="s">
        <v>180</v>
      </c>
      <c r="C21" s="45">
        <f>SUM(D21:K21)</f>
        <v>431.980905303921</v>
      </c>
      <c r="D21" s="45"/>
      <c r="E21" s="45">
        <f>利润及利润分配表!E13</f>
        <v>40.7024421078939</v>
      </c>
      <c r="F21" s="45">
        <f>利润及利润分配表!F13</f>
        <v>49.2206207392144</v>
      </c>
      <c r="G21" s="45">
        <f>利润及利润分配表!G13</f>
        <v>55.2867527903155</v>
      </c>
      <c r="H21" s="45">
        <f>利润及利润分配表!H13</f>
        <v>61.5816547170987</v>
      </c>
      <c r="I21" s="45">
        <f>利润及利润分配表!I13</f>
        <v>67.4233790764355</v>
      </c>
      <c r="J21" s="45">
        <f>利润及利润分配表!J13</f>
        <v>72.7556571131942</v>
      </c>
      <c r="K21" s="45">
        <f>利润及利润分配表!K13</f>
        <v>85.0103987597693</v>
      </c>
      <c r="L21" s="45">
        <f>利润及利润分配表!L13</f>
        <v>88.2757640418614</v>
      </c>
      <c r="M21" s="45">
        <f>利润及利润分配表!M13</f>
        <v>90.8628772967619</v>
      </c>
    </row>
    <row r="22" s="31" customFormat="1" ht="22" customHeight="1" spans="1:13">
      <c r="A22" s="43">
        <v>8</v>
      </c>
      <c r="B22" s="44" t="s">
        <v>181</v>
      </c>
      <c r="C22" s="45">
        <f>SUM(D22:K22)</f>
        <v>-974.434832211036</v>
      </c>
      <c r="D22" s="45">
        <f t="shared" ref="D22:R22" si="6">D17-D21</f>
        <v>-6043.4846908708</v>
      </c>
      <c r="E22" s="45">
        <f t="shared" si="6"/>
        <v>730.004775287682</v>
      </c>
      <c r="F22" s="45">
        <f t="shared" si="6"/>
        <v>735.534311181643</v>
      </c>
      <c r="G22" s="45">
        <f t="shared" si="6"/>
        <v>732.807707334946</v>
      </c>
      <c r="H22" s="45">
        <f t="shared" si="6"/>
        <v>729.867413115296</v>
      </c>
      <c r="I22" s="45">
        <f t="shared" si="6"/>
        <v>724.217586193306</v>
      </c>
      <c r="J22" s="45">
        <f t="shared" si="6"/>
        <v>715.914420303583</v>
      </c>
      <c r="K22" s="45">
        <f t="shared" si="6"/>
        <v>700.703645243308</v>
      </c>
      <c r="L22" s="45">
        <f t="shared" si="6"/>
        <v>697.674741089584</v>
      </c>
      <c r="M22" s="45">
        <f t="shared" si="6"/>
        <v>3246.14306249629</v>
      </c>
    </row>
    <row r="23" s="31" customFormat="1" ht="22" customHeight="1" spans="1:13">
      <c r="A23" s="43">
        <v>9</v>
      </c>
      <c r="B23" s="44" t="s">
        <v>182</v>
      </c>
      <c r="C23" s="45"/>
      <c r="D23" s="45">
        <f>D22</f>
        <v>-6043.4846908708</v>
      </c>
      <c r="E23" s="45">
        <f t="shared" ref="E23:R23" si="7">D23+E22</f>
        <v>-5313.47991558312</v>
      </c>
      <c r="F23" s="45">
        <f t="shared" si="7"/>
        <v>-4577.94560440148</v>
      </c>
      <c r="G23" s="45">
        <f t="shared" si="7"/>
        <v>-3845.13789706653</v>
      </c>
      <c r="H23" s="45">
        <f t="shared" si="7"/>
        <v>-3115.27048395123</v>
      </c>
      <c r="I23" s="45">
        <f t="shared" si="7"/>
        <v>-2391.05289775793</v>
      </c>
      <c r="J23" s="45">
        <f t="shared" si="7"/>
        <v>-1675.13847745434</v>
      </c>
      <c r="K23" s="45">
        <f t="shared" si="7"/>
        <v>-974.434832211036</v>
      </c>
      <c r="L23" s="45">
        <f t="shared" si="7"/>
        <v>-276.760091121452</v>
      </c>
      <c r="M23" s="45">
        <f t="shared" si="7"/>
        <v>2969.38297137484</v>
      </c>
    </row>
    <row r="24" s="31" customFormat="1" ht="22" customHeight="1" spans="1:13">
      <c r="A24" s="43">
        <v>10</v>
      </c>
      <c r="B24" s="44" t="s">
        <v>183</v>
      </c>
      <c r="C24" s="45">
        <f>SUM(D24:K24)</f>
        <v>-1766.68803183433</v>
      </c>
      <c r="D24" s="45">
        <f>D22/POWER(1.05,1)</f>
        <v>-5755.69970559124</v>
      </c>
      <c r="E24" s="45">
        <f>E22/POWER(1.05,2)</f>
        <v>662.135850601072</v>
      </c>
      <c r="F24" s="45">
        <f>F22/POWER(1.05,3)</f>
        <v>635.382193008654</v>
      </c>
      <c r="G24" s="45">
        <f>G22/POWER(1.05,4)</f>
        <v>602.882714371025</v>
      </c>
      <c r="H24" s="45">
        <f>H22/POWER(1.05,5)</f>
        <v>571.870216228479</v>
      </c>
      <c r="I24" s="45">
        <f>I22/POWER(1.05,6)</f>
        <v>540.422313332459</v>
      </c>
      <c r="J24" s="45">
        <f>J22/POWER(1.052,7)</f>
        <v>502.054577997565</v>
      </c>
      <c r="K24" s="45">
        <f>K22/POWER(1.05,8)</f>
        <v>474.263808217656</v>
      </c>
      <c r="L24" s="45">
        <f>L22/POWER(1.05,9)</f>
        <v>449.727358726289</v>
      </c>
      <c r="M24" s="45">
        <f>M22/POWER(1.05,10)</f>
        <v>1992.85024895586</v>
      </c>
    </row>
    <row r="25" s="31" customFormat="1" ht="22" customHeight="1" spans="1:13">
      <c r="A25" s="43">
        <v>11</v>
      </c>
      <c r="B25" s="44" t="s">
        <v>184</v>
      </c>
      <c r="C25" s="45"/>
      <c r="D25" s="45">
        <f>D24</f>
        <v>-5755.69970559124</v>
      </c>
      <c r="E25" s="45">
        <f t="shared" ref="E25:R25" si="8">D25+E24</f>
        <v>-5093.56385499017</v>
      </c>
      <c r="F25" s="45">
        <f t="shared" si="8"/>
        <v>-4458.18166198151</v>
      </c>
      <c r="G25" s="45">
        <f t="shared" si="8"/>
        <v>-3855.29894761049</v>
      </c>
      <c r="H25" s="45">
        <f t="shared" si="8"/>
        <v>-3283.42873138201</v>
      </c>
      <c r="I25" s="45">
        <f t="shared" si="8"/>
        <v>-2743.00641804955</v>
      </c>
      <c r="J25" s="45">
        <f t="shared" si="8"/>
        <v>-2240.95184005198</v>
      </c>
      <c r="K25" s="45">
        <f t="shared" si="8"/>
        <v>-1766.68803183433</v>
      </c>
      <c r="L25" s="45">
        <f t="shared" si="8"/>
        <v>-1316.96067310804</v>
      </c>
      <c r="M25" s="45">
        <f t="shared" si="8"/>
        <v>675.889575847822</v>
      </c>
    </row>
    <row r="26" spans="1:13">
      <c r="B26" s="50" t="s">
        <v>185</v>
      </c>
    </row>
    <row r="27" spans="1:13">
      <c r="B27" s="51" t="s">
        <v>186</v>
      </c>
      <c r="C27" s="51"/>
      <c r="D27" s="52"/>
      <c r="E27" s="52"/>
      <c r="F27" s="53">
        <f>IRR(D17:M17)</f>
        <v>0.0845299779038524</v>
      </c>
      <c r="G27" s="52"/>
      <c r="H27" s="54" t="s">
        <v>187</v>
      </c>
      <c r="K27" s="53">
        <f>IRR(D22:M22,4.2%)</f>
        <v>0.0712054622199376</v>
      </c>
    </row>
    <row r="28" spans="1:13">
      <c r="B28" s="51" t="s">
        <v>188</v>
      </c>
      <c r="C28" s="51"/>
      <c r="D28" s="52"/>
      <c r="E28" s="52"/>
      <c r="F28" s="55">
        <f>M20</f>
        <v>1224.5957307245</v>
      </c>
      <c r="H28" s="54" t="s">
        <v>189</v>
      </c>
      <c r="K28" s="55">
        <f>M25</f>
        <v>675.889575847822</v>
      </c>
    </row>
    <row r="29" spans="1:13">
      <c r="B29" s="51" t="s">
        <v>190</v>
      </c>
      <c r="C29" s="51"/>
      <c r="D29" s="52"/>
      <c r="E29" s="52"/>
      <c r="F29" s="55">
        <f>10-1+ABS(L20)/M19</f>
        <v>9.43070226888551</v>
      </c>
      <c r="H29" s="54" t="s">
        <v>191</v>
      </c>
      <c r="K29" s="55">
        <f>10-1+ABS(L25/M24)</f>
        <v>9.66084276718637</v>
      </c>
    </row>
    <row r="30" spans="1:13">
      <c r="F30" s="55"/>
    </row>
  </sheetData>
  <sheetProtection formatCells="0" insertHyperlinks="0" autoFilter="0"/>
  <mergeCells count="5">
    <mergeCell ref="A1:K1"/>
    <mergeCell ref="D3:M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20" zoomScaleNormal="120" workbookViewId="0">
      <selection activeCell="D5" sqref="D5"/>
    </sheetView>
  </sheetViews>
  <sheetFormatPr defaultColWidth="8.63333333333333" defaultRowHeight="13.5"/>
  <cols>
    <col min="1" max="1" width="4.13333333333333" style="13" customWidth="1"/>
    <col min="2" max="2" width="9.63333333333333" style="13" customWidth="1"/>
    <col min="3" max="3" width="9.36666666666667" style="13"/>
    <col min="4" max="4" width="7.5" style="14" customWidth="1"/>
    <col min="5" max="5" width="8.60833333333333" style="14" customWidth="1"/>
    <col min="6" max="6" width="8.7" style="14" customWidth="1"/>
    <col min="7" max="12" width="8.7" style="13" customWidth="1"/>
    <col min="13" max="16" width="8.63333333333333" style="13"/>
  </cols>
  <sheetData>
    <row r="1" ht="18.75" spans="1:14">
      <c r="A1" s="15" t="s">
        <v>192</v>
      </c>
      <c r="B1" s="15"/>
      <c r="C1" s="15"/>
      <c r="D1" s="16"/>
      <c r="E1" s="16"/>
      <c r="F1" s="16"/>
      <c r="G1" s="15"/>
      <c r="H1" s="15"/>
      <c r="I1" s="15"/>
      <c r="J1" s="15"/>
      <c r="K1" s="15"/>
      <c r="L1" s="15"/>
    </row>
    <row r="2" ht="16.15" customHeight="1" spans="1:14">
      <c r="J2" s="13" t="s">
        <v>1</v>
      </c>
    </row>
    <row r="3" spans="1:14">
      <c r="A3" s="17" t="s">
        <v>2</v>
      </c>
      <c r="B3" s="18"/>
      <c r="C3" s="19"/>
      <c r="D3" s="20" t="s">
        <v>166</v>
      </c>
      <c r="E3" s="20"/>
      <c r="F3" s="20"/>
      <c r="G3" s="20"/>
      <c r="H3" s="20"/>
      <c r="I3" s="20"/>
      <c r="J3" s="20"/>
      <c r="K3" s="20"/>
      <c r="L3" s="20"/>
      <c r="M3" s="20"/>
      <c r="N3" s="20"/>
    </row>
    <row r="4" ht="21" spans="1:14">
      <c r="A4" s="17"/>
      <c r="B4" s="17" t="s">
        <v>165</v>
      </c>
      <c r="C4" s="17" t="s">
        <v>8</v>
      </c>
      <c r="D4" s="21" t="s">
        <v>193</v>
      </c>
      <c r="E4" s="22">
        <v>0.5</v>
      </c>
      <c r="F4" s="21">
        <v>2</v>
      </c>
      <c r="G4" s="21">
        <v>3</v>
      </c>
      <c r="H4" s="21">
        <v>4</v>
      </c>
      <c r="I4" s="21">
        <v>5</v>
      </c>
      <c r="J4" s="21">
        <v>6</v>
      </c>
      <c r="K4" s="21">
        <v>7</v>
      </c>
      <c r="L4" s="21">
        <v>8</v>
      </c>
      <c r="M4" s="21">
        <v>9</v>
      </c>
      <c r="N4" s="21">
        <v>10</v>
      </c>
    </row>
    <row r="5" ht="12.95" customHeight="1" spans="1:14">
      <c r="A5" s="23">
        <v>1</v>
      </c>
      <c r="B5" s="24" t="s">
        <v>194</v>
      </c>
      <c r="C5" s="25">
        <f>SUM(D5:N5)</f>
        <v>4900</v>
      </c>
      <c r="D5" s="26">
        <v>4900</v>
      </c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27">
        <v>1.1</v>
      </c>
      <c r="B6" s="24" t="s">
        <v>195</v>
      </c>
      <c r="C6" s="25"/>
      <c r="D6" s="26"/>
      <c r="E6" s="26">
        <f>D10</f>
        <v>4900</v>
      </c>
      <c r="F6" s="26">
        <f t="shared" ref="E6:S6" si="0">E10</f>
        <v>4700</v>
      </c>
      <c r="G6" s="26">
        <f t="shared" si="0"/>
        <v>4270</v>
      </c>
      <c r="H6" s="26">
        <f t="shared" si="0"/>
        <v>3810</v>
      </c>
      <c r="I6" s="26">
        <f t="shared" si="0"/>
        <v>3340</v>
      </c>
      <c r="J6" s="26">
        <f t="shared" si="0"/>
        <v>2840</v>
      </c>
      <c r="K6" s="26">
        <f t="shared" si="0"/>
        <v>2310</v>
      </c>
      <c r="L6" s="26">
        <f t="shared" si="0"/>
        <v>1760</v>
      </c>
      <c r="M6" s="26">
        <f t="shared" si="0"/>
        <v>1190</v>
      </c>
      <c r="N6" s="26">
        <f t="shared" si="0"/>
        <v>600</v>
      </c>
    </row>
    <row r="7" ht="12.95" customHeight="1" spans="1:14">
      <c r="A7" s="27">
        <v>1.2</v>
      </c>
      <c r="B7" s="24" t="s">
        <v>196</v>
      </c>
      <c r="C7" s="25">
        <f t="shared" ref="C6:C11" si="1">SUM(D7:N7)</f>
        <v>6034</v>
      </c>
      <c r="D7" s="26">
        <f t="shared" ref="D7:S7" si="2">D8+D9</f>
        <v>55.125</v>
      </c>
      <c r="E7" s="26">
        <f t="shared" si="2"/>
        <v>308</v>
      </c>
      <c r="F7" s="26">
        <f t="shared" si="2"/>
        <v>631.825</v>
      </c>
      <c r="G7" s="26">
        <f t="shared" si="2"/>
        <v>641.8</v>
      </c>
      <c r="H7" s="26">
        <f t="shared" si="2"/>
        <v>630.875</v>
      </c>
      <c r="I7" s="26">
        <f t="shared" si="2"/>
        <v>639.05</v>
      </c>
      <c r="J7" s="26">
        <f t="shared" si="2"/>
        <v>645.875</v>
      </c>
      <c r="K7" s="26">
        <f t="shared" si="2"/>
        <v>641.575</v>
      </c>
      <c r="L7" s="26">
        <f t="shared" si="2"/>
        <v>609.6</v>
      </c>
      <c r="M7" s="26">
        <f t="shared" si="2"/>
        <v>616.775</v>
      </c>
      <c r="N7" s="26">
        <f t="shared" si="2"/>
        <v>613.5</v>
      </c>
    </row>
    <row r="8" ht="14.1" customHeight="1" spans="1:14">
      <c r="A8" s="27"/>
      <c r="B8" s="25" t="s">
        <v>197</v>
      </c>
      <c r="C8" s="25">
        <f t="shared" si="1"/>
        <v>4900</v>
      </c>
      <c r="D8" s="26"/>
      <c r="E8" s="26">
        <v>200</v>
      </c>
      <c r="F8" s="26">
        <v>430</v>
      </c>
      <c r="G8" s="26">
        <v>460</v>
      </c>
      <c r="H8" s="26">
        <f>470</f>
        <v>470</v>
      </c>
      <c r="I8" s="26">
        <f>500</f>
        <v>500</v>
      </c>
      <c r="J8" s="26">
        <f>530</f>
        <v>530</v>
      </c>
      <c r="K8" s="26">
        <f>550</f>
        <v>550</v>
      </c>
      <c r="L8" s="26">
        <f>570</f>
        <v>570</v>
      </c>
      <c r="M8" s="26">
        <f>590</f>
        <v>590</v>
      </c>
      <c r="N8" s="26">
        <f>600</f>
        <v>600</v>
      </c>
    </row>
    <row r="9" spans="1:14">
      <c r="A9" s="27"/>
      <c r="B9" s="28" t="s">
        <v>198</v>
      </c>
      <c r="C9" s="25">
        <f t="shared" si="1"/>
        <v>1134</v>
      </c>
      <c r="D9" s="26">
        <f>D5*0.045*0.25</f>
        <v>55.125</v>
      </c>
      <c r="E9" s="26">
        <f>(E6+F6)/2*0.045*0.5</f>
        <v>108</v>
      </c>
      <c r="F9" s="26">
        <f t="shared" ref="F9:K9" si="3">(F6+G6)/2*0.045</f>
        <v>201.825</v>
      </c>
      <c r="G9" s="26">
        <f t="shared" si="3"/>
        <v>181.8</v>
      </c>
      <c r="H9" s="26">
        <f t="shared" si="3"/>
        <v>160.875</v>
      </c>
      <c r="I9" s="26">
        <f t="shared" si="3"/>
        <v>139.05</v>
      </c>
      <c r="J9" s="26">
        <f t="shared" si="3"/>
        <v>115.875</v>
      </c>
      <c r="K9" s="26">
        <f t="shared" si="3"/>
        <v>91.575</v>
      </c>
      <c r="L9" s="26">
        <f>(L6)/2*0.045</f>
        <v>39.6</v>
      </c>
      <c r="M9" s="26">
        <f>(M6)/2*0.045</f>
        <v>26.775</v>
      </c>
      <c r="N9" s="26">
        <f>(N6)/2*0.045</f>
        <v>13.5</v>
      </c>
    </row>
    <row r="10" spans="1:14">
      <c r="A10" s="27">
        <v>1.3</v>
      </c>
      <c r="B10" s="24" t="s">
        <v>199</v>
      </c>
      <c r="C10" s="25">
        <f t="shared" si="1"/>
        <v>29720</v>
      </c>
      <c r="D10" s="26">
        <f>D5</f>
        <v>4900</v>
      </c>
      <c r="E10" s="26">
        <f t="shared" ref="E10:S10" si="4">E6-E8</f>
        <v>4700</v>
      </c>
      <c r="F10" s="26">
        <f t="shared" si="4"/>
        <v>4270</v>
      </c>
      <c r="G10" s="26">
        <f t="shared" si="4"/>
        <v>3810</v>
      </c>
      <c r="H10" s="26">
        <f t="shared" si="4"/>
        <v>3340</v>
      </c>
      <c r="I10" s="26">
        <f t="shared" si="4"/>
        <v>2840</v>
      </c>
      <c r="J10" s="26">
        <f t="shared" si="4"/>
        <v>2310</v>
      </c>
      <c r="K10" s="26">
        <f t="shared" si="4"/>
        <v>1760</v>
      </c>
      <c r="L10" s="26">
        <f t="shared" si="4"/>
        <v>1190</v>
      </c>
      <c r="M10" s="26">
        <f t="shared" si="4"/>
        <v>600</v>
      </c>
      <c r="N10" s="26">
        <f t="shared" si="4"/>
        <v>0</v>
      </c>
    </row>
    <row r="11" ht="19.9" customHeight="1" spans="1:14">
      <c r="A11" s="23">
        <v>4</v>
      </c>
      <c r="B11" s="25" t="s">
        <v>200</v>
      </c>
      <c r="C11" s="25">
        <f t="shared" si="1"/>
        <v>7438.19078317538</v>
      </c>
      <c r="D11" s="26"/>
      <c r="E11" s="26">
        <f>利润及利润分配表!D26</f>
        <v>368.1855559292</v>
      </c>
      <c r="F11" s="26">
        <f>利润及利润分配表!E26</f>
        <v>770.707217395576</v>
      </c>
      <c r="G11" s="26">
        <f>利润及利润分配表!F26</f>
        <v>784.754931920857</v>
      </c>
      <c r="H11" s="26">
        <f>利润及利润分配表!G26</f>
        <v>788.094460125262</v>
      </c>
      <c r="I11" s="26">
        <f>利润及利润分配表!H26</f>
        <v>791.449067832395</v>
      </c>
      <c r="J11" s="26">
        <f>利润及利润分配表!I26</f>
        <v>791.640965269742</v>
      </c>
      <c r="K11" s="26">
        <f>利润及利润分配表!J26</f>
        <v>788.670077416777</v>
      </c>
      <c r="L11" s="26">
        <f>利润及利润分配表!K26</f>
        <v>785.714044003077</v>
      </c>
      <c r="M11" s="26">
        <f>利润及利润分配表!L26</f>
        <v>785.950505131446</v>
      </c>
      <c r="N11" s="26">
        <f>利润及利润分配表!M26</f>
        <v>783.023958151048</v>
      </c>
    </row>
    <row r="12" spans="1:14">
      <c r="A12" s="29" t="s">
        <v>201</v>
      </c>
      <c r="B12" s="25" t="s">
        <v>202</v>
      </c>
      <c r="C12" s="30">
        <f>C11/C9</f>
        <v>6.55925113154795</v>
      </c>
      <c r="D12" s="26"/>
      <c r="E12" s="26">
        <f t="shared" ref="E12:S12" si="5">E11/E9</f>
        <v>3.40912551786296</v>
      </c>
      <c r="F12" s="26">
        <f t="shared" si="5"/>
        <v>3.81869053583835</v>
      </c>
      <c r="G12" s="26">
        <f t="shared" si="5"/>
        <v>4.31658378394311</v>
      </c>
      <c r="H12" s="26">
        <f t="shared" si="5"/>
        <v>4.89880006293869</v>
      </c>
      <c r="I12" s="26">
        <f t="shared" si="5"/>
        <v>5.69183076470618</v>
      </c>
      <c r="J12" s="26">
        <f t="shared" si="5"/>
        <v>6.83185299046163</v>
      </c>
      <c r="K12" s="26">
        <f t="shared" si="5"/>
        <v>8.61228585767706</v>
      </c>
      <c r="L12" s="26">
        <f t="shared" si="5"/>
        <v>19.8412637374514</v>
      </c>
      <c r="M12" s="26">
        <f t="shared" si="5"/>
        <v>29.3538937490736</v>
      </c>
      <c r="N12" s="26">
        <f t="shared" si="5"/>
        <v>58.0017746778554</v>
      </c>
    </row>
    <row r="13" spans="1:14">
      <c r="A13" s="29"/>
      <c r="B13" s="25" t="s">
        <v>203</v>
      </c>
      <c r="C13" s="30">
        <f>C11/C7</f>
        <v>1.23271308968767</v>
      </c>
      <c r="D13" s="26"/>
      <c r="E13" s="26">
        <f t="shared" ref="E13:S13" si="6">E11/E7</f>
        <v>1.19540764912078</v>
      </c>
      <c r="F13" s="26">
        <f t="shared" si="6"/>
        <v>1.21981120942599</v>
      </c>
      <c r="G13" s="26">
        <f t="shared" si="6"/>
        <v>1.2227406231238</v>
      </c>
      <c r="H13" s="26">
        <f t="shared" si="6"/>
        <v>1.24920857558987</v>
      </c>
      <c r="I13" s="26">
        <f t="shared" si="6"/>
        <v>1.23847753357702</v>
      </c>
      <c r="J13" s="26">
        <f t="shared" si="6"/>
        <v>1.22568757928352</v>
      </c>
      <c r="K13" s="26">
        <f t="shared" si="6"/>
        <v>1.22927183480774</v>
      </c>
      <c r="L13" s="26">
        <f t="shared" si="6"/>
        <v>1.2889009908187</v>
      </c>
      <c r="M13" s="26">
        <f t="shared" si="6"/>
        <v>1.27429047080612</v>
      </c>
      <c r="N13" s="26">
        <f t="shared" si="6"/>
        <v>1.27632267017286</v>
      </c>
    </row>
  </sheetData>
  <sheetProtection formatCells="0" insertHyperlinks="0" autoFilter="0"/>
  <mergeCells count="4">
    <mergeCell ref="A1:L1"/>
    <mergeCell ref="D3:N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A1:M1"/>
    </sheetView>
  </sheetViews>
  <sheetFormatPr defaultColWidth="8.89166666666667" defaultRowHeight="13.5"/>
  <cols>
    <col min="1" max="1" width="7.225" customWidth="1"/>
    <col min="2" max="2" width="17.6666666666667" customWidth="1"/>
    <col min="3" max="13" width="10.5583333333333" customWidth="1"/>
  </cols>
  <sheetData>
    <row r="1" ht="26" customHeight="1" spans="1:19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9" customHeight="1" spans="1:19">
      <c r="A2" s="2" t="s">
        <v>2</v>
      </c>
      <c r="B2" s="3" t="s">
        <v>72</v>
      </c>
      <c r="C2" s="4" t="s">
        <v>205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</row>
    <row r="3" spans="1:19">
      <c r="A3" s="2"/>
      <c r="B3" s="3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8"/>
      <c r="P3" s="8"/>
      <c r="Q3" s="8"/>
      <c r="R3" s="8"/>
      <c r="S3" s="8"/>
    </row>
    <row r="4" spans="1:19">
      <c r="A4" s="2">
        <v>1</v>
      </c>
      <c r="B4" s="9" t="s">
        <v>206</v>
      </c>
      <c r="C4" s="10">
        <f t="shared" ref="C4:N4" si="0">C5-C9</f>
        <v>988.0194562674</v>
      </c>
      <c r="D4" s="10">
        <f t="shared" si="0"/>
        <v>730.004775287682</v>
      </c>
      <c r="E4" s="10">
        <f t="shared" si="0"/>
        <v>735.534311181643</v>
      </c>
      <c r="F4" s="10">
        <f t="shared" si="0"/>
        <v>732.807707334946</v>
      </c>
      <c r="G4" s="10">
        <f t="shared" si="0"/>
        <v>729.867413115296</v>
      </c>
      <c r="H4" s="10">
        <f t="shared" si="0"/>
        <v>724.217586193306</v>
      </c>
      <c r="I4" s="10">
        <f t="shared" si="0"/>
        <v>715.914420303583</v>
      </c>
      <c r="J4" s="10">
        <f t="shared" si="0"/>
        <v>700.703645243308</v>
      </c>
      <c r="K4" s="10" t="e">
        <f t="shared" si="0"/>
        <v>#REF!</v>
      </c>
      <c r="L4" s="10" t="e">
        <f t="shared" si="0"/>
        <v>#REF!</v>
      </c>
      <c r="M4" s="10" t="e">
        <f t="shared" si="0"/>
        <v>#REF!</v>
      </c>
      <c r="N4" s="10" t="e">
        <f t="shared" si="0"/>
        <v>#REF!</v>
      </c>
      <c r="O4" s="8"/>
      <c r="P4" s="8"/>
      <c r="Q4" s="8"/>
      <c r="R4" s="8"/>
      <c r="S4" s="8"/>
    </row>
    <row r="5" spans="1:19">
      <c r="A5" s="2">
        <v>1.1</v>
      </c>
      <c r="B5" s="9" t="s">
        <v>167</v>
      </c>
      <c r="C5" s="10">
        <f t="shared" ref="C5:N5" si="1">SUM(C6:C8)</f>
        <v>1152.4973652</v>
      </c>
      <c r="D5" s="10">
        <f t="shared" si="1"/>
        <v>1052.95344768</v>
      </c>
      <c r="E5" s="10">
        <f t="shared" si="1"/>
        <v>1069.1733904416</v>
      </c>
      <c r="F5" s="10">
        <f t="shared" si="1"/>
        <v>1072.88399848939</v>
      </c>
      <c r="G5" s="10">
        <f t="shared" si="1"/>
        <v>1076.61317849695</v>
      </c>
      <c r="H5" s="10">
        <f t="shared" si="1"/>
        <v>1076.64833760446</v>
      </c>
      <c r="I5" s="10">
        <f t="shared" si="1"/>
        <v>1072.98938341644</v>
      </c>
      <c r="J5" s="10">
        <f t="shared" si="1"/>
        <v>1069.34872399936</v>
      </c>
      <c r="K5" s="10" t="e">
        <f t="shared" si="1"/>
        <v>#REF!</v>
      </c>
      <c r="L5" s="10" t="e">
        <f t="shared" si="1"/>
        <v>#REF!</v>
      </c>
      <c r="M5" s="10" t="e">
        <f t="shared" si="1"/>
        <v>#REF!</v>
      </c>
      <c r="N5" s="10" t="e">
        <f t="shared" si="1"/>
        <v>#REF!</v>
      </c>
      <c r="O5" s="8"/>
      <c r="P5" s="8"/>
      <c r="Q5" s="8"/>
      <c r="R5" s="8"/>
      <c r="S5" s="8"/>
    </row>
    <row r="6" spans="1:19">
      <c r="A6" s="2" t="s">
        <v>207</v>
      </c>
      <c r="B6" s="9" t="s">
        <v>83</v>
      </c>
      <c r="C6" s="10">
        <f>营业收入及税金表!D5</f>
        <v>518.376132</v>
      </c>
      <c r="D6" s="10">
        <f>营业收入及税金表!E5</f>
        <v>1052.95344768</v>
      </c>
      <c r="E6" s="10">
        <f>营业收入及税金表!F5</f>
        <v>1069.1733904416</v>
      </c>
      <c r="F6" s="10">
        <f>营业收入及税金表!G5</f>
        <v>1072.88399848939</v>
      </c>
      <c r="G6" s="10">
        <f>营业收入及税金表!H5</f>
        <v>1076.61317849695</v>
      </c>
      <c r="H6" s="10">
        <f>营业收入及税金表!I5</f>
        <v>1076.64833760446</v>
      </c>
      <c r="I6" s="10">
        <f>营业收入及税金表!J5</f>
        <v>1072.98938341644</v>
      </c>
      <c r="J6" s="10">
        <f>营业收入及税金表!K5</f>
        <v>1069.34872399936</v>
      </c>
      <c r="K6" s="10" t="e">
        <f>营业收入及税金表!#REF!</f>
        <v>#REF!</v>
      </c>
      <c r="L6" s="10" t="e">
        <f>营业收入及税金表!#REF!</f>
        <v>#REF!</v>
      </c>
      <c r="M6" s="10" t="e">
        <f>营业收入及税金表!#REF!</f>
        <v>#REF!</v>
      </c>
      <c r="N6" s="10" t="e">
        <f>营业收入及税金表!#REF!</f>
        <v>#REF!</v>
      </c>
      <c r="O6" s="8"/>
      <c r="P6" s="8"/>
      <c r="Q6" s="8"/>
      <c r="R6" s="8"/>
      <c r="S6" s="8"/>
    </row>
    <row r="7" spans="1:19">
      <c r="A7" s="2" t="s">
        <v>208</v>
      </c>
      <c r="B7" s="9" t="s">
        <v>146</v>
      </c>
      <c r="C7" s="10">
        <f>项目投资现金流量表!D7</f>
        <v>634.1212332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8"/>
      <c r="P7" s="8"/>
      <c r="Q7" s="8"/>
      <c r="R7" s="8"/>
      <c r="S7" s="8"/>
    </row>
    <row r="8" spans="1:19">
      <c r="A8" s="2" t="s">
        <v>209</v>
      </c>
      <c r="B8" s="9" t="s">
        <v>210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8"/>
      <c r="P8" s="8"/>
      <c r="Q8" s="8"/>
      <c r="R8" s="8"/>
      <c r="S8" s="8"/>
    </row>
    <row r="9" spans="1:19">
      <c r="A9" s="2">
        <v>1.2</v>
      </c>
      <c r="B9" s="9" t="s">
        <v>171</v>
      </c>
      <c r="C9" s="10">
        <f t="shared" ref="C9:N9" si="2">SUM(C10:C13)</f>
        <v>164.4779089326</v>
      </c>
      <c r="D9" s="10">
        <f t="shared" si="2"/>
        <v>322.948672392318</v>
      </c>
      <c r="E9" s="10">
        <f t="shared" si="2"/>
        <v>333.639079259957</v>
      </c>
      <c r="F9" s="10">
        <f t="shared" si="2"/>
        <v>340.076291154446</v>
      </c>
      <c r="G9" s="10">
        <f t="shared" si="2"/>
        <v>346.745765381649</v>
      </c>
      <c r="H9" s="10">
        <f t="shared" si="2"/>
        <v>352.430751411154</v>
      </c>
      <c r="I9" s="10">
        <f t="shared" si="2"/>
        <v>357.074963112855</v>
      </c>
      <c r="J9" s="10">
        <f t="shared" si="2"/>
        <v>368.645078756048</v>
      </c>
      <c r="K9" s="10" t="e">
        <f t="shared" si="2"/>
        <v>#REF!</v>
      </c>
      <c r="L9" s="10" t="e">
        <f t="shared" si="2"/>
        <v>#REF!</v>
      </c>
      <c r="M9" s="10" t="e">
        <f t="shared" si="2"/>
        <v>#REF!</v>
      </c>
      <c r="N9" s="10" t="e">
        <f t="shared" si="2"/>
        <v>#REF!</v>
      </c>
      <c r="O9" s="8"/>
      <c r="P9" s="8"/>
      <c r="Q9" s="8"/>
      <c r="R9" s="8"/>
      <c r="S9" s="8"/>
    </row>
    <row r="10" spans="1:19">
      <c r="A10" s="2" t="s">
        <v>92</v>
      </c>
      <c r="B10" s="9" t="s">
        <v>174</v>
      </c>
      <c r="C10" s="10">
        <f>总成本费用表!D9</f>
        <v>82.2224290482</v>
      </c>
      <c r="D10" s="10">
        <f>总成本费用表!E9</f>
        <v>144.9512948322</v>
      </c>
      <c r="E10" s="10">
        <f>总成本费用表!F9</f>
        <v>145.76229197028</v>
      </c>
      <c r="F10" s="10">
        <f>总成本费用表!G9</f>
        <v>145.94782237267</v>
      </c>
      <c r="G10" s="10">
        <f>总成本费用表!H9</f>
        <v>146.134281373047</v>
      </c>
      <c r="H10" s="10">
        <f>总成本费用表!I9</f>
        <v>146.136039328423</v>
      </c>
      <c r="I10" s="10">
        <f>总成本费用表!J9</f>
        <v>145.953091619022</v>
      </c>
      <c r="J10" s="10">
        <f>总成本费用表!K9</f>
        <v>145.771058648168</v>
      </c>
      <c r="K10" s="10" t="e">
        <f>总成本费用表!#REF!</f>
        <v>#REF!</v>
      </c>
      <c r="L10" s="10" t="e">
        <f>总成本费用表!#REF!</f>
        <v>#REF!</v>
      </c>
      <c r="M10" s="10" t="e">
        <f>总成本费用表!#REF!</f>
        <v>#REF!</v>
      </c>
      <c r="N10" s="10" t="e">
        <f>总成本费用表!#REF!</f>
        <v>#REF!</v>
      </c>
      <c r="O10" s="8"/>
      <c r="P10" s="8"/>
      <c r="Q10" s="8"/>
      <c r="R10" s="8"/>
      <c r="S10" s="8"/>
    </row>
    <row r="11" spans="1:19">
      <c r="A11" s="2" t="s">
        <v>94</v>
      </c>
      <c r="B11" s="9" t="s">
        <v>211</v>
      </c>
      <c r="C11" s="10">
        <f>利润及利润分配表!D6+利润及利润分配表!D7</f>
        <v>67.9681470226</v>
      </c>
      <c r="D11" s="10">
        <f>利润及利润分配表!E6+利润及利润分配表!E7</f>
        <v>137.294935452224</v>
      </c>
      <c r="E11" s="10">
        <f>利润及利润分配表!F6+利润及利润分配表!F7</f>
        <v>138.656166550463</v>
      </c>
      <c r="F11" s="10">
        <f>利润及利润分配表!G6+利润及利润分配表!G7</f>
        <v>138.841715991461</v>
      </c>
      <c r="G11" s="10">
        <f>利润及利润分配表!H6+利润及利润分配表!H7</f>
        <v>139.029829291503</v>
      </c>
      <c r="H11" s="10">
        <f>利润及利润分配表!I6+利润及利润分配表!I7</f>
        <v>138.871333006296</v>
      </c>
      <c r="I11" s="10">
        <f>利润及利润分配表!J6+利润及利润分配表!J7</f>
        <v>138.366214380639</v>
      </c>
      <c r="J11" s="10">
        <f>利润及利润分配表!K6+利润及利润分配表!K7</f>
        <v>137.863621348111</v>
      </c>
      <c r="K11" s="10" t="e">
        <f>利润及利润分配表!#REF!+利润及利润分配表!#REF!</f>
        <v>#REF!</v>
      </c>
      <c r="L11" s="10" t="e">
        <f>利润及利润分配表!#REF!+利润及利润分配表!#REF!</f>
        <v>#REF!</v>
      </c>
      <c r="M11" s="10" t="e">
        <f>利润及利润分配表!#REF!+利润及利润分配表!#REF!</f>
        <v>#REF!</v>
      </c>
      <c r="N11" s="10" t="e">
        <f>利润及利润分配表!#REF!+利润及利润分配表!#REF!</f>
        <v>#REF!</v>
      </c>
      <c r="O11" s="8"/>
      <c r="P11" s="8"/>
      <c r="Q11" s="8"/>
      <c r="R11" s="8"/>
      <c r="S11" s="8"/>
    </row>
    <row r="12" spans="1:19">
      <c r="A12" s="2" t="s">
        <v>212</v>
      </c>
      <c r="B12" s="9" t="s">
        <v>150</v>
      </c>
      <c r="C12" s="10">
        <f>利润及利润分配表!D13</f>
        <v>14.2873328618</v>
      </c>
      <c r="D12" s="10">
        <f>利润及利润分配表!E13</f>
        <v>40.7024421078939</v>
      </c>
      <c r="E12" s="10">
        <f>利润及利润分配表!F13</f>
        <v>49.2206207392144</v>
      </c>
      <c r="F12" s="10">
        <f>利润及利润分配表!G13</f>
        <v>55.2867527903155</v>
      </c>
      <c r="G12" s="10">
        <f>利润及利润分配表!H13</f>
        <v>61.5816547170987</v>
      </c>
      <c r="H12" s="10">
        <f>利润及利润分配表!I13</f>
        <v>67.4233790764355</v>
      </c>
      <c r="I12" s="10">
        <f>利润及利润分配表!J13</f>
        <v>72.7556571131942</v>
      </c>
      <c r="J12" s="10">
        <f>利润及利润分配表!K13</f>
        <v>85.0103987597693</v>
      </c>
      <c r="K12" s="10" t="e">
        <f>利润及利润分配表!#REF!</f>
        <v>#REF!</v>
      </c>
      <c r="L12" s="10" t="e">
        <f>利润及利润分配表!#REF!</f>
        <v>#REF!</v>
      </c>
      <c r="M12" s="10" t="e">
        <f>利润及利润分配表!#REF!</f>
        <v>#REF!</v>
      </c>
      <c r="N12" s="10" t="e">
        <f>利润及利润分配表!#REF!</f>
        <v>#REF!</v>
      </c>
      <c r="O12" s="8"/>
      <c r="P12" s="8"/>
      <c r="Q12" s="8"/>
      <c r="R12" s="8"/>
      <c r="S12" s="8"/>
    </row>
    <row r="13" spans="1:19">
      <c r="A13" s="2" t="s">
        <v>213</v>
      </c>
      <c r="B13" s="9" t="s">
        <v>214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8"/>
      <c r="P13" s="8"/>
      <c r="Q13" s="8"/>
      <c r="R13" s="8"/>
      <c r="S13" s="8"/>
    </row>
    <row r="14" spans="1:19">
      <c r="A14" s="2">
        <v>2</v>
      </c>
      <c r="B14" s="9" t="s">
        <v>215</v>
      </c>
      <c r="C14" s="10">
        <f>C15-C16</f>
        <v>-7100.91648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8"/>
      <c r="P14" s="8"/>
      <c r="Q14" s="8"/>
      <c r="R14" s="8"/>
      <c r="S14" s="8"/>
    </row>
    <row r="15" spans="1:19">
      <c r="A15" s="2">
        <v>2.1</v>
      </c>
      <c r="B15" s="9" t="s">
        <v>167</v>
      </c>
      <c r="C15" s="10"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8"/>
      <c r="P15" s="8"/>
      <c r="Q15" s="8"/>
      <c r="R15" s="8"/>
      <c r="S15" s="8"/>
    </row>
    <row r="16" spans="1:19">
      <c r="A16" s="2">
        <v>2.2</v>
      </c>
      <c r="B16" s="9" t="s">
        <v>171</v>
      </c>
      <c r="C16" s="10">
        <f>SUM(C17:C20)</f>
        <v>7100.91648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8"/>
      <c r="P16" s="8"/>
      <c r="Q16" s="8"/>
      <c r="R16" s="8"/>
      <c r="S16" s="8"/>
    </row>
    <row r="17" spans="1:19">
      <c r="A17" s="2" t="s">
        <v>216</v>
      </c>
      <c r="B17" s="9" t="s">
        <v>172</v>
      </c>
      <c r="C17" s="10">
        <f>总投资!G47</f>
        <v>7100.91648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8"/>
      <c r="P17" s="8"/>
      <c r="Q17" s="8"/>
      <c r="R17" s="8"/>
      <c r="S17" s="8"/>
    </row>
    <row r="18" spans="1:19">
      <c r="A18" s="2" t="s">
        <v>217</v>
      </c>
      <c r="B18" s="9" t="s">
        <v>175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8"/>
      <c r="P18" s="8"/>
      <c r="Q18" s="8"/>
      <c r="R18" s="8"/>
      <c r="S18" s="8"/>
    </row>
    <row r="19" spans="1:19">
      <c r="A19" s="2" t="s">
        <v>218</v>
      </c>
      <c r="B19" s="9" t="s">
        <v>173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  <c r="P19" s="8"/>
      <c r="Q19" s="8"/>
      <c r="R19" s="8"/>
      <c r="S19" s="8"/>
    </row>
    <row r="20" spans="1:19">
      <c r="A20" s="2" t="s">
        <v>219</v>
      </c>
      <c r="B20" s="9" t="s">
        <v>214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8"/>
      <c r="P20" s="8"/>
      <c r="Q20" s="8"/>
      <c r="R20" s="8"/>
      <c r="S20" s="8"/>
    </row>
    <row r="21" spans="1:19">
      <c r="A21" s="2">
        <v>3</v>
      </c>
      <c r="B21" s="9" t="s">
        <v>220</v>
      </c>
      <c r="C21" s="10">
        <f t="shared" ref="C21:N21" si="3">C22-C26</f>
        <v>12393.235</v>
      </c>
      <c r="D21" s="10">
        <f t="shared" si="3"/>
        <v>-538</v>
      </c>
      <c r="E21" s="10">
        <f t="shared" si="3"/>
        <v>-661.825</v>
      </c>
      <c r="F21" s="10">
        <f t="shared" si="3"/>
        <v>-651.8</v>
      </c>
      <c r="G21" s="10">
        <f t="shared" si="3"/>
        <v>-660.875</v>
      </c>
      <c r="H21" s="10">
        <f t="shared" si="3"/>
        <v>-669.05</v>
      </c>
      <c r="I21" s="10">
        <f t="shared" si="3"/>
        <v>-665.875</v>
      </c>
      <c r="J21" s="10">
        <f t="shared" si="3"/>
        <v>-661.575</v>
      </c>
      <c r="K21" s="10" t="e">
        <f t="shared" si="3"/>
        <v>#REF!</v>
      </c>
      <c r="L21" s="10" t="e">
        <f t="shared" si="3"/>
        <v>#REF!</v>
      </c>
      <c r="M21" s="10" t="e">
        <f t="shared" si="3"/>
        <v>#REF!</v>
      </c>
      <c r="N21" s="10" t="e">
        <f t="shared" si="3"/>
        <v>#REF!</v>
      </c>
      <c r="O21" s="11"/>
      <c r="P21" s="11"/>
      <c r="Q21" s="11"/>
      <c r="R21" s="11"/>
      <c r="S21" s="11"/>
    </row>
    <row r="22" spans="1:19">
      <c r="A22" s="2">
        <v>3.1</v>
      </c>
      <c r="B22" s="9" t="s">
        <v>167</v>
      </c>
      <c r="C22" s="10">
        <f>SUM(C23:C25)</f>
        <v>12648.36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8"/>
      <c r="P22" s="8"/>
      <c r="Q22" s="8"/>
      <c r="R22" s="8"/>
      <c r="S22" s="8"/>
    </row>
    <row r="23" spans="1:19">
      <c r="A23" s="2" t="s">
        <v>221</v>
      </c>
      <c r="B23" s="9" t="s">
        <v>222</v>
      </c>
      <c r="C23" s="10">
        <v>2648.36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8"/>
      <c r="P23" s="8"/>
      <c r="Q23" s="8"/>
      <c r="R23" s="8"/>
      <c r="S23" s="8"/>
    </row>
    <row r="24" spans="1:19">
      <c r="A24" s="2" t="s">
        <v>223</v>
      </c>
      <c r="B24" s="9" t="s">
        <v>194</v>
      </c>
      <c r="C24" s="10">
        <v>10000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8"/>
      <c r="P24" s="8"/>
      <c r="Q24" s="8"/>
      <c r="R24" s="8"/>
      <c r="S24" s="8"/>
    </row>
    <row r="25" spans="1:19">
      <c r="A25" s="2" t="s">
        <v>224</v>
      </c>
      <c r="B25" s="9" t="s">
        <v>210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8"/>
      <c r="P25" s="8"/>
      <c r="Q25" s="8"/>
      <c r="R25" s="8"/>
      <c r="S25" s="8"/>
    </row>
    <row r="26" spans="1:19">
      <c r="A26" s="2">
        <v>3.2</v>
      </c>
      <c r="B26" s="9" t="s">
        <v>171</v>
      </c>
      <c r="C26" s="10">
        <f t="shared" ref="C26:N26" si="4">SUM(C27:C30)</f>
        <v>255.125</v>
      </c>
      <c r="D26" s="10">
        <f t="shared" si="4"/>
        <v>538</v>
      </c>
      <c r="E26" s="10">
        <f t="shared" si="4"/>
        <v>661.825</v>
      </c>
      <c r="F26" s="10">
        <f t="shared" si="4"/>
        <v>651.8</v>
      </c>
      <c r="G26" s="10">
        <f t="shared" si="4"/>
        <v>660.875</v>
      </c>
      <c r="H26" s="10">
        <f t="shared" si="4"/>
        <v>669.05</v>
      </c>
      <c r="I26" s="10">
        <f t="shared" si="4"/>
        <v>665.875</v>
      </c>
      <c r="J26" s="10">
        <f t="shared" si="4"/>
        <v>661.575</v>
      </c>
      <c r="K26" s="10" t="e">
        <f t="shared" si="4"/>
        <v>#REF!</v>
      </c>
      <c r="L26" s="10" t="e">
        <f t="shared" si="4"/>
        <v>#REF!</v>
      </c>
      <c r="M26" s="10" t="e">
        <f t="shared" si="4"/>
        <v>#REF!</v>
      </c>
      <c r="N26" s="10" t="e">
        <f t="shared" si="4"/>
        <v>#REF!</v>
      </c>
      <c r="O26" s="8"/>
      <c r="P26" s="8"/>
      <c r="Q26" s="8"/>
      <c r="R26" s="8"/>
      <c r="S26" s="8"/>
    </row>
    <row r="27" spans="1:19">
      <c r="A27" s="2" t="s">
        <v>225</v>
      </c>
      <c r="B27" s="9" t="s">
        <v>138</v>
      </c>
      <c r="C27" s="10">
        <f>还本付息表!D9</f>
        <v>55.125</v>
      </c>
      <c r="D27" s="10">
        <f>还本付息表!E9</f>
        <v>108</v>
      </c>
      <c r="E27" s="10">
        <f>还本付息表!F9</f>
        <v>201.825</v>
      </c>
      <c r="F27" s="10">
        <f>还本付息表!G9</f>
        <v>181.8</v>
      </c>
      <c r="G27" s="10">
        <f>还本付息表!H9</f>
        <v>160.875</v>
      </c>
      <c r="H27" s="10">
        <f>还本付息表!I9</f>
        <v>139.05</v>
      </c>
      <c r="I27" s="10">
        <f>还本付息表!J9</f>
        <v>115.875</v>
      </c>
      <c r="J27" s="10">
        <f>还本付息表!K9</f>
        <v>91.575</v>
      </c>
      <c r="K27" s="10">
        <f>还本付息表!L9</f>
        <v>39.6</v>
      </c>
      <c r="L27" s="10" t="e">
        <f>还本付息表!#REF!</f>
        <v>#REF!</v>
      </c>
      <c r="M27" s="10" t="e">
        <f>还本付息表!#REF!</f>
        <v>#REF!</v>
      </c>
      <c r="N27" s="10" t="e">
        <f>还本付息表!#REF!</f>
        <v>#REF!</v>
      </c>
      <c r="O27" s="8"/>
      <c r="P27" s="8"/>
      <c r="Q27" s="8"/>
      <c r="R27" s="8"/>
      <c r="S27" s="8"/>
    </row>
    <row r="28" spans="1:19">
      <c r="A28" s="2" t="s">
        <v>226</v>
      </c>
      <c r="B28" s="9" t="s">
        <v>227</v>
      </c>
      <c r="C28" s="10">
        <f>还本付息表!E8</f>
        <v>200</v>
      </c>
      <c r="D28" s="10">
        <f>还本付息表!F8</f>
        <v>430</v>
      </c>
      <c r="E28" s="10">
        <f>还本付息表!G8</f>
        <v>460</v>
      </c>
      <c r="F28" s="10">
        <f>还本付息表!H8</f>
        <v>470</v>
      </c>
      <c r="G28" s="10">
        <f>还本付息表!I8</f>
        <v>500</v>
      </c>
      <c r="H28" s="10">
        <f>还本付息表!J8</f>
        <v>530</v>
      </c>
      <c r="I28" s="10">
        <f>还本付息表!K8</f>
        <v>550</v>
      </c>
      <c r="J28" s="10">
        <f>还本付息表!L8</f>
        <v>570</v>
      </c>
      <c r="K28" s="10" t="e">
        <f>还本付息表!#REF!</f>
        <v>#REF!</v>
      </c>
      <c r="L28" s="10" t="e">
        <f>还本付息表!#REF!</f>
        <v>#REF!</v>
      </c>
      <c r="M28" s="10" t="e">
        <f>还本付息表!#REF!</f>
        <v>#REF!</v>
      </c>
      <c r="N28" s="10" t="e">
        <f>还本付息表!#REF!</f>
        <v>#REF!</v>
      </c>
      <c r="O28" s="8"/>
      <c r="P28" s="8"/>
      <c r="Q28" s="8"/>
      <c r="R28" s="8"/>
      <c r="S28" s="8"/>
    </row>
    <row r="29" spans="1:19">
      <c r="A29" s="2" t="s">
        <v>228</v>
      </c>
      <c r="B29" s="9" t="s">
        <v>229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"/>
      <c r="P29" s="8"/>
      <c r="Q29" s="8"/>
      <c r="R29" s="8"/>
      <c r="S29" s="8"/>
    </row>
    <row r="30" spans="1:19">
      <c r="A30" s="2" t="s">
        <v>230</v>
      </c>
      <c r="B30" s="9" t="s">
        <v>214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8"/>
      <c r="P30" s="8"/>
      <c r="Q30" s="8"/>
      <c r="R30" s="8"/>
      <c r="S30" s="8"/>
    </row>
    <row r="31" spans="1:19">
      <c r="A31" s="2" t="s">
        <v>62</v>
      </c>
      <c r="B31" s="9" t="s">
        <v>231</v>
      </c>
      <c r="C31" s="10">
        <f t="shared" ref="C31:N31" si="5">C21+C14+C4</f>
        <v>6280.3379762674</v>
      </c>
      <c r="D31" s="10">
        <f t="shared" si="5"/>
        <v>192.004775287682</v>
      </c>
      <c r="E31" s="10">
        <f t="shared" si="5"/>
        <v>73.709311181643</v>
      </c>
      <c r="F31" s="10">
        <f t="shared" si="5"/>
        <v>81.0077073349464</v>
      </c>
      <c r="G31" s="10">
        <f t="shared" si="5"/>
        <v>68.992413115296</v>
      </c>
      <c r="H31" s="10">
        <f t="shared" si="5"/>
        <v>55.1675861933063</v>
      </c>
      <c r="I31" s="10">
        <f t="shared" si="5"/>
        <v>50.0394203035828</v>
      </c>
      <c r="J31" s="10">
        <f t="shared" si="5"/>
        <v>39.1286452433078</v>
      </c>
      <c r="K31" s="10" t="e">
        <f t="shared" si="5"/>
        <v>#REF!</v>
      </c>
      <c r="L31" s="10" t="e">
        <f t="shared" si="5"/>
        <v>#REF!</v>
      </c>
      <c r="M31" s="10" t="e">
        <f t="shared" si="5"/>
        <v>#REF!</v>
      </c>
      <c r="N31" s="10" t="e">
        <f t="shared" si="5"/>
        <v>#REF!</v>
      </c>
      <c r="O31" s="11"/>
      <c r="P31" s="11"/>
      <c r="Q31" s="11"/>
      <c r="R31" s="11"/>
      <c r="S31" s="11"/>
    </row>
    <row r="32" spans="1:19">
      <c r="A32" s="2" t="s">
        <v>65</v>
      </c>
      <c r="B32" s="9" t="s">
        <v>232</v>
      </c>
      <c r="C32" s="10">
        <f>C31</f>
        <v>6280.3379762674</v>
      </c>
      <c r="D32" s="10">
        <f t="shared" ref="D32:N32" si="6">D31+C32</f>
        <v>6472.34275155508</v>
      </c>
      <c r="E32" s="10">
        <f t="shared" si="6"/>
        <v>6546.05206273673</v>
      </c>
      <c r="F32" s="10">
        <f t="shared" si="6"/>
        <v>6627.05977007167</v>
      </c>
      <c r="G32" s="10">
        <f t="shared" si="6"/>
        <v>6696.05218318697</v>
      </c>
      <c r="H32" s="10">
        <f t="shared" si="6"/>
        <v>6751.21976938027</v>
      </c>
      <c r="I32" s="10">
        <f t="shared" si="6"/>
        <v>6801.25918968386</v>
      </c>
      <c r="J32" s="10">
        <f t="shared" si="6"/>
        <v>6840.38783492716</v>
      </c>
      <c r="K32" s="10" t="e">
        <f t="shared" si="6"/>
        <v>#REF!</v>
      </c>
      <c r="L32" s="10" t="e">
        <f t="shared" si="6"/>
        <v>#REF!</v>
      </c>
      <c r="M32" s="10" t="e">
        <f t="shared" si="6"/>
        <v>#REF!</v>
      </c>
      <c r="N32" s="10" t="e">
        <f t="shared" si="6"/>
        <v>#REF!</v>
      </c>
      <c r="O32" s="11"/>
      <c r="P32" s="11"/>
      <c r="Q32" s="11"/>
      <c r="R32" s="11"/>
      <c r="S32" s="11"/>
    </row>
    <row r="33" spans="13:13">
      <c r="M33" s="12"/>
    </row>
  </sheetData>
  <sheetProtection formatCells="0" insertHyperlinks="0" autoFilter="0"/>
  <mergeCells count="4">
    <mergeCell ref="A1:M1"/>
    <mergeCell ref="C2:N2"/>
    <mergeCell ref="A2:A3"/>
    <mergeCell ref="B2:B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</woSheetsProps>
  <woBookProps>
    <bookSettings fileId="AK20260224RQYWLP:5209_task_zl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  <pixelatorList sheetStid="10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WWO_wpscloud_20260415153227-69c179f038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总投资</vt:lpstr>
      <vt:lpstr>固定资产折旧</vt:lpstr>
      <vt:lpstr>营业收入及税金表</vt:lpstr>
      <vt:lpstr>总成本费用表</vt:lpstr>
      <vt:lpstr>利润及利润分配表</vt:lpstr>
      <vt:lpstr>项目投资现金流量表</vt:lpstr>
      <vt:lpstr>还本付息表</vt:lpstr>
      <vt:lpstr>项目财务现金流量表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超</cp:lastModifiedBy>
  <dcterms:created xsi:type="dcterms:W3CDTF">2025-03-08T00:59:00Z</dcterms:created>
  <dcterms:modified xsi:type="dcterms:W3CDTF">2026-06-01T16:02:00Z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996B9AABE1A142D1A153095A7B15BE62_13</vt:lpwstr>
  </property>
  <property fmtid="{D5CDD505-2E9C-101B-9397-08002B2CF9AE}" pid="3" name="KSOProductBuildVer">
    <vt:lpwstr>2052-12.9.0.25994</vt:lpwstr>
  </property>
  <property fmtid="{D5CDD505-2E9C-101B-9397-08002B2CF9AE}" pid="4" name="CalculationRule">
    <vt:i4>0</vt:i4>
  </property>
</Properties>
</file>