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844" activeTab="2"/>
  </bookViews>
  <sheets>
    <sheet name="总投资" sheetId="1" r:id="rId1"/>
    <sheet name="固定资产折旧" sheetId="2" r:id="rId2"/>
    <sheet name="营业收入及税金表" sheetId="3" r:id="rId3"/>
    <sheet name="总成本费用表" sheetId="4" r:id="rId4"/>
    <sheet name="利润及利润分配表" sheetId="5" r:id="rId5"/>
    <sheet name="项目投资现金流量表" sheetId="6" r:id="rId6"/>
    <sheet name="还本付息表" sheetId="7" r:id="rId7"/>
    <sheet name="项目财务现金流量表" sheetId="8" r:id="rId8"/>
  </sheets>
  <calcPr calcId="144525"/>
</workbook>
</file>

<file path=xl/sharedStrings.xml><?xml version="1.0" encoding="utf-8"?>
<sst xmlns="http://schemas.openxmlformats.org/spreadsheetml/2006/main" count="411" uniqueCount="246">
  <si>
    <t>建设投资估算表</t>
  </si>
  <si>
    <t>单位：万元</t>
  </si>
  <si>
    <t>序号</t>
  </si>
  <si>
    <t>工程或费用名称</t>
  </si>
  <si>
    <t>建筑工程费</t>
  </si>
  <si>
    <t>安装工程费</t>
  </si>
  <si>
    <t>设备购置费</t>
  </si>
  <si>
    <t>其他费用</t>
  </si>
  <si>
    <t>合计</t>
  </si>
  <si>
    <t>单位</t>
  </si>
  <si>
    <t>数量</t>
  </si>
  <si>
    <t>综合单价（万元）</t>
  </si>
  <si>
    <t>一</t>
  </si>
  <si>
    <t>工程费用</t>
  </si>
  <si>
    <t>光伏组件</t>
  </si>
  <si>
    <t>　</t>
  </si>
  <si>
    <t>KW</t>
  </si>
  <si>
    <t>640Wp单晶N型</t>
  </si>
  <si>
    <t>块</t>
  </si>
  <si>
    <t>逆变器</t>
  </si>
  <si>
    <t>台</t>
  </si>
  <si>
    <t>交流汇流箱</t>
  </si>
  <si>
    <t>光伏支架及配件</t>
  </si>
  <si>
    <t>km</t>
  </si>
  <si>
    <t>光伏直流电缆</t>
  </si>
  <si>
    <t>MC4连接器</t>
  </si>
  <si>
    <t>套</t>
  </si>
  <si>
    <t>交流电缆</t>
  </si>
  <si>
    <t>干式变压器（箱变)</t>
  </si>
  <si>
    <t>光伏接入柜</t>
  </si>
  <si>
    <t>并网柜</t>
  </si>
  <si>
    <t>站用变电柜</t>
  </si>
  <si>
    <t>10kV动态无功补偿装置</t>
  </si>
  <si>
    <t>高压电缆</t>
  </si>
  <si>
    <t>土建基础</t>
  </si>
  <si>
    <t>项</t>
  </si>
  <si>
    <t>组件、电气安装、辅材等</t>
  </si>
  <si>
    <t>电池储能
集装箱</t>
  </si>
  <si>
    <t>KWH</t>
  </si>
  <si>
    <t>电池系统 5000KWH</t>
  </si>
  <si>
    <t>个</t>
  </si>
  <si>
    <t>储能变流器</t>
  </si>
  <si>
    <t>集装箱柜体</t>
  </si>
  <si>
    <t>温控系统</t>
  </si>
  <si>
    <t>消防系统</t>
  </si>
  <si>
    <t>储能EMS</t>
  </si>
  <si>
    <t>附件</t>
  </si>
  <si>
    <t>储能箱基础及连接电缆</t>
  </si>
  <si>
    <t>15KWH换电系统(3000KWH)</t>
  </si>
  <si>
    <t>园区配套工程</t>
  </si>
  <si>
    <t>㎡</t>
  </si>
  <si>
    <t>升压/降压变压器</t>
  </si>
  <si>
    <t>中压输电电缆</t>
  </si>
  <si>
    <t>m</t>
  </si>
  <si>
    <t>绿化等相关配套工程</t>
  </si>
  <si>
    <t>10kv储能变电站</t>
  </si>
  <si>
    <t>中心配电室变压器2000KVA</t>
  </si>
  <si>
    <t>光伏充电桩（600kw液冷）</t>
  </si>
  <si>
    <t>二</t>
  </si>
  <si>
    <t>工程建设其他费用</t>
  </si>
  <si>
    <t>建设管理费</t>
  </si>
  <si>
    <t>建设工程监理费</t>
  </si>
  <si>
    <t>建设项目前期工作咨询费</t>
  </si>
  <si>
    <t>工程勘察费</t>
  </si>
  <si>
    <t>屋顶荷载检测费</t>
  </si>
  <si>
    <t>工程设计费</t>
  </si>
  <si>
    <t>环境影响咨询服务费</t>
  </si>
  <si>
    <t>场地准备费及临时设施费</t>
  </si>
  <si>
    <t>工程保险费</t>
  </si>
  <si>
    <t>招标代理服务费</t>
  </si>
  <si>
    <t>造价咨询费</t>
  </si>
  <si>
    <t>三</t>
  </si>
  <si>
    <t>预备费</t>
  </si>
  <si>
    <t>基本预备费</t>
  </si>
  <si>
    <r>
      <rPr>
        <sz val="7"/>
        <color rgb="FF000000"/>
        <rFont val="宋体"/>
        <charset val="134"/>
      </rPr>
      <t>（一</t>
    </r>
    <r>
      <rPr>
        <sz val="7"/>
        <color rgb="FF000000"/>
        <rFont val="Times New Roman"/>
        <charset val="134"/>
      </rPr>
      <t>+</t>
    </r>
    <r>
      <rPr>
        <sz val="7"/>
        <color rgb="FF000000"/>
        <rFont val="宋体"/>
        <charset val="134"/>
      </rPr>
      <t>二）</t>
    </r>
    <r>
      <rPr>
        <sz val="7"/>
        <color rgb="FF000000"/>
        <rFont val="Times New Roman"/>
        <charset val="134"/>
      </rPr>
      <t>*5%</t>
    </r>
  </si>
  <si>
    <t>涨价预备费</t>
  </si>
  <si>
    <t>四</t>
  </si>
  <si>
    <t>建设投资合计</t>
  </si>
  <si>
    <t>比例（%）</t>
  </si>
  <si>
    <t>五</t>
  </si>
  <si>
    <t>建设期利息</t>
  </si>
  <si>
    <t>六</t>
  </si>
  <si>
    <t>固定资产投资</t>
  </si>
  <si>
    <t>八</t>
  </si>
  <si>
    <t>项目总投资</t>
  </si>
  <si>
    <t>固定资产折旧表</t>
  </si>
  <si>
    <t>项目</t>
  </si>
  <si>
    <t>残值率</t>
  </si>
  <si>
    <t>折旧年限</t>
  </si>
  <si>
    <t>运营期</t>
  </si>
  <si>
    <t>附属物及设备折旧</t>
  </si>
  <si>
    <t>原值</t>
  </si>
  <si>
    <t>当期折旧额</t>
  </si>
  <si>
    <t>净值</t>
  </si>
  <si>
    <t>折旧费</t>
  </si>
  <si>
    <t>无形资产摊销</t>
  </si>
  <si>
    <t>营业收入及税金表</t>
  </si>
  <si>
    <t>营业收入</t>
  </si>
  <si>
    <t>光伏收入</t>
  </si>
  <si>
    <t>装机容量</t>
  </si>
  <si>
    <t>衰减值</t>
  </si>
  <si>
    <t>1KW 光伏装机容量平均日发电量</t>
  </si>
  <si>
    <t>年发电天数</t>
  </si>
  <si>
    <t>工商业用电平均电价</t>
  </si>
  <si>
    <t>储能收入</t>
  </si>
  <si>
    <t>储能差价收入</t>
  </si>
  <si>
    <t>2.1.1</t>
  </si>
  <si>
    <t>产能利用率</t>
  </si>
  <si>
    <t>2.1.2</t>
  </si>
  <si>
    <t>放电使用率</t>
  </si>
  <si>
    <t>2.1.3</t>
  </si>
  <si>
    <t>峰谷价差加</t>
  </si>
  <si>
    <t>2.1.4</t>
  </si>
  <si>
    <t>360天一充一放扣能耗（万kwh/n)</t>
  </si>
  <si>
    <t>调峰收入</t>
  </si>
  <si>
    <t>2.2.1</t>
  </si>
  <si>
    <t>2.2.2</t>
  </si>
  <si>
    <t>2.2.3</t>
  </si>
  <si>
    <t>电价（元/度）</t>
  </si>
  <si>
    <t>2.2.4</t>
  </si>
  <si>
    <t>储能容量电价收入</t>
  </si>
  <si>
    <t>2.3.1</t>
  </si>
  <si>
    <t>2.3.2</t>
  </si>
  <si>
    <t>（山东）</t>
  </si>
  <si>
    <t>2.3.3</t>
  </si>
  <si>
    <t>600kw充电桩收入</t>
  </si>
  <si>
    <t>1.4.1</t>
  </si>
  <si>
    <t>充电桩数量</t>
  </si>
  <si>
    <t>1.4.2</t>
  </si>
  <si>
    <t>充电使用率</t>
  </si>
  <si>
    <t>1.4.3</t>
  </si>
  <si>
    <t>收费标准</t>
  </si>
  <si>
    <t>1.4.4</t>
  </si>
  <si>
    <t>充电桩每小时充电量</t>
  </si>
  <si>
    <t>1.4.5</t>
  </si>
  <si>
    <t>充电小时数</t>
  </si>
  <si>
    <t>1.4.6</t>
  </si>
  <si>
    <t>年运营时间</t>
  </si>
  <si>
    <t>营业税金与附加</t>
  </si>
  <si>
    <t>营业税</t>
  </si>
  <si>
    <t>消费税</t>
  </si>
  <si>
    <t>城市建设维护税</t>
  </si>
  <si>
    <t>教育费附加</t>
  </si>
  <si>
    <t>增值税</t>
  </si>
  <si>
    <t>销项税额</t>
  </si>
  <si>
    <t>进项税额</t>
  </si>
  <si>
    <t>总成本费用表</t>
  </si>
  <si>
    <t>外购燃料及动力费</t>
  </si>
  <si>
    <t>工资及福利费</t>
  </si>
  <si>
    <t>保洁维护费</t>
  </si>
  <si>
    <t>管理费及其他</t>
  </si>
  <si>
    <t>经营成本（1+2+3+4+5+6）</t>
  </si>
  <si>
    <t>摊销费</t>
  </si>
  <si>
    <t>利息支出</t>
  </si>
  <si>
    <t>总成本费用合计（6+7+8+9）</t>
  </si>
  <si>
    <t>其中：固定成本</t>
  </si>
  <si>
    <t>可变成本</t>
  </si>
  <si>
    <t>利润及利润分配表</t>
  </si>
  <si>
    <t>项	目</t>
  </si>
  <si>
    <t>营业税金及附加</t>
  </si>
  <si>
    <t>总成本费用</t>
  </si>
  <si>
    <t>补贴收入</t>
  </si>
  <si>
    <t>利润总额（1-2-3+4）</t>
  </si>
  <si>
    <t>弥补以前年度亏损</t>
  </si>
  <si>
    <t>应纳税所得额（5-6）</t>
  </si>
  <si>
    <t>所得税</t>
  </si>
  <si>
    <t>净利润（5-8）</t>
  </si>
  <si>
    <t>期初未分配利润</t>
  </si>
  <si>
    <t>可供分配的利润（9+10）</t>
  </si>
  <si>
    <t>提取法定盈余公积金</t>
  </si>
  <si>
    <t>可供投资者分配的利润（11-12）</t>
  </si>
  <si>
    <t>应付优先股股利</t>
  </si>
  <si>
    <t>提取任意盈余公积金</t>
  </si>
  <si>
    <t>应付普通股股利（13-14-15）</t>
  </si>
  <si>
    <t>各投资方利润分配</t>
  </si>
  <si>
    <t>其中：</t>
  </si>
  <si>
    <t>未分配利润（13-14-15-17）</t>
  </si>
  <si>
    <t>息税前利润（利润总额+利息支出）</t>
  </si>
  <si>
    <t>息税折旧摊销前利润（息税前利润+折旧+摊销）</t>
  </si>
  <si>
    <t>项目投资现金流量表</t>
  </si>
  <si>
    <r>
      <rPr>
        <b/>
        <sz val="8"/>
        <color rgb="FF000000"/>
        <rFont val="宋体"/>
        <charset val="134"/>
      </rPr>
      <t>项</t>
    </r>
    <r>
      <rPr>
        <b/>
        <sz val="8"/>
        <color rgb="FF000000"/>
        <rFont val="宋体"/>
        <charset val="134"/>
      </rPr>
      <t>目</t>
    </r>
  </si>
  <si>
    <t>计算期</t>
  </si>
  <si>
    <t>现金流入</t>
  </si>
  <si>
    <t>留抵退税</t>
  </si>
  <si>
    <t>回收固定资产余值</t>
  </si>
  <si>
    <t>回收流动资金</t>
  </si>
  <si>
    <t>现金流出</t>
  </si>
  <si>
    <t>建设投资</t>
  </si>
  <si>
    <t>流动资金</t>
  </si>
  <si>
    <t>经营成本</t>
  </si>
  <si>
    <t>维持运营投资</t>
  </si>
  <si>
    <t>所得税前净现金流量（1-2）</t>
  </si>
  <si>
    <t>累计所得税前净现金流量</t>
  </si>
  <si>
    <t>所得税前净现金流量现值</t>
  </si>
  <si>
    <t>累计所得税前净现金流量现值</t>
  </si>
  <si>
    <t>调整所得税</t>
  </si>
  <si>
    <t>所得税后净现金流量（3-5）</t>
  </si>
  <si>
    <t>累计所得税后净现金流量</t>
  </si>
  <si>
    <t>所得税后净现金流量现值</t>
  </si>
  <si>
    <t>累计所得税后净现金流量现值</t>
  </si>
  <si>
    <t>计算指标：</t>
  </si>
  <si>
    <r>
      <rPr>
        <sz val="8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）（所得税前）</t>
    </r>
  </si>
  <si>
    <r>
      <rPr>
        <sz val="8"/>
        <color rgb="FF000000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）（所得税后）</t>
    </r>
  </si>
  <si>
    <r>
      <rPr>
        <sz val="8"/>
        <rFont val="宋体"/>
        <charset val="134"/>
      </rPr>
      <t>项目投资财务净现值（所得税前）（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Arial"/>
        <charset val="134"/>
      </rPr>
      <t>4.2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</t>
    </r>
  </si>
  <si>
    <r>
      <rPr>
        <sz val="8"/>
        <color rgb="FF000000"/>
        <rFont val="宋体"/>
        <charset val="134"/>
      </rPr>
      <t>项目投资财务净现值（所得税后）（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Times New Roman"/>
        <charset val="134"/>
      </rPr>
      <t>4.2%</t>
    </r>
    <r>
      <rPr>
        <sz val="8"/>
        <color rgb="FF000000"/>
        <rFont val="宋体"/>
        <charset val="134"/>
      </rPr>
      <t>）</t>
    </r>
  </si>
  <si>
    <t>项目投资回收期（年）（所得税前）</t>
  </si>
  <si>
    <t>项目投资回收期（年）（所得税后）</t>
  </si>
  <si>
    <t>还本付息表</t>
  </si>
  <si>
    <t>0.5建设期</t>
  </si>
  <si>
    <t>建设投资借款</t>
  </si>
  <si>
    <t>期初借款余额</t>
  </si>
  <si>
    <t>当期还本付息</t>
  </si>
  <si>
    <t>其中：还本</t>
  </si>
  <si>
    <t>付息</t>
  </si>
  <si>
    <t>期末借款余额</t>
  </si>
  <si>
    <t>可用于还本付息的资金</t>
  </si>
  <si>
    <t>指标</t>
  </si>
  <si>
    <t>利息备付率</t>
  </si>
  <si>
    <t>偿债备付率</t>
  </si>
  <si>
    <t xml:space="preserve"> 项目财务现金流量表   </t>
  </si>
  <si>
    <t xml:space="preserve">建设期/运营期
</t>
  </si>
  <si>
    <t>经营活动净现金流量</t>
  </si>
  <si>
    <t>1.1.1</t>
  </si>
  <si>
    <t>1.1.2</t>
  </si>
  <si>
    <t>1.1.3</t>
  </si>
  <si>
    <t>其他流入</t>
  </si>
  <si>
    <t>1.2.1</t>
  </si>
  <si>
    <t>1.2.2</t>
  </si>
  <si>
    <t>税金及附加</t>
  </si>
  <si>
    <t>1.2.3</t>
  </si>
  <si>
    <t>1.2.4</t>
  </si>
  <si>
    <t>其他流出</t>
  </si>
  <si>
    <t>投资活动净现金流量</t>
  </si>
  <si>
    <t>筹资活动净现金流量</t>
  </si>
  <si>
    <t>3.1.1</t>
  </si>
  <si>
    <t>项目资本金投入</t>
  </si>
  <si>
    <t>3.1.2</t>
  </si>
  <si>
    <t>3.1.3</t>
  </si>
  <si>
    <t>3.2.1</t>
  </si>
  <si>
    <t>3.2.2</t>
  </si>
  <si>
    <t>偿还债务本金</t>
  </si>
  <si>
    <t>3.2.3</t>
  </si>
  <si>
    <t>应付利润(股利分配)</t>
  </si>
  <si>
    <t>3.2.4</t>
  </si>
  <si>
    <t>净现金流量</t>
  </si>
  <si>
    <t>累计盈余资金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</si>
</sst>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  <numFmt numFmtId="179" formatCode="0.0_ "/>
    <numFmt numFmtId="180" formatCode="0.000_ "/>
  </numFmts>
  <fonts count="59">
    <font>
      <sz val="11"/>
      <name val="宋体"/>
      <charset val="134"/>
    </font>
    <font>
      <b/>
      <sz val="14"/>
      <name val="宋体"/>
      <charset val="134"/>
    </font>
    <font>
      <sz val="8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b/>
      <sz val="7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  <font>
      <b/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8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name val="Times New Roman"/>
      <charset val="134"/>
    </font>
    <font>
      <sz val="8"/>
      <color rgb="FFFF0000"/>
      <name val="宋体"/>
      <charset val="134"/>
    </font>
    <font>
      <sz val="9"/>
      <color rgb="FF000000"/>
      <name val="宋体"/>
      <charset val="134"/>
    </font>
    <font>
      <sz val="8"/>
      <name val="宋体"/>
      <charset val="134"/>
      <scheme val="minor"/>
    </font>
    <font>
      <b/>
      <sz val="11"/>
      <name val="宋体"/>
      <charset val="134"/>
    </font>
    <font>
      <b/>
      <sz val="8"/>
      <color rgb="FF000000"/>
      <name val="Arial"/>
      <charset val="134"/>
    </font>
    <font>
      <sz val="8"/>
      <name val="Arial"/>
      <charset val="134"/>
    </font>
    <font>
      <sz val="8"/>
      <color rgb="FF000000"/>
      <name val="宋体"/>
      <charset val="134"/>
      <scheme val="minor"/>
    </font>
    <font>
      <b/>
      <sz val="8"/>
      <name val="宋体"/>
      <charset val="134"/>
      <scheme val="minor"/>
    </font>
    <font>
      <b/>
      <sz val="8"/>
      <name val="Arial"/>
      <charset val="134"/>
    </font>
    <font>
      <sz val="8"/>
      <color rgb="FF000000"/>
      <name val="Arial"/>
      <charset val="134"/>
    </font>
    <font>
      <b/>
      <sz val="16"/>
      <name val="黑体"/>
      <charset val="134"/>
    </font>
    <font>
      <b/>
      <sz val="16"/>
      <color rgb="FFFF0000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8"/>
      <name val="Times New Roman"/>
      <charset val="134"/>
    </font>
    <font>
      <b/>
      <sz val="7"/>
      <name val="Times New Roman"/>
      <charset val="134"/>
    </font>
    <font>
      <sz val="7"/>
      <name val="宋体"/>
      <charset val="134"/>
    </font>
    <font>
      <sz val="7"/>
      <name val="Times New Roman"/>
      <charset val="134"/>
    </font>
    <font>
      <sz val="8"/>
      <color rgb="FFFF0000"/>
      <name val="Times New Roman"/>
      <charset val="134"/>
    </font>
    <font>
      <b/>
      <sz val="11"/>
      <color rgb="FFFF0000"/>
      <name val="宋体"/>
      <charset val="134"/>
    </font>
    <font>
      <b/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2" fontId="38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0" fillId="0" borderId="14" applyNumberFormat="0" applyFont="0" applyFill="0" applyBorder="0" applyAlignment="0">
      <alignment vertical="center"/>
    </xf>
    <xf numFmtId="44" fontId="38" fillId="0" borderId="0" applyNumberFormat="0" applyFont="0" applyFill="0" applyBorder="0" applyAlignment="0">
      <alignment vertical="center"/>
    </xf>
    <xf numFmtId="41" fontId="38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1" fillId="0" borderId="0" applyNumberFormat="0" applyFont="0" applyFill="0" applyBorder="0" applyAlignment="0">
      <alignment vertical="center"/>
    </xf>
    <xf numFmtId="43" fontId="38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43" fillId="0" borderId="0" applyNumberFormat="0" applyFont="0" applyFill="0" applyBorder="0" applyAlignment="0">
      <alignment vertical="center"/>
    </xf>
    <xf numFmtId="9" fontId="38" fillId="0" borderId="0" applyNumberFormat="0" applyFont="0" applyFill="0" applyBorder="0" applyAlignment="0">
      <alignment vertical="center"/>
    </xf>
    <xf numFmtId="0" fontId="44" fillId="0" borderId="0" applyNumberFormat="0" applyFont="0" applyFill="0" applyBorder="0" applyAlignment="0">
      <alignment vertical="center"/>
    </xf>
    <xf numFmtId="0" fontId="38" fillId="0" borderId="15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45" fillId="0" borderId="0" applyNumberFormat="0" applyFont="0" applyFill="0" applyBorder="0" applyAlignment="0">
      <alignment vertical="center"/>
    </xf>
    <xf numFmtId="0" fontId="46" fillId="0" borderId="0" applyNumberFormat="0" applyFont="0" applyFill="0" applyBorder="0" applyAlignment="0">
      <alignment vertical="center"/>
    </xf>
    <xf numFmtId="0" fontId="47" fillId="0" borderId="0" applyNumberFormat="0" applyFont="0" applyFill="0" applyBorder="0" applyAlignment="0">
      <alignment vertical="center"/>
    </xf>
    <xf numFmtId="0" fontId="48" fillId="0" borderId="0" applyNumberFormat="0" applyFont="0" applyFill="0" applyBorder="0" applyAlignment="0">
      <alignment vertical="center"/>
    </xf>
    <xf numFmtId="0" fontId="49" fillId="0" borderId="16" applyNumberFormat="0" applyFont="0" applyFill="0" applyBorder="0" applyAlignment="0">
      <alignment vertical="center"/>
    </xf>
    <xf numFmtId="0" fontId="50" fillId="0" borderId="16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45" fillId="0" borderId="17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51" fillId="0" borderId="18" applyNumberFormat="0" applyFont="0" applyFill="0" applyBorder="0" applyAlignment="0">
      <alignment vertical="center"/>
    </xf>
    <xf numFmtId="0" fontId="52" fillId="0" borderId="14" applyNumberFormat="0" applyFont="0" applyFill="0" applyBorder="0" applyAlignment="0">
      <alignment vertical="center"/>
    </xf>
    <xf numFmtId="0" fontId="53" fillId="0" borderId="19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54" fillId="0" borderId="20" applyNumberFormat="0" applyFont="0" applyFill="0" applyBorder="0" applyAlignment="0">
      <alignment vertical="center"/>
    </xf>
    <xf numFmtId="0" fontId="55" fillId="0" borderId="21" applyNumberFormat="0" applyFont="0" applyFill="0" applyBorder="0" applyAlignment="0">
      <alignment vertical="center"/>
    </xf>
    <xf numFmtId="0" fontId="56" fillId="0" borderId="0" applyNumberFormat="0" applyFont="0" applyFill="0" applyBorder="0" applyAlignment="0">
      <alignment vertical="center"/>
    </xf>
    <xf numFmtId="0" fontId="57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left" vertical="top" wrapText="1"/>
    </xf>
    <xf numFmtId="176" fontId="11" fillId="0" borderId="1" xfId="0" applyNumberFormat="1" applyFont="1" applyBorder="1" applyAlignment="1">
      <alignment horizontal="left" vertical="top" wrapText="1"/>
    </xf>
    <xf numFmtId="176" fontId="11" fillId="0" borderId="2" xfId="0" applyNumberFormat="1" applyFont="1" applyBorder="1" applyAlignment="1">
      <alignment horizontal="left" vertical="top" wrapText="1"/>
    </xf>
    <xf numFmtId="176" fontId="12" fillId="0" borderId="3" xfId="0" applyNumberFormat="1" applyFont="1" applyBorder="1" applyAlignment="1">
      <alignment horizontal="center" vertical="top" wrapText="1"/>
    </xf>
    <xf numFmtId="177" fontId="12" fillId="0" borderId="4" xfId="0" applyNumberFormat="1" applyFont="1" applyBorder="1" applyAlignment="1">
      <alignment horizontal="center" vertical="top" wrapText="1"/>
    </xf>
    <xf numFmtId="179" fontId="12" fillId="0" borderId="4" xfId="0" applyNumberFormat="1" applyFont="1" applyBorder="1" applyAlignment="1">
      <alignment horizontal="center" vertical="top" wrapText="1"/>
    </xf>
    <xf numFmtId="177" fontId="2" fillId="0" borderId="1" xfId="0" applyNumberFormat="1" applyFont="1" applyBorder="1" applyAlignment="1">
      <alignment horizontal="left" vertical="top" wrapText="1"/>
    </xf>
    <xf numFmtId="176" fontId="2" fillId="0" borderId="1" xfId="0" applyNumberFormat="1" applyFont="1" applyBorder="1" applyAlignment="1">
      <alignment horizontal="center" vertical="top" wrapText="1"/>
    </xf>
    <xf numFmtId="176" fontId="2" fillId="0" borderId="1" xfId="0" applyNumberFormat="1" applyFont="1" applyBorder="1" applyAlignment="1">
      <alignment horizontal="left" vertical="top" wrapText="1"/>
    </xf>
    <xf numFmtId="176" fontId="13" fillId="0" borderId="1" xfId="0" applyNumberFormat="1" applyFont="1" applyBorder="1" applyAlignment="1">
      <alignment horizontal="center" vertical="top" wrapText="1"/>
    </xf>
    <xf numFmtId="179" fontId="2" fillId="0" borderId="1" xfId="0" applyNumberFormat="1" applyFont="1" applyBorder="1" applyAlignment="1">
      <alignment horizontal="left" vertical="top" wrapText="1"/>
    </xf>
    <xf numFmtId="176" fontId="2" fillId="0" borderId="1" xfId="0" applyNumberFormat="1" applyFont="1" applyBorder="1" applyAlignment="1">
      <alignment horizontal="justify" vertical="top" wrapText="1"/>
    </xf>
    <xf numFmtId="176" fontId="2" fillId="0" borderId="1" xfId="0" applyNumberFormat="1" applyFont="1" applyBorder="1" applyAlignment="1">
      <alignment horizontal="left" vertical="center" wrapText="1"/>
    </xf>
    <xf numFmtId="176" fontId="6" fillId="0" borderId="0" xfId="0" applyNumberFormat="1" applyFo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76" fontId="13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1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176" fontId="15" fillId="0" borderId="1" xfId="0" applyNumberFormat="1" applyFont="1" applyBorder="1" applyAlignment="1">
      <alignment horizontal="center" vertical="top" wrapText="1"/>
    </xf>
    <xf numFmtId="176" fontId="15" fillId="0" borderId="4" xfId="0" applyNumberFormat="1" applyFont="1" applyBorder="1" applyAlignment="1">
      <alignment horizontal="center" vertical="top" wrapText="1"/>
    </xf>
    <xf numFmtId="176" fontId="16" fillId="0" borderId="1" xfId="0" applyNumberFormat="1" applyFont="1" applyBorder="1" applyAlignment="1">
      <alignment horizontal="center" vertical="top" wrapText="1"/>
    </xf>
    <xf numFmtId="176" fontId="19" fillId="0" borderId="1" xfId="0" applyNumberFormat="1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center" vertical="top" wrapText="1"/>
    </xf>
    <xf numFmtId="0" fontId="20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177" fontId="0" fillId="0" borderId="0" xfId="0" applyNumberForma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176" fontId="14" fillId="0" borderId="1" xfId="0" applyNumberFormat="1" applyFont="1" applyBorder="1" applyAlignment="1">
      <alignment horizontal="center" vertical="top" wrapText="1"/>
    </xf>
    <xf numFmtId="176" fontId="10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176" fontId="23" fillId="0" borderId="1" xfId="0" applyNumberFormat="1" applyFont="1" applyBorder="1" applyAlignment="1">
      <alignment horizontal="center" vertical="top" wrapText="1"/>
    </xf>
    <xf numFmtId="10" fontId="19" fillId="0" borderId="1" xfId="0" applyNumberFormat="1" applyFont="1" applyBorder="1" applyAlignment="1">
      <alignment horizontal="center" vertical="top" wrapText="1"/>
    </xf>
    <xf numFmtId="10" fontId="15" fillId="0" borderId="1" xfId="0" applyNumberFormat="1" applyFont="1" applyBorder="1" applyAlignment="1">
      <alignment horizontal="center" vertical="top" wrapText="1"/>
    </xf>
    <xf numFmtId="10" fontId="2" fillId="0" borderId="1" xfId="0" applyNumberFormat="1" applyFont="1" applyBorder="1" applyAlignment="1">
      <alignment horizontal="center" vertical="top" wrapText="1"/>
    </xf>
    <xf numFmtId="10" fontId="23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176" fontId="24" fillId="0" borderId="1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top" wrapText="1"/>
    </xf>
    <xf numFmtId="177" fontId="2" fillId="0" borderId="1" xfId="0" applyNumberFormat="1" applyFont="1" applyBorder="1" applyAlignment="1">
      <alignment horizontal="center" vertical="top" wrapText="1"/>
    </xf>
    <xf numFmtId="177" fontId="15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9" fontId="26" fillId="0" borderId="1" xfId="0" applyNumberFormat="1" applyFont="1" applyBorder="1" applyAlignment="1">
      <alignment horizontal="center" vertical="top" wrapText="1"/>
    </xf>
    <xf numFmtId="9" fontId="15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top" wrapText="1"/>
    </xf>
    <xf numFmtId="176" fontId="13" fillId="0" borderId="1" xfId="0" applyNumberFormat="1" applyFont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9" fontId="15" fillId="0" borderId="3" xfId="0" applyNumberFormat="1" applyFont="1" applyBorder="1" applyAlignment="1">
      <alignment horizontal="center" vertical="top" wrapText="1"/>
    </xf>
    <xf numFmtId="177" fontId="13" fillId="0" borderId="3" xfId="0" applyNumberFormat="1" applyFont="1" applyBorder="1" applyAlignment="1">
      <alignment horizontal="center" vertical="top" wrapText="1"/>
    </xf>
    <xf numFmtId="176" fontId="15" fillId="0" borderId="1" xfId="0" applyNumberFormat="1" applyFont="1" applyBorder="1" applyAlignment="1">
      <alignment horizontal="left" vertical="top" wrapText="1"/>
    </xf>
    <xf numFmtId="177" fontId="15" fillId="0" borderId="4" xfId="0" applyNumberFormat="1" applyFont="1" applyBorder="1" applyAlignment="1">
      <alignment horizontal="center" vertical="top" wrapText="1"/>
    </xf>
    <xf numFmtId="176" fontId="13" fillId="0" borderId="4" xfId="0" applyNumberFormat="1" applyFont="1" applyBorder="1" applyAlignment="1">
      <alignment horizontal="left" vertical="top" wrapText="1"/>
    </xf>
    <xf numFmtId="176" fontId="16" fillId="0" borderId="4" xfId="0" applyNumberFormat="1" applyFont="1" applyBorder="1" applyAlignment="1">
      <alignment horizontal="left" vertical="top" wrapText="1"/>
    </xf>
    <xf numFmtId="176" fontId="16" fillId="0" borderId="1" xfId="0" applyNumberFormat="1" applyFont="1" applyBorder="1" applyAlignment="1">
      <alignment horizontal="left" vertical="top" wrapText="1"/>
    </xf>
    <xf numFmtId="0" fontId="0" fillId="0" borderId="11" xfId="0" applyBorder="1">
      <alignment vertical="center"/>
    </xf>
    <xf numFmtId="0" fontId="20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27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9" fillId="0" borderId="0" xfId="0" applyFont="1" applyAlignment="1">
      <alignment horizontal="right" vertical="top" wrapText="1"/>
    </xf>
    <xf numFmtId="0" fontId="30" fillId="0" borderId="0" xfId="0" applyFont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76" fontId="31" fillId="0" borderId="1" xfId="0" applyNumberFormat="1" applyFont="1" applyBorder="1" applyAlignment="1">
      <alignment horizontal="center" vertical="top" wrapText="1"/>
    </xf>
    <xf numFmtId="10" fontId="32" fillId="0" borderId="2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19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top" wrapText="1"/>
    </xf>
    <xf numFmtId="176" fontId="33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top" wrapText="1"/>
    </xf>
    <xf numFmtId="9" fontId="16" fillId="0" borderId="1" xfId="0" applyNumberFormat="1" applyFont="1" applyBorder="1" applyAlignment="1">
      <alignment horizontal="center" vertical="top" wrapText="1"/>
    </xf>
    <xf numFmtId="176" fontId="34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176" fontId="35" fillId="0" borderId="0" xfId="0" applyNumberFormat="1" applyFont="1" applyAlignment="1">
      <alignment horizontal="center" vertical="top" wrapText="1"/>
    </xf>
    <xf numFmtId="176" fontId="27" fillId="0" borderId="0" xfId="0" applyNumberFormat="1" applyFont="1" applyAlignment="1">
      <alignment horizontal="center" vertical="top" wrapText="1"/>
    </xf>
    <xf numFmtId="176" fontId="29" fillId="0" borderId="0" xfId="0" applyNumberFormat="1" applyFont="1" applyAlignment="1">
      <alignment horizontal="right" vertical="top" wrapText="1"/>
    </xf>
    <xf numFmtId="176" fontId="12" fillId="0" borderId="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10" fontId="32" fillId="0" borderId="12" xfId="0" applyNumberFormat="1" applyFont="1" applyBorder="1" applyAlignment="1">
      <alignment horizontal="center" vertical="top" wrapText="1"/>
    </xf>
    <xf numFmtId="176" fontId="32" fillId="0" borderId="13" xfId="0" applyNumberFormat="1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/>
    </xf>
    <xf numFmtId="0" fontId="36" fillId="0" borderId="0" xfId="0" applyFo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0" fillId="3" borderId="3" xfId="0" applyFont="1" applyFill="1" applyBorder="1" applyAlignment="1">
      <alignment horizontal="center" vertical="center"/>
    </xf>
    <xf numFmtId="178" fontId="36" fillId="0" borderId="0" xfId="0" applyNumberFormat="1" applyFo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80" fontId="12" fillId="0" borderId="0" xfId="0" applyNumberFormat="1" applyFont="1">
      <alignment vertical="center"/>
    </xf>
    <xf numFmtId="180" fontId="37" fillId="0" borderId="0" xfId="0" applyNumberFormat="1" applyFont="1">
      <alignment vertical="center"/>
    </xf>
    <xf numFmtId="176" fontId="34" fillId="0" borderId="12" xfId="0" applyNumberFormat="1" applyFont="1" applyBorder="1" applyAlignment="1">
      <alignment horizontal="center" vertical="top" wrapText="1"/>
    </xf>
    <xf numFmtId="176" fontId="34" fillId="0" borderId="13" xfId="0" applyNumberFormat="1" applyFont="1" applyBorder="1" applyAlignment="1">
      <alignment horizontal="center" vertical="top" wrapText="1"/>
    </xf>
    <xf numFmtId="180" fontId="13" fillId="0" borderId="0" xfId="0" applyNumberFormat="1" applyFont="1">
      <alignment vertical="center"/>
    </xf>
    <xf numFmtId="180" fontId="17" fillId="0" borderId="0" xfId="0" applyNumberFormat="1" applyFont="1">
      <alignment vertical="center"/>
    </xf>
    <xf numFmtId="176" fontId="33" fillId="0" borderId="12" xfId="0" applyNumberFormat="1" applyFont="1" applyBorder="1" applyAlignment="1">
      <alignment horizontal="center" vertical="center" wrapText="1"/>
    </xf>
    <xf numFmtId="176" fontId="33" fillId="0" borderId="13" xfId="0" applyNumberFormat="1" applyFont="1" applyBorder="1" applyAlignment="1">
      <alignment horizontal="left" vertical="center" wrapText="1"/>
    </xf>
    <xf numFmtId="176" fontId="33" fillId="0" borderId="13" xfId="0" applyNumberFormat="1" applyFont="1" applyBorder="1" applyAlignment="1">
      <alignment horizontal="center" vertical="center" wrapText="1"/>
    </xf>
    <xf numFmtId="176" fontId="33" fillId="0" borderId="12" xfId="0" applyNumberFormat="1" applyFont="1" applyBorder="1" applyAlignment="1">
      <alignment horizontal="center" vertical="top" wrapText="1"/>
    </xf>
    <xf numFmtId="176" fontId="33" fillId="0" borderId="13" xfId="0" applyNumberFormat="1" applyFont="1" applyBorder="1" applyAlignment="1">
      <alignment horizontal="left" vertical="top" wrapText="1"/>
    </xf>
    <xf numFmtId="176" fontId="33" fillId="0" borderId="13" xfId="0" applyNumberFormat="1" applyFont="1" applyBorder="1" applyAlignment="1">
      <alignment horizontal="center" vertical="top" wrapText="1"/>
    </xf>
    <xf numFmtId="176" fontId="0" fillId="0" borderId="0" xfId="0" applyNumberFormat="1">
      <alignment vertical="center"/>
    </xf>
    <xf numFmtId="178" fontId="0" fillId="0" borderId="0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zoomScale="120" zoomScaleNormal="120" workbookViewId="0">
      <pane xSplit="1" ySplit="3" topLeftCell="B43" activePane="bottomRight" state="frozen"/>
      <selection/>
      <selection pane="topRight"/>
      <selection pane="bottomLeft"/>
      <selection pane="bottomRight" activeCell="G53" sqref="G53"/>
    </sheetView>
  </sheetViews>
  <sheetFormatPr defaultColWidth="8.62962962962963" defaultRowHeight="14.4"/>
  <cols>
    <col min="1" max="1" width="4.37037037037037" style="54" customWidth="1"/>
    <col min="2" max="2" width="18.75" style="54" customWidth="1"/>
    <col min="3" max="3" width="10.5" style="54" customWidth="1"/>
    <col min="4" max="6" width="9.25" style="54" customWidth="1"/>
    <col min="7" max="7" width="10.5" style="54" customWidth="1"/>
    <col min="8" max="8" width="5.5" style="120" customWidth="1"/>
    <col min="9" max="9" width="9.87037037037037" style="54" customWidth="1"/>
    <col min="10" max="10" width="10.3703703703704" style="121" customWidth="1"/>
    <col min="11" max="11" width="13.6296296296296" style="72" customWidth="1"/>
    <col min="12" max="12" width="10.1851851851852" style="103" customWidth="1"/>
    <col min="13" max="13" width="8.62962962962963" style="103"/>
    <col min="14" max="26" width="8.62962962962963" style="72"/>
  </cols>
  <sheetData>
    <row r="1" ht="23.25" customHeight="1" spans="1:10">
      <c r="A1" s="122" t="s">
        <v>0</v>
      </c>
      <c r="B1" s="122"/>
      <c r="C1" s="122"/>
      <c r="D1" s="122"/>
      <c r="E1" s="122"/>
      <c r="F1" s="122"/>
      <c r="G1" s="122"/>
      <c r="H1" s="123"/>
      <c r="I1" s="122"/>
      <c r="J1" s="145"/>
    </row>
    <row r="2" ht="20.1" customHeight="1" spans="1:10">
      <c r="A2" s="124" t="s">
        <v>1</v>
      </c>
      <c r="B2" s="124"/>
      <c r="C2" s="124"/>
      <c r="D2" s="124"/>
      <c r="E2" s="124"/>
      <c r="F2" s="124"/>
      <c r="G2" s="124"/>
      <c r="H2" s="125"/>
      <c r="I2" s="124"/>
      <c r="J2" s="146"/>
    </row>
    <row r="3" s="119" customFormat="1" ht="27.4" customHeight="1" spans="1:13">
      <c r="A3" s="126" t="s">
        <v>2</v>
      </c>
      <c r="B3" s="126" t="s">
        <v>3</v>
      </c>
      <c r="C3" s="126" t="s">
        <v>4</v>
      </c>
      <c r="D3" s="126" t="s">
        <v>5</v>
      </c>
      <c r="E3" s="126" t="s">
        <v>6</v>
      </c>
      <c r="F3" s="126" t="s">
        <v>7</v>
      </c>
      <c r="G3" s="126" t="s">
        <v>8</v>
      </c>
      <c r="H3" s="126" t="s">
        <v>9</v>
      </c>
      <c r="I3" s="126" t="s">
        <v>10</v>
      </c>
      <c r="J3" s="147" t="s">
        <v>11</v>
      </c>
      <c r="L3" s="148"/>
      <c r="M3" s="148"/>
    </row>
    <row r="4" ht="12" customHeight="1" spans="1:10">
      <c r="A4" s="46" t="s">
        <v>12</v>
      </c>
      <c r="B4" s="127" t="s">
        <v>13</v>
      </c>
      <c r="C4" s="128">
        <f>C5+C21+C31</f>
        <v>128.272</v>
      </c>
      <c r="D4" s="128">
        <f>D5+D21+D31</f>
        <v>333.442</v>
      </c>
      <c r="E4" s="128">
        <f>E5+E21+E31</f>
        <v>4308.60199</v>
      </c>
      <c r="F4" s="128"/>
      <c r="G4" s="128">
        <f>C4+D4+E4+F4</f>
        <v>4770.31599</v>
      </c>
      <c r="H4" s="129">
        <f>G4/G57</f>
        <v>0.899351135435518</v>
      </c>
      <c r="I4" s="149"/>
      <c r="J4" s="150"/>
    </row>
    <row r="5" s="71" customFormat="1" spans="1:13">
      <c r="A5" s="130">
        <v>1</v>
      </c>
      <c r="B5" s="130" t="s">
        <v>14</v>
      </c>
      <c r="C5" s="130">
        <f>SUM(C6:C20)</f>
        <v>96.75</v>
      </c>
      <c r="D5" s="91">
        <f>SUM(D6:D20)</f>
        <v>160.65</v>
      </c>
      <c r="E5" s="91">
        <f>SUM(E6:E20)</f>
        <v>1451.24671</v>
      </c>
      <c r="F5" s="130" t="s">
        <v>15</v>
      </c>
      <c r="G5" s="91">
        <f t="shared" ref="G5:G37" si="0">SUM(C5:F5)</f>
        <v>1708.64671</v>
      </c>
      <c r="H5" s="131" t="s">
        <v>16</v>
      </c>
      <c r="I5" s="151">
        <v>5956</v>
      </c>
      <c r="J5" s="152">
        <f>G5/I5</f>
        <v>0.286878225319006</v>
      </c>
      <c r="L5" s="153"/>
      <c r="M5" s="153"/>
    </row>
    <row r="6" s="71" customFormat="1" spans="1:13">
      <c r="A6" s="132">
        <f t="shared" ref="A6:A20" si="1">A5+0.1</f>
        <v>1.1</v>
      </c>
      <c r="B6" s="132" t="s">
        <v>17</v>
      </c>
      <c r="C6" s="132" t="s">
        <v>15</v>
      </c>
      <c r="D6" s="132" t="s">
        <v>15</v>
      </c>
      <c r="E6" s="132">
        <f>I6*J6</f>
        <v>882.272</v>
      </c>
      <c r="F6" s="132" t="s">
        <v>15</v>
      </c>
      <c r="G6" s="132">
        <f t="shared" si="0"/>
        <v>882.272</v>
      </c>
      <c r="H6" s="100" t="s">
        <v>18</v>
      </c>
      <c r="I6" s="154">
        <v>11168</v>
      </c>
      <c r="J6" s="155">
        <v>0.079</v>
      </c>
      <c r="L6" s="156"/>
      <c r="M6" s="153"/>
    </row>
    <row r="7" s="71" customFormat="1" spans="1:13">
      <c r="A7" s="132">
        <f t="shared" si="1"/>
        <v>1.2</v>
      </c>
      <c r="B7" s="133" t="s">
        <v>19</v>
      </c>
      <c r="C7" s="132" t="s">
        <v>15</v>
      </c>
      <c r="D7" s="132" t="s">
        <v>15</v>
      </c>
      <c r="E7" s="132">
        <v>81</v>
      </c>
      <c r="F7" s="132" t="s">
        <v>15</v>
      </c>
      <c r="G7" s="132">
        <f t="shared" si="0"/>
        <v>81</v>
      </c>
      <c r="H7" s="100" t="s">
        <v>20</v>
      </c>
      <c r="I7" s="154">
        <v>57</v>
      </c>
      <c r="J7" s="155">
        <v>1.42</v>
      </c>
      <c r="L7" s="156"/>
      <c r="M7" s="153"/>
    </row>
    <row r="8" s="71" customFormat="1" spans="1:13">
      <c r="A8" s="132">
        <f t="shared" si="1"/>
        <v>1.3</v>
      </c>
      <c r="B8" s="132" t="s">
        <v>21</v>
      </c>
      <c r="C8" s="132" t="s">
        <v>15</v>
      </c>
      <c r="D8" s="132" t="s">
        <v>15</v>
      </c>
      <c r="E8" s="64">
        <v>9.32</v>
      </c>
      <c r="F8" s="132" t="s">
        <v>15</v>
      </c>
      <c r="G8" s="132">
        <f t="shared" si="0"/>
        <v>9.32</v>
      </c>
      <c r="H8" s="100" t="s">
        <v>20</v>
      </c>
      <c r="I8" s="154">
        <v>9</v>
      </c>
      <c r="J8" s="155">
        <v>1.036</v>
      </c>
      <c r="L8" s="156"/>
      <c r="M8" s="153"/>
    </row>
    <row r="9" s="71" customFormat="1" spans="1:13">
      <c r="A9" s="132">
        <f t="shared" si="1"/>
        <v>1.4</v>
      </c>
      <c r="B9" s="132" t="s">
        <v>22</v>
      </c>
      <c r="C9" s="132" t="s">
        <v>15</v>
      </c>
      <c r="D9" s="132" t="s">
        <v>15</v>
      </c>
      <c r="E9" s="64">
        <f>I9*J9</f>
        <v>157.03471</v>
      </c>
      <c r="F9" s="132" t="s">
        <v>15</v>
      </c>
      <c r="G9" s="64">
        <f t="shared" si="0"/>
        <v>157.03471</v>
      </c>
      <c r="H9" s="100" t="s">
        <v>23</v>
      </c>
      <c r="I9" s="154">
        <v>87.29</v>
      </c>
      <c r="J9" s="155">
        <v>1.799</v>
      </c>
      <c r="L9" s="156"/>
      <c r="M9" s="153"/>
    </row>
    <row r="10" s="71" customFormat="1" spans="1:13">
      <c r="A10" s="132">
        <f t="shared" si="1"/>
        <v>1.5</v>
      </c>
      <c r="B10" s="132" t="s">
        <v>24</v>
      </c>
      <c r="C10" s="132" t="s">
        <v>15</v>
      </c>
      <c r="D10" s="132" t="s">
        <v>15</v>
      </c>
      <c r="E10" s="64">
        <v>11</v>
      </c>
      <c r="F10" s="132" t="s">
        <v>15</v>
      </c>
      <c r="G10" s="132">
        <f t="shared" si="0"/>
        <v>11</v>
      </c>
      <c r="H10" s="100" t="s">
        <v>23</v>
      </c>
      <c r="I10" s="154">
        <v>2</v>
      </c>
      <c r="J10" s="155">
        <v>5.5</v>
      </c>
      <c r="L10" s="156"/>
      <c r="M10" s="153"/>
    </row>
    <row r="11" s="71" customFormat="1" spans="1:13">
      <c r="A11" s="132">
        <f t="shared" si="1"/>
        <v>1.6</v>
      </c>
      <c r="B11" s="132" t="s">
        <v>25</v>
      </c>
      <c r="C11" s="132" t="s">
        <v>15</v>
      </c>
      <c r="D11" s="132" t="s">
        <v>15</v>
      </c>
      <c r="E11" s="64">
        <v>1.32</v>
      </c>
      <c r="F11" s="132" t="s">
        <v>15</v>
      </c>
      <c r="G11" s="132">
        <f t="shared" si="0"/>
        <v>1.32</v>
      </c>
      <c r="H11" s="134" t="s">
        <v>26</v>
      </c>
      <c r="I11" s="154">
        <v>610</v>
      </c>
      <c r="J11" s="155">
        <v>0.022</v>
      </c>
      <c r="L11" s="156"/>
      <c r="M11" s="153"/>
    </row>
    <row r="12" s="71" customFormat="1" spans="1:13">
      <c r="A12" s="132">
        <f t="shared" si="1"/>
        <v>1.7</v>
      </c>
      <c r="B12" s="132" t="s">
        <v>27</v>
      </c>
      <c r="C12" s="132" t="s">
        <v>15</v>
      </c>
      <c r="D12" s="132" t="s">
        <v>15</v>
      </c>
      <c r="E12" s="64">
        <v>147.62</v>
      </c>
      <c r="F12" s="132" t="s">
        <v>15</v>
      </c>
      <c r="G12" s="132">
        <f t="shared" si="0"/>
        <v>147.62</v>
      </c>
      <c r="H12" s="100" t="s">
        <v>23</v>
      </c>
      <c r="I12" s="154">
        <v>8.1</v>
      </c>
      <c r="J12" s="155">
        <v>18.225</v>
      </c>
      <c r="L12" s="156"/>
      <c r="M12" s="153"/>
    </row>
    <row r="13" s="71" customFormat="1" spans="1:13">
      <c r="A13" s="132">
        <f t="shared" si="1"/>
        <v>1.8</v>
      </c>
      <c r="B13" s="132" t="s">
        <v>28</v>
      </c>
      <c r="C13" s="132" t="s">
        <v>15</v>
      </c>
      <c r="D13" s="132" t="s">
        <v>15</v>
      </c>
      <c r="E13" s="64">
        <v>25.26</v>
      </c>
      <c r="F13" s="132" t="s">
        <v>15</v>
      </c>
      <c r="G13" s="132">
        <f t="shared" si="0"/>
        <v>25.26</v>
      </c>
      <c r="H13" s="100" t="s">
        <v>20</v>
      </c>
      <c r="I13" s="154">
        <v>1</v>
      </c>
      <c r="J13" s="155">
        <v>20.26</v>
      </c>
      <c r="L13" s="156"/>
      <c r="M13" s="153"/>
    </row>
    <row r="14" s="71" customFormat="1" spans="1:13">
      <c r="A14" s="132">
        <f t="shared" si="1"/>
        <v>1.9</v>
      </c>
      <c r="B14" s="132" t="s">
        <v>29</v>
      </c>
      <c r="C14" s="132" t="s">
        <v>15</v>
      </c>
      <c r="D14" s="132" t="s">
        <v>15</v>
      </c>
      <c r="E14" s="64">
        <v>5.13</v>
      </c>
      <c r="F14" s="132" t="s">
        <v>15</v>
      </c>
      <c r="G14" s="132">
        <f t="shared" si="0"/>
        <v>5.13</v>
      </c>
      <c r="H14" s="100" t="s">
        <v>20</v>
      </c>
      <c r="I14" s="154">
        <v>1</v>
      </c>
      <c r="J14" s="155">
        <v>5.132</v>
      </c>
      <c r="L14" s="156"/>
      <c r="M14" s="153"/>
    </row>
    <row r="15" s="71" customFormat="1" spans="1:13">
      <c r="A15" s="132">
        <f t="shared" si="1"/>
        <v>2</v>
      </c>
      <c r="B15" s="132" t="s">
        <v>30</v>
      </c>
      <c r="C15" s="132" t="s">
        <v>15</v>
      </c>
      <c r="D15" s="132" t="s">
        <v>15</v>
      </c>
      <c r="E15" s="64">
        <v>5</v>
      </c>
      <c r="F15" s="132" t="s">
        <v>15</v>
      </c>
      <c r="G15" s="132">
        <f t="shared" si="0"/>
        <v>5</v>
      </c>
      <c r="H15" s="100" t="s">
        <v>20</v>
      </c>
      <c r="I15" s="154">
        <v>1</v>
      </c>
      <c r="J15" s="155">
        <v>5</v>
      </c>
      <c r="L15" s="156"/>
      <c r="M15" s="153"/>
    </row>
    <row r="16" s="71" customFormat="1" spans="1:13">
      <c r="A16" s="132">
        <f t="shared" si="1"/>
        <v>2.1</v>
      </c>
      <c r="B16" s="132" t="s">
        <v>31</v>
      </c>
      <c r="C16" s="132" t="s">
        <v>15</v>
      </c>
      <c r="D16" s="132" t="s">
        <v>15</v>
      </c>
      <c r="E16" s="64">
        <v>4.71</v>
      </c>
      <c r="F16" s="132" t="s">
        <v>15</v>
      </c>
      <c r="G16" s="132">
        <f t="shared" si="0"/>
        <v>4.71</v>
      </c>
      <c r="H16" s="100" t="s">
        <v>20</v>
      </c>
      <c r="I16" s="154">
        <v>1</v>
      </c>
      <c r="J16" s="155">
        <v>4.711</v>
      </c>
      <c r="L16" s="156"/>
      <c r="M16" s="153"/>
    </row>
    <row r="17" s="71" customFormat="1" spans="1:13">
      <c r="A17" s="132">
        <f t="shared" si="1"/>
        <v>2.2</v>
      </c>
      <c r="B17" s="132" t="s">
        <v>32</v>
      </c>
      <c r="C17" s="132" t="s">
        <v>15</v>
      </c>
      <c r="D17" s="132" t="s">
        <v>15</v>
      </c>
      <c r="E17" s="64">
        <v>39.07</v>
      </c>
      <c r="F17" s="132" t="s">
        <v>15</v>
      </c>
      <c r="G17" s="132">
        <f t="shared" si="0"/>
        <v>39.07</v>
      </c>
      <c r="H17" s="100" t="s">
        <v>20</v>
      </c>
      <c r="I17" s="154">
        <v>1</v>
      </c>
      <c r="J17" s="155">
        <v>35</v>
      </c>
      <c r="L17" s="156"/>
      <c r="M17" s="153"/>
    </row>
    <row r="18" s="71" customFormat="1" spans="1:13">
      <c r="A18" s="132">
        <f t="shared" si="1"/>
        <v>2.3</v>
      </c>
      <c r="B18" s="132" t="s">
        <v>33</v>
      </c>
      <c r="C18" s="132" t="s">
        <v>15</v>
      </c>
      <c r="D18" s="132" t="s">
        <v>15</v>
      </c>
      <c r="E18" s="133">
        <v>82.51</v>
      </c>
      <c r="F18" s="132" t="s">
        <v>15</v>
      </c>
      <c r="G18" s="132">
        <f t="shared" si="0"/>
        <v>82.51</v>
      </c>
      <c r="H18" s="134" t="s">
        <v>23</v>
      </c>
      <c r="I18" s="154">
        <v>2</v>
      </c>
      <c r="J18" s="155">
        <v>41.3</v>
      </c>
      <c r="L18" s="156"/>
      <c r="M18" s="153"/>
    </row>
    <row r="19" s="71" customFormat="1" spans="1:13">
      <c r="A19" s="132">
        <f t="shared" si="1"/>
        <v>2.4</v>
      </c>
      <c r="B19" s="132" t="s">
        <v>34</v>
      </c>
      <c r="C19" s="132">
        <v>96.75</v>
      </c>
      <c r="D19" s="132" t="s">
        <v>15</v>
      </c>
      <c r="E19" s="64" t="s">
        <v>15</v>
      </c>
      <c r="F19" s="132" t="s">
        <v>15</v>
      </c>
      <c r="G19" s="132">
        <f t="shared" si="0"/>
        <v>96.75</v>
      </c>
      <c r="H19" s="100" t="s">
        <v>35</v>
      </c>
      <c r="I19" s="154">
        <v>1</v>
      </c>
      <c r="J19" s="155">
        <v>80.25</v>
      </c>
      <c r="L19" s="156"/>
      <c r="M19" s="153"/>
    </row>
    <row r="20" s="71" customFormat="1" spans="1:13">
      <c r="A20" s="132">
        <f t="shared" si="1"/>
        <v>2.5</v>
      </c>
      <c r="B20" s="132" t="s">
        <v>36</v>
      </c>
      <c r="C20" s="132" t="s">
        <v>15</v>
      </c>
      <c r="D20" s="64">
        <f>I20*J20</f>
        <v>160.65</v>
      </c>
      <c r="E20" s="132" t="s">
        <v>15</v>
      </c>
      <c r="F20" s="132" t="s">
        <v>15</v>
      </c>
      <c r="G20" s="64">
        <f t="shared" si="0"/>
        <v>160.65</v>
      </c>
      <c r="H20" s="100" t="s">
        <v>16</v>
      </c>
      <c r="I20" s="154">
        <v>5950</v>
      </c>
      <c r="J20" s="155">
        <v>0.027</v>
      </c>
      <c r="K20" s="71">
        <f>G21/G56</f>
        <v>0.410128850833017</v>
      </c>
      <c r="L20" s="156"/>
      <c r="M20" s="153"/>
    </row>
    <row r="21" s="71" customFormat="1" ht="19.2" spans="1:13">
      <c r="A21" s="130">
        <v>2</v>
      </c>
      <c r="B21" s="130" t="s">
        <v>37</v>
      </c>
      <c r="C21" s="130"/>
      <c r="D21" s="130">
        <f>SUM(D22:D29)</f>
        <v>130</v>
      </c>
      <c r="E21" s="91">
        <f>SUM(E22:E30)</f>
        <v>2045.39528</v>
      </c>
      <c r="F21" s="91"/>
      <c r="G21" s="91">
        <f t="shared" si="0"/>
        <v>2175.39528</v>
      </c>
      <c r="H21" s="131" t="s">
        <v>38</v>
      </c>
      <c r="I21" s="157">
        <v>17000</v>
      </c>
      <c r="J21" s="152">
        <f>G21/I21</f>
        <v>0.127964428235294</v>
      </c>
      <c r="K21" s="71">
        <f>SUM(G22:G29)</f>
        <v>1575.39528</v>
      </c>
      <c r="L21" s="158">
        <f>K21/16000</f>
        <v>0.098462205</v>
      </c>
      <c r="M21" s="153"/>
    </row>
    <row r="22" s="71" customFormat="1" spans="1:13">
      <c r="A22" s="132">
        <f t="shared" ref="A22:A30" si="2">A21+0.1</f>
        <v>2.1</v>
      </c>
      <c r="B22" s="132" t="s">
        <v>39</v>
      </c>
      <c r="C22" s="132" t="s">
        <v>15</v>
      </c>
      <c r="D22" s="132" t="s">
        <v>15</v>
      </c>
      <c r="E22" s="64">
        <f t="shared" ref="E22:E28" si="3">I22*J22</f>
        <v>1002.99528</v>
      </c>
      <c r="F22" s="64" t="s">
        <v>15</v>
      </c>
      <c r="G22" s="64">
        <f t="shared" si="0"/>
        <v>1002.99528</v>
      </c>
      <c r="H22" s="100" t="s">
        <v>40</v>
      </c>
      <c r="I22" s="159">
        <v>2.8</v>
      </c>
      <c r="J22" s="154">
        <v>358.2126</v>
      </c>
      <c r="L22" s="156"/>
      <c r="M22" s="153"/>
    </row>
    <row r="23" s="71" customFormat="1" spans="1:13">
      <c r="A23" s="132">
        <f t="shared" si="2"/>
        <v>2.2</v>
      </c>
      <c r="B23" s="132" t="s">
        <v>41</v>
      </c>
      <c r="C23" s="132" t="s">
        <v>15</v>
      </c>
      <c r="D23" s="132" t="s">
        <v>15</v>
      </c>
      <c r="E23" s="132">
        <f t="shared" si="3"/>
        <v>140</v>
      </c>
      <c r="F23" s="132" t="s">
        <v>15</v>
      </c>
      <c r="G23" s="132">
        <f t="shared" si="0"/>
        <v>140</v>
      </c>
      <c r="H23" s="100" t="s">
        <v>40</v>
      </c>
      <c r="I23" s="159">
        <f>I22</f>
        <v>2.8</v>
      </c>
      <c r="J23" s="154">
        <v>50</v>
      </c>
      <c r="L23" s="156">
        <v>5099.7</v>
      </c>
      <c r="M23" s="153"/>
    </row>
    <row r="24" s="71" customFormat="1" spans="1:13">
      <c r="A24" s="132">
        <f t="shared" si="2"/>
        <v>2.3</v>
      </c>
      <c r="B24" s="132" t="s">
        <v>42</v>
      </c>
      <c r="C24" s="132" t="s">
        <v>15</v>
      </c>
      <c r="D24" s="132" t="s">
        <v>15</v>
      </c>
      <c r="E24" s="132">
        <f t="shared" si="3"/>
        <v>42</v>
      </c>
      <c r="F24" s="132" t="s">
        <v>15</v>
      </c>
      <c r="G24" s="132">
        <f t="shared" si="0"/>
        <v>42</v>
      </c>
      <c r="H24" s="100" t="s">
        <v>40</v>
      </c>
      <c r="I24" s="159">
        <f t="shared" ref="I24:I29" si="4">I23</f>
        <v>2.8</v>
      </c>
      <c r="J24" s="154">
        <v>15</v>
      </c>
      <c r="L24" s="156"/>
      <c r="M24" s="153"/>
    </row>
    <row r="25" s="71" customFormat="1" spans="1:13">
      <c r="A25" s="132">
        <f t="shared" si="2"/>
        <v>2.4</v>
      </c>
      <c r="B25" s="132" t="s">
        <v>43</v>
      </c>
      <c r="C25" s="132" t="s">
        <v>15</v>
      </c>
      <c r="D25" s="132" t="s">
        <v>15</v>
      </c>
      <c r="E25" s="132">
        <f t="shared" si="3"/>
        <v>56</v>
      </c>
      <c r="F25" s="132" t="s">
        <v>15</v>
      </c>
      <c r="G25" s="132">
        <f t="shared" si="0"/>
        <v>56</v>
      </c>
      <c r="H25" s="100" t="s">
        <v>40</v>
      </c>
      <c r="I25" s="159">
        <f t="shared" si="4"/>
        <v>2.8</v>
      </c>
      <c r="J25" s="154">
        <v>20</v>
      </c>
      <c r="L25" s="156"/>
      <c r="M25" s="153"/>
    </row>
    <row r="26" s="71" customFormat="1" spans="1:13">
      <c r="A26" s="132">
        <f t="shared" si="2"/>
        <v>2.5</v>
      </c>
      <c r="B26" s="132" t="s">
        <v>44</v>
      </c>
      <c r="C26" s="132" t="s">
        <v>15</v>
      </c>
      <c r="D26" s="132" t="s">
        <v>15</v>
      </c>
      <c r="E26" s="132">
        <f t="shared" si="3"/>
        <v>42</v>
      </c>
      <c r="F26" s="132" t="s">
        <v>15</v>
      </c>
      <c r="G26" s="132">
        <f t="shared" si="0"/>
        <v>42</v>
      </c>
      <c r="H26" s="100" t="s">
        <v>40</v>
      </c>
      <c r="I26" s="159">
        <f t="shared" si="4"/>
        <v>2.8</v>
      </c>
      <c r="J26" s="154">
        <v>15</v>
      </c>
      <c r="L26" s="156"/>
      <c r="M26" s="153"/>
    </row>
    <row r="27" s="71" customFormat="1" spans="1:13">
      <c r="A27" s="132">
        <f t="shared" si="2"/>
        <v>2.6</v>
      </c>
      <c r="B27" s="132" t="s">
        <v>45</v>
      </c>
      <c r="C27" s="132" t="s">
        <v>15</v>
      </c>
      <c r="D27" s="132" t="s">
        <v>15</v>
      </c>
      <c r="E27" s="132">
        <f t="shared" si="3"/>
        <v>140</v>
      </c>
      <c r="F27" s="132" t="s">
        <v>15</v>
      </c>
      <c r="G27" s="132">
        <f t="shared" si="0"/>
        <v>140</v>
      </c>
      <c r="H27" s="100" t="s">
        <v>40</v>
      </c>
      <c r="I27" s="159">
        <f t="shared" si="4"/>
        <v>2.8</v>
      </c>
      <c r="J27" s="154">
        <v>50</v>
      </c>
      <c r="L27" s="156"/>
      <c r="M27" s="153"/>
    </row>
    <row r="28" s="71" customFormat="1" spans="1:13">
      <c r="A28" s="132">
        <f t="shared" si="2"/>
        <v>2.7</v>
      </c>
      <c r="B28" s="132" t="s">
        <v>46</v>
      </c>
      <c r="C28" s="132" t="s">
        <v>15</v>
      </c>
      <c r="D28" s="132" t="s">
        <v>15</v>
      </c>
      <c r="E28" s="132">
        <f t="shared" si="3"/>
        <v>22.4</v>
      </c>
      <c r="F28" s="132" t="s">
        <v>15</v>
      </c>
      <c r="G28" s="132">
        <f t="shared" si="0"/>
        <v>22.4</v>
      </c>
      <c r="H28" s="100" t="s">
        <v>40</v>
      </c>
      <c r="I28" s="159">
        <f t="shared" si="4"/>
        <v>2.8</v>
      </c>
      <c r="J28" s="154">
        <v>8</v>
      </c>
      <c r="L28" s="156"/>
      <c r="M28" s="153"/>
    </row>
    <row r="29" s="71" customFormat="1" spans="1:13">
      <c r="A29" s="132">
        <f t="shared" si="2"/>
        <v>2.8</v>
      </c>
      <c r="B29" s="132" t="s">
        <v>47</v>
      </c>
      <c r="C29" s="132" t="s">
        <v>15</v>
      </c>
      <c r="D29" s="132">
        <v>130</v>
      </c>
      <c r="E29" s="132" t="s">
        <v>15</v>
      </c>
      <c r="F29" s="132" t="s">
        <v>15</v>
      </c>
      <c r="G29" s="132">
        <f t="shared" si="0"/>
        <v>130</v>
      </c>
      <c r="H29" s="100" t="s">
        <v>40</v>
      </c>
      <c r="I29" s="159">
        <f t="shared" si="4"/>
        <v>2.8</v>
      </c>
      <c r="J29" s="154">
        <v>25</v>
      </c>
      <c r="L29" s="156"/>
      <c r="M29" s="153"/>
    </row>
    <row r="30" s="71" customFormat="1" spans="1:13">
      <c r="A30" s="132">
        <f t="shared" si="2"/>
        <v>2.9</v>
      </c>
      <c r="B30" s="135" t="s">
        <v>48</v>
      </c>
      <c r="C30" s="135"/>
      <c r="D30" s="135"/>
      <c r="E30" s="135">
        <f>I30*J30</f>
        <v>600</v>
      </c>
      <c r="F30" s="135"/>
      <c r="G30" s="135">
        <f t="shared" si="0"/>
        <v>600</v>
      </c>
      <c r="H30" s="136" t="s">
        <v>40</v>
      </c>
      <c r="I30" s="160">
        <v>200</v>
      </c>
      <c r="J30" s="154">
        <v>3</v>
      </c>
      <c r="L30" s="153"/>
      <c r="M30" s="153"/>
    </row>
    <row r="31" s="71" customFormat="1" spans="1:13">
      <c r="A31" s="130">
        <v>3</v>
      </c>
      <c r="B31" s="130" t="s">
        <v>49</v>
      </c>
      <c r="C31" s="91">
        <f>SUM(C32:C37)</f>
        <v>31.522</v>
      </c>
      <c r="D31" s="91">
        <f>SUM(D32:D37)</f>
        <v>42.792</v>
      </c>
      <c r="E31" s="91">
        <f>SUM(E32:E37)</f>
        <v>811.96</v>
      </c>
      <c r="F31" s="130">
        <f>SUM(F34:F37)</f>
        <v>0</v>
      </c>
      <c r="G31" s="91">
        <f t="shared" si="0"/>
        <v>886.274</v>
      </c>
      <c r="H31" s="100" t="s">
        <v>50</v>
      </c>
      <c r="I31" s="137">
        <v>5551.3</v>
      </c>
      <c r="J31" s="137">
        <v>0.227</v>
      </c>
      <c r="K31" s="71">
        <f>G31/G56</f>
        <v>0.167089880393223</v>
      </c>
      <c r="L31" s="153"/>
      <c r="M31" s="153"/>
    </row>
    <row r="32" s="71" customFormat="1" spans="1:13">
      <c r="A32" s="132">
        <f t="shared" ref="A32:A37" si="5">A31+0.1</f>
        <v>3.1</v>
      </c>
      <c r="B32" s="132" t="s">
        <v>51</v>
      </c>
      <c r="C32" s="132"/>
      <c r="D32" s="132">
        <f>I32*J32*0.15</f>
        <v>12</v>
      </c>
      <c r="E32" s="132">
        <f>J32*I32*0.85</f>
        <v>68</v>
      </c>
      <c r="F32" s="132"/>
      <c r="G32" s="132">
        <f t="shared" si="0"/>
        <v>80</v>
      </c>
      <c r="H32" s="100" t="s">
        <v>20</v>
      </c>
      <c r="I32" s="137">
        <v>2</v>
      </c>
      <c r="J32" s="137">
        <v>40</v>
      </c>
      <c r="L32" s="153"/>
      <c r="M32" s="153"/>
    </row>
    <row r="33" s="71" customFormat="1" spans="1:13">
      <c r="A33" s="132">
        <f t="shared" si="5"/>
        <v>3.2</v>
      </c>
      <c r="B33" s="132" t="s">
        <v>52</v>
      </c>
      <c r="C33" s="64"/>
      <c r="D33" s="132">
        <f>I33*J33*0.15</f>
        <v>22.5</v>
      </c>
      <c r="E33" s="132">
        <f>J33*I33*0.85</f>
        <v>127.5</v>
      </c>
      <c r="F33" s="132"/>
      <c r="G33" s="132">
        <f t="shared" si="0"/>
        <v>150</v>
      </c>
      <c r="H33" s="100" t="s">
        <v>53</v>
      </c>
      <c r="I33" s="137">
        <v>3000</v>
      </c>
      <c r="J33" s="137">
        <v>0.05</v>
      </c>
      <c r="L33" s="153"/>
      <c r="M33" s="153"/>
    </row>
    <row r="34" s="71" customFormat="1" spans="1:13">
      <c r="A34" s="132">
        <f t="shared" si="5"/>
        <v>3.3</v>
      </c>
      <c r="B34" s="132" t="s">
        <v>54</v>
      </c>
      <c r="C34" s="64">
        <f>I34*J34</f>
        <v>25.994</v>
      </c>
      <c r="D34" s="132"/>
      <c r="E34" s="132"/>
      <c r="F34" s="132"/>
      <c r="G34" s="64">
        <f t="shared" si="0"/>
        <v>25.994</v>
      </c>
      <c r="H34" s="100" t="s">
        <v>50</v>
      </c>
      <c r="I34" s="137">
        <v>82</v>
      </c>
      <c r="J34" s="137">
        <v>0.317</v>
      </c>
      <c r="L34" s="156"/>
      <c r="M34" s="153"/>
    </row>
    <row r="35" s="71" customFormat="1" spans="1:13">
      <c r="A35" s="132">
        <f t="shared" si="5"/>
        <v>3.4</v>
      </c>
      <c r="B35" s="132" t="s">
        <v>55</v>
      </c>
      <c r="C35" s="64">
        <f>I35*J35*0.1</f>
        <v>5.528</v>
      </c>
      <c r="D35" s="64">
        <f>I35*J35*0.15</f>
        <v>8.292</v>
      </c>
      <c r="E35" s="64">
        <f>I35*J35*0.75</f>
        <v>41.46</v>
      </c>
      <c r="F35" s="132"/>
      <c r="G35" s="64">
        <f t="shared" si="0"/>
        <v>55.28</v>
      </c>
      <c r="H35" s="137" t="s">
        <v>50</v>
      </c>
      <c r="I35" s="137">
        <v>40</v>
      </c>
      <c r="J35" s="137">
        <v>1.382</v>
      </c>
      <c r="L35" s="156"/>
      <c r="M35" s="153"/>
    </row>
    <row r="36" s="71" customFormat="1" ht="14.1" customHeight="1" spans="1:13">
      <c r="A36" s="132">
        <f t="shared" si="5"/>
        <v>3.5</v>
      </c>
      <c r="B36" s="132" t="s">
        <v>56</v>
      </c>
      <c r="C36" s="132" t="s">
        <v>15</v>
      </c>
      <c r="D36" s="132" t="s">
        <v>15</v>
      </c>
      <c r="E36" s="132">
        <v>25</v>
      </c>
      <c r="F36" s="132" t="s">
        <v>15</v>
      </c>
      <c r="G36" s="132">
        <f t="shared" si="0"/>
        <v>25</v>
      </c>
      <c r="H36" s="137" t="s">
        <v>20</v>
      </c>
      <c r="I36" s="137">
        <v>1</v>
      </c>
      <c r="J36" s="137">
        <v>25</v>
      </c>
      <c r="K36" s="161"/>
      <c r="L36" s="162"/>
      <c r="M36" s="153"/>
    </row>
    <row r="37" s="71" customFormat="1" ht="14.1" customHeight="1" spans="1:13">
      <c r="A37" s="132">
        <f t="shared" si="5"/>
        <v>3.6</v>
      </c>
      <c r="B37" s="132" t="s">
        <v>57</v>
      </c>
      <c r="C37" s="132" t="s">
        <v>15</v>
      </c>
      <c r="D37" s="132" t="s">
        <v>15</v>
      </c>
      <c r="E37" s="132">
        <f>I37*J37</f>
        <v>550</v>
      </c>
      <c r="F37" s="132" t="s">
        <v>15</v>
      </c>
      <c r="G37" s="132">
        <f t="shared" si="0"/>
        <v>550</v>
      </c>
      <c r="H37" s="137" t="s">
        <v>40</v>
      </c>
      <c r="I37" s="137">
        <v>5</v>
      </c>
      <c r="J37" s="137">
        <v>110</v>
      </c>
      <c r="K37" s="161"/>
      <c r="L37" s="162"/>
      <c r="M37" s="153"/>
    </row>
    <row r="38" s="71" customFormat="1" ht="14.1" customHeight="1" spans="1:13">
      <c r="A38" s="127" t="s">
        <v>58</v>
      </c>
      <c r="B38" s="127" t="s">
        <v>59</v>
      </c>
      <c r="C38" s="128"/>
      <c r="D38" s="128"/>
      <c r="E38" s="128"/>
      <c r="F38" s="128">
        <f>SUM(F39:F49)</f>
        <v>236.279439981</v>
      </c>
      <c r="G38" s="128">
        <f t="shared" ref="G38:G43" si="6">C38+D38+E38+F38</f>
        <v>236.279439981</v>
      </c>
      <c r="H38" s="129">
        <f>G38/G57</f>
        <v>0.0445459342887222</v>
      </c>
      <c r="I38" s="149"/>
      <c r="J38" s="150"/>
      <c r="K38" s="161"/>
      <c r="L38" s="162"/>
      <c r="M38" s="153"/>
    </row>
    <row r="39" ht="14.1" customHeight="1" spans="1:12">
      <c r="A39" s="46">
        <v>1</v>
      </c>
      <c r="B39" s="132" t="s">
        <v>60</v>
      </c>
      <c r="C39" s="63"/>
      <c r="D39" s="63"/>
      <c r="E39" s="63"/>
      <c r="F39" s="64">
        <f>G4*0.005</f>
        <v>23.85157995</v>
      </c>
      <c r="G39" s="63">
        <f t="shared" si="6"/>
        <v>23.85157995</v>
      </c>
      <c r="H39" s="138"/>
      <c r="I39" s="163"/>
      <c r="J39" s="164"/>
      <c r="K39" s="165"/>
      <c r="L39" s="166"/>
    </row>
    <row r="40" ht="14.1" customHeight="1" spans="1:10">
      <c r="A40" s="46">
        <v>2</v>
      </c>
      <c r="B40" s="132" t="s">
        <v>61</v>
      </c>
      <c r="C40" s="63"/>
      <c r="D40" s="63"/>
      <c r="E40" s="63"/>
      <c r="F40" s="64">
        <f>G4*0.006</f>
        <v>28.62189594</v>
      </c>
      <c r="G40" s="63">
        <f t="shared" si="6"/>
        <v>28.62189594</v>
      </c>
      <c r="H40" s="139"/>
      <c r="I40" s="167"/>
      <c r="J40" s="168"/>
    </row>
    <row r="41" ht="14.1" customHeight="1" spans="1:10">
      <c r="A41" s="46">
        <v>3</v>
      </c>
      <c r="B41" s="132" t="s">
        <v>62</v>
      </c>
      <c r="C41" s="63"/>
      <c r="D41" s="63"/>
      <c r="E41" s="63"/>
      <c r="F41" s="64">
        <f>G4*0.005</f>
        <v>23.85157995</v>
      </c>
      <c r="G41" s="63">
        <f t="shared" si="6"/>
        <v>23.85157995</v>
      </c>
      <c r="H41" s="139"/>
      <c r="I41" s="167"/>
      <c r="J41" s="168"/>
    </row>
    <row r="42" ht="14.1" customHeight="1" spans="1:10">
      <c r="A42" s="46">
        <v>4</v>
      </c>
      <c r="B42" s="132" t="s">
        <v>63</v>
      </c>
      <c r="C42" s="63"/>
      <c r="D42" s="63"/>
      <c r="E42" s="63"/>
      <c r="F42" s="64">
        <v>26.17</v>
      </c>
      <c r="G42" s="63">
        <f t="shared" si="6"/>
        <v>26.17</v>
      </c>
      <c r="H42" s="139"/>
      <c r="I42" s="167"/>
      <c r="J42" s="169"/>
    </row>
    <row r="43" ht="14.1" customHeight="1" spans="1:10">
      <c r="A43" s="46">
        <v>5</v>
      </c>
      <c r="B43" s="132" t="s">
        <v>64</v>
      </c>
      <c r="C43" s="63"/>
      <c r="D43" s="63"/>
      <c r="E43" s="63"/>
      <c r="F43" s="64">
        <f>10.64</f>
        <v>10.64</v>
      </c>
      <c r="G43" s="63">
        <f t="shared" si="6"/>
        <v>10.64</v>
      </c>
      <c r="H43" s="139"/>
      <c r="I43" s="167"/>
      <c r="J43" s="169"/>
    </row>
    <row r="44" ht="14.1" customHeight="1" spans="1:10">
      <c r="A44" s="46">
        <v>6</v>
      </c>
      <c r="B44" s="132" t="s">
        <v>65</v>
      </c>
      <c r="C44" s="63"/>
      <c r="D44" s="63"/>
      <c r="E44" s="63"/>
      <c r="F44" s="64">
        <f>G4*0.01</f>
        <v>47.7031599</v>
      </c>
      <c r="G44" s="63">
        <f t="shared" ref="G44:G49" si="7">C44+D44+E44+F44</f>
        <v>47.7031599</v>
      </c>
      <c r="H44" s="139"/>
      <c r="I44" s="167"/>
      <c r="J44" s="168"/>
    </row>
    <row r="45" ht="17.1" customHeight="1" spans="1:10">
      <c r="A45" s="46">
        <v>7</v>
      </c>
      <c r="B45" s="132" t="s">
        <v>66</v>
      </c>
      <c r="C45" s="63"/>
      <c r="D45" s="63"/>
      <c r="E45" s="63"/>
      <c r="F45" s="64">
        <f>G4*0.001</f>
        <v>4.77031599</v>
      </c>
      <c r="G45" s="63">
        <f t="shared" si="7"/>
        <v>4.77031599</v>
      </c>
      <c r="H45" s="138"/>
      <c r="I45" s="170"/>
      <c r="J45" s="171"/>
    </row>
    <row r="46" ht="20.1" customHeight="1" spans="1:10">
      <c r="A46" s="46">
        <v>8</v>
      </c>
      <c r="B46" s="132" t="s">
        <v>67</v>
      </c>
      <c r="C46" s="63"/>
      <c r="D46" s="63"/>
      <c r="E46" s="63"/>
      <c r="F46" s="64">
        <f>G4*0.0055</f>
        <v>26.236737945</v>
      </c>
      <c r="G46" s="63">
        <f t="shared" si="7"/>
        <v>26.236737945</v>
      </c>
      <c r="H46" s="138"/>
      <c r="I46" s="170"/>
      <c r="J46" s="171"/>
    </row>
    <row r="47" ht="18.95" customHeight="1" spans="1:10">
      <c r="A47" s="46">
        <v>9</v>
      </c>
      <c r="B47" s="132" t="s">
        <v>68</v>
      </c>
      <c r="C47" s="63"/>
      <c r="D47" s="63"/>
      <c r="E47" s="63"/>
      <c r="F47" s="64">
        <f>G4*0.003-0.4068</f>
        <v>13.90414797</v>
      </c>
      <c r="G47" s="63">
        <f t="shared" si="7"/>
        <v>13.90414797</v>
      </c>
      <c r="H47" s="138"/>
      <c r="I47" s="170"/>
      <c r="J47" s="171"/>
    </row>
    <row r="48" ht="18.95" customHeight="1" spans="1:10">
      <c r="A48" s="46">
        <v>10</v>
      </c>
      <c r="B48" s="132" t="s">
        <v>69</v>
      </c>
      <c r="C48" s="63"/>
      <c r="D48" s="63"/>
      <c r="E48" s="63"/>
      <c r="F48" s="64">
        <f>G4*0.0034</f>
        <v>16.219074366</v>
      </c>
      <c r="G48" s="63">
        <f t="shared" si="7"/>
        <v>16.219074366</v>
      </c>
      <c r="H48" s="138"/>
      <c r="I48" s="170"/>
      <c r="J48" s="171"/>
    </row>
    <row r="49" s="71" customFormat="1" ht="14.1" customHeight="1" spans="1:13">
      <c r="A49" s="46">
        <v>11</v>
      </c>
      <c r="B49" s="132" t="s">
        <v>70</v>
      </c>
      <c r="C49" s="128"/>
      <c r="D49" s="128"/>
      <c r="E49" s="128"/>
      <c r="F49" s="63">
        <f>G4*0.003</f>
        <v>14.31094797</v>
      </c>
      <c r="G49" s="63">
        <f t="shared" si="7"/>
        <v>14.31094797</v>
      </c>
      <c r="H49" s="129"/>
      <c r="I49" s="149"/>
      <c r="J49" s="150"/>
      <c r="L49" s="153"/>
      <c r="M49" s="153"/>
    </row>
    <row r="50" s="71" customFormat="1" ht="14.1" customHeight="1" spans="1:13">
      <c r="A50" s="127" t="s">
        <v>71</v>
      </c>
      <c r="B50" s="127" t="s">
        <v>72</v>
      </c>
      <c r="C50" s="128"/>
      <c r="D50" s="128"/>
      <c r="E50" s="128"/>
      <c r="F50" s="128">
        <f>F51+F52</f>
        <v>250.32977149905</v>
      </c>
      <c r="G50" s="128">
        <f>G51+G52</f>
        <v>250.32977149905</v>
      </c>
      <c r="H50" s="129">
        <f>G50/G57</f>
        <v>0.047194853486212</v>
      </c>
      <c r="I50" s="149"/>
      <c r="J50" s="150"/>
      <c r="L50" s="153"/>
      <c r="M50" s="153"/>
    </row>
    <row r="51" ht="14.1" customHeight="1" spans="1:10">
      <c r="A51" s="46">
        <v>3.1</v>
      </c>
      <c r="B51" s="46" t="s">
        <v>73</v>
      </c>
      <c r="C51" s="63"/>
      <c r="D51" s="63"/>
      <c r="E51" s="63"/>
      <c r="F51" s="63">
        <f>(G4+G38)*0.05</f>
        <v>250.32977149905</v>
      </c>
      <c r="G51" s="63">
        <f>F51</f>
        <v>250.32977149905</v>
      </c>
      <c r="H51" s="140" t="s">
        <v>74</v>
      </c>
      <c r="I51" s="170"/>
      <c r="J51" s="172"/>
    </row>
    <row r="52" ht="14.1" customHeight="1" spans="1:10">
      <c r="A52" s="46">
        <v>3.2</v>
      </c>
      <c r="B52" s="46" t="s">
        <v>75</v>
      </c>
      <c r="C52" s="63"/>
      <c r="D52" s="63"/>
      <c r="E52" s="63"/>
      <c r="F52" s="63"/>
      <c r="G52" s="63"/>
      <c r="H52" s="138"/>
      <c r="I52" s="170"/>
      <c r="J52" s="172"/>
    </row>
    <row r="53" s="71" customFormat="1" ht="14.1" customHeight="1" spans="1:13">
      <c r="A53" s="127" t="s">
        <v>76</v>
      </c>
      <c r="B53" s="127" t="s">
        <v>77</v>
      </c>
      <c r="C53" s="128">
        <f>C50+C38+C4</f>
        <v>128.272</v>
      </c>
      <c r="D53" s="128">
        <f>D50+D38+D4</f>
        <v>333.442</v>
      </c>
      <c r="E53" s="128">
        <f>E50+E38+E4</f>
        <v>4308.60199</v>
      </c>
      <c r="F53" s="128">
        <f>F50+F38+F4</f>
        <v>486.60921148005</v>
      </c>
      <c r="G53" s="128">
        <f>G4+G38+G50</f>
        <v>5256.92520148005</v>
      </c>
      <c r="H53" s="129">
        <f>G53/G57</f>
        <v>0.991091923210452</v>
      </c>
      <c r="I53" s="149"/>
      <c r="J53" s="150"/>
      <c r="L53" s="153"/>
      <c r="M53" s="153"/>
    </row>
    <row r="54" ht="14.1" customHeight="1" spans="1:10">
      <c r="A54" s="46"/>
      <c r="B54" s="46" t="s">
        <v>78</v>
      </c>
      <c r="C54" s="141">
        <f>C53/G53</f>
        <v>0.02440057544739</v>
      </c>
      <c r="D54" s="141">
        <f>D53/G53</f>
        <v>0.0634290934758063</v>
      </c>
      <c r="E54" s="141">
        <f>E53/G53</f>
        <v>0.819604963903033</v>
      </c>
      <c r="F54" s="141">
        <f>F53/G53</f>
        <v>0.0925653671737708</v>
      </c>
      <c r="G54" s="141">
        <v>1</v>
      </c>
      <c r="H54" s="142"/>
      <c r="I54" s="163"/>
      <c r="J54" s="164"/>
    </row>
    <row r="55" s="71" customFormat="1" ht="14.1" customHeight="1" spans="1:13">
      <c r="A55" s="127" t="s">
        <v>79</v>
      </c>
      <c r="B55" s="127" t="s">
        <v>80</v>
      </c>
      <c r="C55" s="128"/>
      <c r="D55" s="128"/>
      <c r="E55" s="128"/>
      <c r="F55" s="128"/>
      <c r="G55" s="128">
        <f>还本付息表!D7</f>
        <v>47.25</v>
      </c>
      <c r="H55" s="129">
        <f>G55/G57</f>
        <v>0.0089080767895479</v>
      </c>
      <c r="I55" s="149"/>
      <c r="J55" s="150"/>
      <c r="L55" s="153"/>
      <c r="M55" s="153"/>
    </row>
    <row r="56" s="71" customFormat="1" ht="14.1" customHeight="1" spans="1:13">
      <c r="A56" s="127" t="s">
        <v>81</v>
      </c>
      <c r="B56" s="127" t="s">
        <v>82</v>
      </c>
      <c r="C56" s="128"/>
      <c r="D56" s="128"/>
      <c r="E56" s="128"/>
      <c r="F56" s="128"/>
      <c r="G56" s="128">
        <f>G53+G55</f>
        <v>5304.17520148005</v>
      </c>
      <c r="H56" s="129">
        <f>G56/G57</f>
        <v>1</v>
      </c>
      <c r="I56" s="149"/>
      <c r="J56" s="150"/>
      <c r="L56" s="153"/>
      <c r="M56" s="153"/>
    </row>
    <row r="57" s="71" customFormat="1" ht="14.1" customHeight="1" spans="1:13">
      <c r="A57" s="127" t="s">
        <v>83</v>
      </c>
      <c r="B57" s="127" t="s">
        <v>84</v>
      </c>
      <c r="C57" s="128"/>
      <c r="D57" s="128"/>
      <c r="E57" s="128"/>
      <c r="F57" s="128"/>
      <c r="G57" s="128">
        <f>G56</f>
        <v>5304.17520148005</v>
      </c>
      <c r="H57" s="129">
        <v>1</v>
      </c>
      <c r="I57" s="149"/>
      <c r="J57" s="150"/>
      <c r="L57" s="153"/>
      <c r="M57" s="153"/>
    </row>
    <row r="58" s="72" customFormat="1" spans="1:13">
      <c r="A58" s="143"/>
      <c r="B58" s="143"/>
      <c r="C58" s="143"/>
      <c r="D58" s="143"/>
      <c r="E58" s="143"/>
      <c r="F58" s="143"/>
      <c r="G58" s="144"/>
      <c r="H58" s="104"/>
      <c r="I58" s="143"/>
      <c r="J58" s="173"/>
      <c r="L58" s="156"/>
      <c r="M58" s="156"/>
    </row>
    <row r="59" spans="5:10">
      <c r="E59" s="54">
        <f>G57-4200</f>
        <v>1104.17520148005</v>
      </c>
      <c r="G59" s="143">
        <f>G57*0.8</f>
        <v>4243.34016118404</v>
      </c>
      <c r="I59" s="77">
        <v>8767.594088484</v>
      </c>
      <c r="J59" s="174"/>
    </row>
    <row r="60" spans="7:7">
      <c r="G60" s="143">
        <v>12648.36</v>
      </c>
    </row>
  </sheetData>
  <mergeCells count="21">
    <mergeCell ref="A1:J1"/>
    <mergeCell ref="A2:J2"/>
    <mergeCell ref="H4:J4"/>
    <mergeCell ref="H38:J38"/>
    <mergeCell ref="H39:J39"/>
    <mergeCell ref="H40:J40"/>
    <mergeCell ref="H41:J41"/>
    <mergeCell ref="H42:J42"/>
    <mergeCell ref="H44:J44"/>
    <mergeCell ref="H45:J45"/>
    <mergeCell ref="H46:J46"/>
    <mergeCell ref="H47:J47"/>
    <mergeCell ref="H48:J48"/>
    <mergeCell ref="H50:J50"/>
    <mergeCell ref="H51:J51"/>
    <mergeCell ref="H52:J52"/>
    <mergeCell ref="H53:J53"/>
    <mergeCell ref="H54:J54"/>
    <mergeCell ref="H55:J55"/>
    <mergeCell ref="H56:J56"/>
    <mergeCell ref="H57:J5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zoomScale="120" zoomScaleNormal="120" workbookViewId="0">
      <selection activeCell="F6" sqref="F6"/>
    </sheetView>
  </sheetViews>
  <sheetFormatPr defaultColWidth="9" defaultRowHeight="14.4"/>
  <cols>
    <col min="1" max="1" width="4.5" customWidth="1"/>
    <col min="2" max="2" width="11.8518518518519" customWidth="1"/>
    <col min="3" max="3" width="6.5" customWidth="1"/>
    <col min="4" max="5" width="6.59259259259259" customWidth="1"/>
    <col min="6" max="6" width="8.7037037037037" customWidth="1"/>
    <col min="7" max="15" width="8.12037037037037" style="103" customWidth="1"/>
  </cols>
  <sheetData>
    <row r="1" ht="17.4" spans="1:15">
      <c r="A1" s="32" t="s">
        <v>85</v>
      </c>
      <c r="B1" s="33"/>
      <c r="C1" s="33"/>
      <c r="D1" s="33"/>
      <c r="E1" s="33"/>
      <c r="F1" s="33"/>
      <c r="G1" s="104"/>
      <c r="H1" s="104"/>
      <c r="I1" s="104"/>
      <c r="J1" s="104"/>
      <c r="K1" s="104"/>
      <c r="L1" s="104"/>
      <c r="M1" s="104"/>
      <c r="N1" s="104"/>
      <c r="O1" s="104"/>
    </row>
    <row r="2" spans="14:14">
      <c r="N2" t="s">
        <v>1</v>
      </c>
    </row>
    <row r="3" spans="1:17">
      <c r="A3" s="105" t="s">
        <v>2</v>
      </c>
      <c r="B3" s="105" t="s">
        <v>86</v>
      </c>
      <c r="C3" s="105" t="s">
        <v>8</v>
      </c>
      <c r="D3" s="105" t="s">
        <v>87</v>
      </c>
      <c r="E3" s="106" t="s">
        <v>88</v>
      </c>
      <c r="F3" s="107" t="s">
        <v>89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18"/>
    </row>
    <row r="4" spans="1:17">
      <c r="A4" s="109"/>
      <c r="B4" s="109"/>
      <c r="C4" s="109"/>
      <c r="D4" s="109"/>
      <c r="E4" s="110"/>
      <c r="F4" s="111">
        <v>0.5</v>
      </c>
      <c r="G4" s="112">
        <v>2</v>
      </c>
      <c r="H4" s="112">
        <v>3</v>
      </c>
      <c r="I4" s="112">
        <v>4</v>
      </c>
      <c r="J4" s="112">
        <v>5</v>
      </c>
      <c r="K4" s="112">
        <v>6</v>
      </c>
      <c r="L4" s="112">
        <v>7</v>
      </c>
      <c r="M4" s="112">
        <v>8</v>
      </c>
      <c r="N4" s="112">
        <v>9</v>
      </c>
      <c r="O4" s="112">
        <v>10</v>
      </c>
      <c r="P4" s="112">
        <v>11</v>
      </c>
      <c r="Q4" s="112">
        <v>12</v>
      </c>
    </row>
    <row r="5" ht="19.2" spans="1:17">
      <c r="A5" s="49">
        <v>1</v>
      </c>
      <c r="B5" s="49" t="s">
        <v>90</v>
      </c>
      <c r="C5" s="113"/>
      <c r="D5" s="61">
        <v>0.05</v>
      </c>
      <c r="E5" s="95">
        <v>20</v>
      </c>
      <c r="F5" s="114"/>
      <c r="G5" s="115"/>
      <c r="H5" s="115"/>
      <c r="I5" s="115"/>
      <c r="J5" s="115"/>
      <c r="K5" s="115"/>
      <c r="L5" s="115"/>
      <c r="M5" s="115"/>
      <c r="N5" s="115"/>
      <c r="O5" s="116"/>
      <c r="P5" s="116"/>
      <c r="Q5" s="116"/>
    </row>
    <row r="6" spans="1:17">
      <c r="A6" s="49">
        <v>1.1</v>
      </c>
      <c r="B6" s="49" t="s">
        <v>91</v>
      </c>
      <c r="C6" s="113"/>
      <c r="D6" s="113"/>
      <c r="E6" s="113"/>
      <c r="F6" s="102">
        <f>总投资!G53*0.91</f>
        <v>4783.80193334685</v>
      </c>
      <c r="G6" s="102">
        <f t="shared" ref="G6:Q6" si="0">F8</f>
        <v>4670.18663742986</v>
      </c>
      <c r="H6" s="102">
        <f t="shared" si="0"/>
        <v>4442.95604559588</v>
      </c>
      <c r="I6" s="102">
        <f t="shared" si="0"/>
        <v>4215.72545376191</v>
      </c>
      <c r="J6" s="102">
        <f t="shared" si="0"/>
        <v>3988.49486192793</v>
      </c>
      <c r="K6" s="102">
        <f t="shared" si="0"/>
        <v>3761.26427009396</v>
      </c>
      <c r="L6" s="102">
        <f t="shared" si="0"/>
        <v>3534.03367825998</v>
      </c>
      <c r="M6" s="102">
        <f t="shared" si="0"/>
        <v>3306.80308642601</v>
      </c>
      <c r="N6" s="102">
        <f t="shared" si="0"/>
        <v>3079.57249459203</v>
      </c>
      <c r="O6" s="102">
        <f t="shared" si="0"/>
        <v>2852.34190275806</v>
      </c>
      <c r="P6" s="102">
        <f t="shared" si="0"/>
        <v>2625.11131092408</v>
      </c>
      <c r="Q6" s="102">
        <f t="shared" si="0"/>
        <v>2397.88071909011</v>
      </c>
    </row>
    <row r="7" ht="16.9" customHeight="1" spans="1:17">
      <c r="A7" s="49">
        <v>1.2</v>
      </c>
      <c r="B7" s="49" t="s">
        <v>92</v>
      </c>
      <c r="C7" s="113">
        <f>SUM(F7:Q7)</f>
        <v>2613.15180609072</v>
      </c>
      <c r="D7" s="113"/>
      <c r="E7" s="113"/>
      <c r="F7" s="102">
        <f>F6*0.95*0.5/20</f>
        <v>113.615295916988</v>
      </c>
      <c r="G7" s="102">
        <f>F6*0.95/20</f>
        <v>227.230591833975</v>
      </c>
      <c r="H7" s="102">
        <f t="shared" ref="H7:Q7" si="1">G7</f>
        <v>227.230591833975</v>
      </c>
      <c r="I7" s="102">
        <f t="shared" si="1"/>
        <v>227.230591833975</v>
      </c>
      <c r="J7" s="102">
        <f t="shared" si="1"/>
        <v>227.230591833975</v>
      </c>
      <c r="K7" s="102">
        <f t="shared" si="1"/>
        <v>227.230591833975</v>
      </c>
      <c r="L7" s="102">
        <f t="shared" si="1"/>
        <v>227.230591833975</v>
      </c>
      <c r="M7" s="102">
        <f t="shared" si="1"/>
        <v>227.230591833975</v>
      </c>
      <c r="N7" s="102">
        <f t="shared" si="1"/>
        <v>227.230591833975</v>
      </c>
      <c r="O7" s="102">
        <f t="shared" si="1"/>
        <v>227.230591833975</v>
      </c>
      <c r="P7" s="102">
        <f t="shared" si="1"/>
        <v>227.230591833975</v>
      </c>
      <c r="Q7" s="102">
        <f t="shared" si="1"/>
        <v>227.230591833975</v>
      </c>
    </row>
    <row r="8" spans="1:17">
      <c r="A8" s="49">
        <v>1.3</v>
      </c>
      <c r="B8" s="49" t="s">
        <v>93</v>
      </c>
      <c r="C8" s="113"/>
      <c r="D8" s="113"/>
      <c r="E8" s="113"/>
      <c r="F8" s="102">
        <f t="shared" ref="F8:Q8" si="2">F6-F7</f>
        <v>4670.18663742986</v>
      </c>
      <c r="G8" s="102">
        <f t="shared" si="2"/>
        <v>4442.95604559588</v>
      </c>
      <c r="H8" s="102">
        <f t="shared" si="2"/>
        <v>4215.72545376191</v>
      </c>
      <c r="I8" s="102">
        <f t="shared" si="2"/>
        <v>3988.49486192793</v>
      </c>
      <c r="J8" s="102">
        <f t="shared" si="2"/>
        <v>3761.26427009396</v>
      </c>
      <c r="K8" s="102">
        <f t="shared" si="2"/>
        <v>3534.03367825998</v>
      </c>
      <c r="L8" s="102">
        <f t="shared" si="2"/>
        <v>3306.80308642601</v>
      </c>
      <c r="M8" s="102">
        <f t="shared" si="2"/>
        <v>3079.57249459203</v>
      </c>
      <c r="N8" s="102">
        <f t="shared" si="2"/>
        <v>2852.34190275806</v>
      </c>
      <c r="O8" s="102">
        <f t="shared" si="2"/>
        <v>2625.11131092408</v>
      </c>
      <c r="P8" s="102">
        <f t="shared" si="2"/>
        <v>2397.88071909011</v>
      </c>
      <c r="Q8" s="102">
        <f t="shared" si="2"/>
        <v>2170.65012725613</v>
      </c>
    </row>
    <row r="9" spans="1:17">
      <c r="A9" s="49">
        <v>2</v>
      </c>
      <c r="B9" s="49" t="s">
        <v>94</v>
      </c>
      <c r="C9" s="113">
        <f>SUM(F9:Q9)</f>
        <v>2613.15180609072</v>
      </c>
      <c r="D9" s="113"/>
      <c r="E9" s="113"/>
      <c r="F9" s="102">
        <f t="shared" ref="F9:Q9" si="3">F7</f>
        <v>113.615295916988</v>
      </c>
      <c r="G9" s="102">
        <f t="shared" si="3"/>
        <v>227.230591833975</v>
      </c>
      <c r="H9" s="102">
        <f t="shared" si="3"/>
        <v>227.230591833975</v>
      </c>
      <c r="I9" s="102">
        <f t="shared" si="3"/>
        <v>227.230591833975</v>
      </c>
      <c r="J9" s="102">
        <f t="shared" si="3"/>
        <v>227.230591833975</v>
      </c>
      <c r="K9" s="102">
        <f t="shared" si="3"/>
        <v>227.230591833975</v>
      </c>
      <c r="L9" s="102">
        <f t="shared" si="3"/>
        <v>227.230591833975</v>
      </c>
      <c r="M9" s="102">
        <f t="shared" si="3"/>
        <v>227.230591833975</v>
      </c>
      <c r="N9" s="102">
        <f t="shared" si="3"/>
        <v>227.230591833975</v>
      </c>
      <c r="O9" s="102">
        <f t="shared" si="3"/>
        <v>227.230591833975</v>
      </c>
      <c r="P9" s="102">
        <f t="shared" si="3"/>
        <v>227.230591833975</v>
      </c>
      <c r="Q9" s="102">
        <f t="shared" si="3"/>
        <v>227.230591833975</v>
      </c>
    </row>
    <row r="10" spans="1:17">
      <c r="A10" s="49">
        <v>3</v>
      </c>
      <c r="B10" s="49" t="s">
        <v>95</v>
      </c>
      <c r="C10" s="113"/>
      <c r="D10" s="113"/>
      <c r="E10" s="113"/>
      <c r="F10" s="113"/>
      <c r="G10" s="102"/>
      <c r="H10" s="102"/>
      <c r="I10" s="102"/>
      <c r="J10" s="102"/>
      <c r="K10" s="102"/>
      <c r="L10" s="102"/>
      <c r="M10" s="102"/>
      <c r="N10" s="102"/>
      <c r="O10" s="117"/>
      <c r="P10" s="117"/>
      <c r="Q10" s="117"/>
    </row>
    <row r="11" spans="1:17">
      <c r="A11" s="49">
        <v>3.1</v>
      </c>
      <c r="B11" s="49" t="s">
        <v>91</v>
      </c>
      <c r="C11" s="113"/>
      <c r="D11" s="113"/>
      <c r="E11" s="113"/>
      <c r="F11" s="113"/>
      <c r="G11" s="102"/>
      <c r="H11" s="102"/>
      <c r="I11" s="102"/>
      <c r="J11" s="102"/>
      <c r="K11" s="102"/>
      <c r="L11" s="102"/>
      <c r="M11" s="102"/>
      <c r="N11" s="102"/>
      <c r="O11" s="117"/>
      <c r="P11" s="117"/>
      <c r="Q11" s="117"/>
    </row>
    <row r="12" spans="1:17">
      <c r="A12" s="49">
        <v>3.2</v>
      </c>
      <c r="B12" s="49" t="s">
        <v>92</v>
      </c>
      <c r="C12" s="113"/>
      <c r="D12" s="113"/>
      <c r="E12" s="113"/>
      <c r="F12" s="113"/>
      <c r="G12" s="102"/>
      <c r="H12" s="102"/>
      <c r="I12" s="102"/>
      <c r="J12" s="102"/>
      <c r="K12" s="102"/>
      <c r="L12" s="102"/>
      <c r="M12" s="102"/>
      <c r="N12" s="102"/>
      <c r="O12" s="117"/>
      <c r="P12" s="117"/>
      <c r="Q12" s="117"/>
    </row>
    <row r="13" spans="1:17">
      <c r="A13" s="49">
        <v>3.3</v>
      </c>
      <c r="B13" s="49" t="s">
        <v>93</v>
      </c>
      <c r="C13" s="113"/>
      <c r="D13" s="113"/>
      <c r="E13" s="113"/>
      <c r="F13" s="113"/>
      <c r="G13" s="102"/>
      <c r="H13" s="102"/>
      <c r="I13" s="102"/>
      <c r="J13" s="102"/>
      <c r="K13" s="102"/>
      <c r="L13" s="102"/>
      <c r="M13" s="102"/>
      <c r="N13" s="102"/>
      <c r="O13" s="117"/>
      <c r="P13" s="117"/>
      <c r="Q13" s="117"/>
    </row>
  </sheetData>
  <mergeCells count="7">
    <mergeCell ref="A1:O1"/>
    <mergeCell ref="F3:Q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zoomScale="120" zoomScaleNormal="120" workbookViewId="0">
      <selection activeCell="P28" sqref="P28"/>
    </sheetView>
  </sheetViews>
  <sheetFormatPr defaultColWidth="9" defaultRowHeight="14.4"/>
  <cols>
    <col min="1" max="1" width="5.25" style="54" customWidth="1"/>
    <col min="2" max="2" width="16.1296296296296" style="54" customWidth="1"/>
    <col min="3" max="4" width="8.25" style="77" customWidth="1"/>
    <col min="5" max="9" width="9.85185185185185" customWidth="1"/>
    <col min="10" max="10" width="9.85185185185185" style="72" customWidth="1"/>
    <col min="11" max="12" width="9.85185185185185" customWidth="1"/>
    <col min="13" max="13" width="8.12037037037037" customWidth="1"/>
  </cols>
  <sheetData>
    <row r="1" ht="17.45" customHeight="1" spans="1:12">
      <c r="A1" s="32" t="s">
        <v>96</v>
      </c>
      <c r="B1" s="32"/>
      <c r="C1" s="14"/>
      <c r="D1" s="14"/>
      <c r="E1" s="32"/>
      <c r="F1" s="32"/>
      <c r="G1" s="32"/>
      <c r="H1" s="32"/>
      <c r="I1" s="32"/>
      <c r="J1" s="1"/>
      <c r="K1" s="32"/>
      <c r="L1" s="32"/>
    </row>
    <row r="2" spans="12:12">
      <c r="L2" t="s">
        <v>1</v>
      </c>
    </row>
    <row r="3" ht="16.15" customHeight="1" spans="1:15">
      <c r="A3" s="78" t="s">
        <v>2</v>
      </c>
      <c r="B3" s="35" t="s">
        <v>86</v>
      </c>
      <c r="C3" s="36" t="s">
        <v>8</v>
      </c>
      <c r="D3" s="37" t="s">
        <v>89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78"/>
      <c r="B4" s="79"/>
      <c r="C4" s="80"/>
      <c r="D4" s="81">
        <v>0.5</v>
      </c>
      <c r="E4" s="79">
        <v>2</v>
      </c>
      <c r="F4" s="79">
        <v>3</v>
      </c>
      <c r="G4" s="79">
        <v>4</v>
      </c>
      <c r="H4" s="79">
        <v>5</v>
      </c>
      <c r="I4" s="79">
        <v>6</v>
      </c>
      <c r="J4" s="79">
        <v>7</v>
      </c>
      <c r="K4" s="79">
        <v>8</v>
      </c>
      <c r="L4" s="79">
        <v>9</v>
      </c>
      <c r="M4" s="79">
        <v>10</v>
      </c>
      <c r="N4" s="79">
        <v>11</v>
      </c>
      <c r="O4" s="79">
        <v>12</v>
      </c>
    </row>
    <row r="5" s="71" customFormat="1" ht="17" customHeight="1" spans="1:15">
      <c r="A5" s="78" t="s">
        <v>12</v>
      </c>
      <c r="B5" s="78" t="s">
        <v>97</v>
      </c>
      <c r="C5" s="82">
        <f>SUM((E5:O5))</f>
        <v>8583.26019998166</v>
      </c>
      <c r="D5" s="83">
        <f>D6+D12+D27</f>
        <v>389.3439817656</v>
      </c>
      <c r="E5" s="83">
        <f t="shared" ref="E5:O5" si="0">E6+E12+E27</f>
        <v>780.037115197075</v>
      </c>
      <c r="F5" s="83">
        <f t="shared" si="0"/>
        <v>781.392750256287</v>
      </c>
      <c r="G5" s="83">
        <f t="shared" si="0"/>
        <v>782.754842775262</v>
      </c>
      <c r="H5" s="83">
        <f t="shared" si="0"/>
        <v>784.123366924161</v>
      </c>
      <c r="I5" s="83">
        <f t="shared" si="0"/>
        <v>784.013296976464</v>
      </c>
      <c r="J5" s="83">
        <f t="shared" si="0"/>
        <v>782.424607308558</v>
      </c>
      <c r="K5" s="83">
        <f t="shared" si="0"/>
        <v>780.842272399324</v>
      </c>
      <c r="L5" s="83">
        <f t="shared" si="0"/>
        <v>779.266266829727</v>
      </c>
      <c r="M5" s="83">
        <f t="shared" si="0"/>
        <v>777.696565282408</v>
      </c>
      <c r="N5" s="83">
        <f t="shared" si="0"/>
        <v>776.133142541278</v>
      </c>
      <c r="O5" s="83">
        <f t="shared" si="0"/>
        <v>774.575973491114</v>
      </c>
    </row>
    <row r="6" s="72" customFormat="1" ht="13" customHeight="1" spans="1:15">
      <c r="A6" s="84">
        <v>1</v>
      </c>
      <c r="B6" s="64" t="s">
        <v>98</v>
      </c>
      <c r="C6" s="82">
        <f>SUM((E6:O6))</f>
        <v>4351.77051998166</v>
      </c>
      <c r="D6" s="23">
        <f t="shared" ref="D6:O6" si="1">D7*D9*D10*D11/10000</f>
        <v>202.6060417656</v>
      </c>
      <c r="E6" s="23">
        <f t="shared" si="1"/>
        <v>403.591235197075</v>
      </c>
      <c r="F6" s="23">
        <f t="shared" si="1"/>
        <v>401.976870256287</v>
      </c>
      <c r="G6" s="23">
        <f t="shared" si="1"/>
        <v>400.368962775262</v>
      </c>
      <c r="H6" s="23">
        <f t="shared" si="1"/>
        <v>398.767486924161</v>
      </c>
      <c r="I6" s="23">
        <f t="shared" si="1"/>
        <v>397.172416976464</v>
      </c>
      <c r="J6" s="23">
        <f t="shared" si="1"/>
        <v>395.583727308558</v>
      </c>
      <c r="K6" s="23">
        <f t="shared" si="1"/>
        <v>394.001392399324</v>
      </c>
      <c r="L6" s="23">
        <f t="shared" si="1"/>
        <v>392.425386829727</v>
      </c>
      <c r="M6" s="23">
        <f t="shared" si="1"/>
        <v>390.855685282408</v>
      </c>
      <c r="N6" s="23">
        <f t="shared" si="1"/>
        <v>389.292262541278</v>
      </c>
      <c r="O6" s="23">
        <f t="shared" si="1"/>
        <v>387.735093491114</v>
      </c>
    </row>
    <row r="7" customFormat="1" ht="12" customHeight="1" spans="1:15">
      <c r="A7" s="41">
        <f>A6+0.1</f>
        <v>1.1</v>
      </c>
      <c r="B7" s="64" t="s">
        <v>99</v>
      </c>
      <c r="C7" s="61"/>
      <c r="D7" s="23">
        <f>5956*(1-D8)</f>
        <v>5896.44</v>
      </c>
      <c r="E7" s="85">
        <f t="shared" ref="E7:O7" si="2">D7*(1-E8)</f>
        <v>5872.85424</v>
      </c>
      <c r="F7" s="85">
        <f t="shared" si="2"/>
        <v>5849.36282304</v>
      </c>
      <c r="G7" s="85">
        <f t="shared" si="2"/>
        <v>5825.96537174784</v>
      </c>
      <c r="H7" s="85">
        <f t="shared" si="2"/>
        <v>5802.66151026085</v>
      </c>
      <c r="I7" s="85">
        <f t="shared" si="2"/>
        <v>5779.45086421981</v>
      </c>
      <c r="J7" s="85">
        <f t="shared" si="2"/>
        <v>5756.33306076293</v>
      </c>
      <c r="K7" s="85">
        <f t="shared" si="2"/>
        <v>5733.30772851988</v>
      </c>
      <c r="L7" s="85">
        <f t="shared" si="2"/>
        <v>5710.3744976058</v>
      </c>
      <c r="M7" s="85">
        <f t="shared" si="2"/>
        <v>5687.53299961537</v>
      </c>
      <c r="N7" s="85">
        <f t="shared" si="2"/>
        <v>5664.78286761691</v>
      </c>
      <c r="O7" s="85">
        <f t="shared" si="2"/>
        <v>5642.12373614645</v>
      </c>
    </row>
    <row r="8" s="73" customFormat="1" ht="12" customHeight="1" spans="1:15">
      <c r="A8" s="41">
        <f>A7+0.1</f>
        <v>1.2</v>
      </c>
      <c r="B8" s="86" t="s">
        <v>100</v>
      </c>
      <c r="C8" s="87"/>
      <c r="D8" s="88">
        <v>0.01</v>
      </c>
      <c r="E8" s="89">
        <v>0.004</v>
      </c>
      <c r="F8" s="88">
        <f t="shared" ref="F8:O8" si="3">E8</f>
        <v>0.004</v>
      </c>
      <c r="G8" s="88">
        <f t="shared" si="3"/>
        <v>0.004</v>
      </c>
      <c r="H8" s="88">
        <f t="shared" si="3"/>
        <v>0.004</v>
      </c>
      <c r="I8" s="88">
        <f t="shared" si="3"/>
        <v>0.004</v>
      </c>
      <c r="J8" s="88">
        <f t="shared" si="3"/>
        <v>0.004</v>
      </c>
      <c r="K8" s="88">
        <f t="shared" si="3"/>
        <v>0.004</v>
      </c>
      <c r="L8" s="88">
        <f t="shared" si="3"/>
        <v>0.004</v>
      </c>
      <c r="M8" s="88">
        <f t="shared" si="3"/>
        <v>0.004</v>
      </c>
      <c r="N8" s="88">
        <f t="shared" si="3"/>
        <v>0.004</v>
      </c>
      <c r="O8" s="88">
        <f t="shared" si="3"/>
        <v>0.004</v>
      </c>
    </row>
    <row r="9" customFormat="1" ht="23" customHeight="1" spans="1:15">
      <c r="A9" s="41">
        <f>A8+0.1</f>
        <v>1.3</v>
      </c>
      <c r="B9" s="64" t="s">
        <v>101</v>
      </c>
      <c r="C9" s="61"/>
      <c r="D9" s="23">
        <v>3.349</v>
      </c>
      <c r="E9" s="85">
        <v>3.349</v>
      </c>
      <c r="F9" s="23">
        <v>3.349</v>
      </c>
      <c r="G9" s="23">
        <v>3.349</v>
      </c>
      <c r="H9" s="23">
        <v>3.349</v>
      </c>
      <c r="I9" s="23">
        <v>3.349</v>
      </c>
      <c r="J9" s="23">
        <v>3.349</v>
      </c>
      <c r="K9" s="23">
        <v>3.349</v>
      </c>
      <c r="L9" s="23">
        <v>3.349</v>
      </c>
      <c r="M9" s="23">
        <v>3.349</v>
      </c>
      <c r="N9" s="23">
        <v>3.349</v>
      </c>
      <c r="O9" s="23">
        <v>3.349</v>
      </c>
    </row>
    <row r="10" customFormat="1" ht="12" customHeight="1" spans="1:15">
      <c r="A10" s="41">
        <f>A9+0.1</f>
        <v>1.4</v>
      </c>
      <c r="B10" s="64" t="s">
        <v>102</v>
      </c>
      <c r="C10" s="61"/>
      <c r="D10" s="23">
        <v>180</v>
      </c>
      <c r="E10" s="85">
        <v>360</v>
      </c>
      <c r="F10" s="23">
        <f t="shared" ref="F10:O10" si="4">E10</f>
        <v>360</v>
      </c>
      <c r="G10" s="23">
        <f t="shared" si="4"/>
        <v>360</v>
      </c>
      <c r="H10" s="23">
        <f t="shared" si="4"/>
        <v>360</v>
      </c>
      <c r="I10" s="23">
        <f t="shared" si="4"/>
        <v>360</v>
      </c>
      <c r="J10" s="23">
        <f t="shared" si="4"/>
        <v>360</v>
      </c>
      <c r="K10" s="23">
        <f t="shared" si="4"/>
        <v>360</v>
      </c>
      <c r="L10" s="23">
        <f t="shared" si="4"/>
        <v>360</v>
      </c>
      <c r="M10" s="23">
        <f t="shared" si="4"/>
        <v>360</v>
      </c>
      <c r="N10" s="23">
        <f t="shared" si="4"/>
        <v>360</v>
      </c>
      <c r="O10" s="23">
        <f t="shared" si="4"/>
        <v>360</v>
      </c>
    </row>
    <row r="11" customFormat="1" ht="12" customHeight="1" spans="1:15">
      <c r="A11" s="41">
        <f>A10+0.1</f>
        <v>1.5</v>
      </c>
      <c r="B11" s="64" t="s">
        <v>103</v>
      </c>
      <c r="C11" s="61"/>
      <c r="D11" s="23">
        <v>0.57</v>
      </c>
      <c r="E11" s="85">
        <f t="shared" ref="E11:O11" si="5">D11</f>
        <v>0.57</v>
      </c>
      <c r="F11" s="85">
        <f t="shared" si="5"/>
        <v>0.57</v>
      </c>
      <c r="G11" s="85">
        <f t="shared" si="5"/>
        <v>0.57</v>
      </c>
      <c r="H11" s="85">
        <f t="shared" si="5"/>
        <v>0.57</v>
      </c>
      <c r="I11" s="85">
        <f t="shared" si="5"/>
        <v>0.57</v>
      </c>
      <c r="J11" s="85">
        <f t="shared" si="5"/>
        <v>0.57</v>
      </c>
      <c r="K11" s="85">
        <f t="shared" si="5"/>
        <v>0.57</v>
      </c>
      <c r="L11" s="85">
        <f t="shared" si="5"/>
        <v>0.57</v>
      </c>
      <c r="M11" s="85">
        <f t="shared" si="5"/>
        <v>0.57</v>
      </c>
      <c r="N11" s="85">
        <f t="shared" si="5"/>
        <v>0.57</v>
      </c>
      <c r="O11" s="85">
        <f t="shared" si="5"/>
        <v>0.57</v>
      </c>
    </row>
    <row r="12" customFormat="1" ht="16" customHeight="1" spans="1:15">
      <c r="A12" s="90">
        <v>2</v>
      </c>
      <c r="B12" s="91" t="s">
        <v>104</v>
      </c>
      <c r="C12" s="82"/>
      <c r="D12" s="83">
        <f>D13+D18+D23</f>
        <v>179.31294</v>
      </c>
      <c r="E12" s="83">
        <f t="shared" ref="E12:O12" si="6">E13+E18+E23</f>
        <v>358.62588</v>
      </c>
      <c r="F12" s="83">
        <f t="shared" si="6"/>
        <v>358.62588</v>
      </c>
      <c r="G12" s="83">
        <f t="shared" si="6"/>
        <v>358.62588</v>
      </c>
      <c r="H12" s="83">
        <f t="shared" si="6"/>
        <v>358.62588</v>
      </c>
      <c r="I12" s="83">
        <f t="shared" si="6"/>
        <v>358.62588</v>
      </c>
      <c r="J12" s="83">
        <f t="shared" si="6"/>
        <v>358.62588</v>
      </c>
      <c r="K12" s="83">
        <f t="shared" si="6"/>
        <v>358.62588</v>
      </c>
      <c r="L12" s="83">
        <f t="shared" si="6"/>
        <v>358.62588</v>
      </c>
      <c r="M12" s="83">
        <f t="shared" si="6"/>
        <v>358.62588</v>
      </c>
      <c r="N12" s="83">
        <f t="shared" si="6"/>
        <v>358.62588</v>
      </c>
      <c r="O12" s="83">
        <f t="shared" si="6"/>
        <v>358.62588</v>
      </c>
    </row>
    <row r="13" s="71" customFormat="1" ht="19" customHeight="1" spans="1:15">
      <c r="A13" s="92">
        <v>2.1</v>
      </c>
      <c r="B13" s="78" t="s">
        <v>105</v>
      </c>
      <c r="C13" s="82">
        <f>SUM((D13:O13))</f>
        <v>2913.732</v>
      </c>
      <c r="D13" s="83">
        <f>D16*D17*D14*D15*180/10000</f>
        <v>126.684</v>
      </c>
      <c r="E13" s="83">
        <f>E16*E17*E14*E15*360/10000</f>
        <v>253.368</v>
      </c>
      <c r="F13" s="83">
        <f t="shared" ref="F13:O13" si="7">F16*F17*F14*F15*360/10000</f>
        <v>253.368</v>
      </c>
      <c r="G13" s="83">
        <f t="shared" si="7"/>
        <v>253.368</v>
      </c>
      <c r="H13" s="83">
        <f t="shared" si="7"/>
        <v>253.368</v>
      </c>
      <c r="I13" s="83">
        <f t="shared" si="7"/>
        <v>253.368</v>
      </c>
      <c r="J13" s="83">
        <f t="shared" si="7"/>
        <v>253.368</v>
      </c>
      <c r="K13" s="83">
        <f t="shared" si="7"/>
        <v>253.368</v>
      </c>
      <c r="L13" s="83">
        <f t="shared" si="7"/>
        <v>253.368</v>
      </c>
      <c r="M13" s="83">
        <f t="shared" si="7"/>
        <v>253.368</v>
      </c>
      <c r="N13" s="83">
        <f t="shared" si="7"/>
        <v>253.368</v>
      </c>
      <c r="O13" s="83">
        <f t="shared" si="7"/>
        <v>253.368</v>
      </c>
    </row>
    <row r="14" s="74" customFormat="1" ht="12" customHeight="1" spans="1:15">
      <c r="A14" s="61" t="s">
        <v>106</v>
      </c>
      <c r="B14" s="42" t="s">
        <v>107</v>
      </c>
      <c r="C14" s="61"/>
      <c r="D14" s="93">
        <v>0.9</v>
      </c>
      <c r="E14" s="93">
        <f t="shared" ref="E14:E22" si="8">D14</f>
        <v>0.9</v>
      </c>
      <c r="F14" s="93">
        <f t="shared" ref="F14:O14" si="9">E14</f>
        <v>0.9</v>
      </c>
      <c r="G14" s="93">
        <f t="shared" si="9"/>
        <v>0.9</v>
      </c>
      <c r="H14" s="93">
        <f t="shared" si="9"/>
        <v>0.9</v>
      </c>
      <c r="I14" s="93">
        <f t="shared" si="9"/>
        <v>0.9</v>
      </c>
      <c r="J14" s="93">
        <f t="shared" si="9"/>
        <v>0.9</v>
      </c>
      <c r="K14" s="93">
        <f t="shared" si="9"/>
        <v>0.9</v>
      </c>
      <c r="L14" s="93">
        <f t="shared" si="9"/>
        <v>0.9</v>
      </c>
      <c r="M14" s="93">
        <f t="shared" si="9"/>
        <v>0.9</v>
      </c>
      <c r="N14" s="93">
        <f t="shared" si="9"/>
        <v>0.9</v>
      </c>
      <c r="O14" s="93">
        <f t="shared" si="9"/>
        <v>0.9</v>
      </c>
    </row>
    <row r="15" customFormat="1" ht="12" customHeight="1" spans="1:15">
      <c r="A15" s="61" t="s">
        <v>108</v>
      </c>
      <c r="B15" s="42" t="s">
        <v>109</v>
      </c>
      <c r="C15" s="61"/>
      <c r="D15" s="93">
        <v>0.92</v>
      </c>
      <c r="E15" s="93">
        <f t="shared" si="8"/>
        <v>0.92</v>
      </c>
      <c r="F15" s="93">
        <f t="shared" ref="F15:O15" si="10">E15</f>
        <v>0.92</v>
      </c>
      <c r="G15" s="93">
        <f t="shared" si="10"/>
        <v>0.92</v>
      </c>
      <c r="H15" s="93">
        <f t="shared" si="10"/>
        <v>0.92</v>
      </c>
      <c r="I15" s="93">
        <f t="shared" si="10"/>
        <v>0.92</v>
      </c>
      <c r="J15" s="93">
        <f t="shared" si="10"/>
        <v>0.92</v>
      </c>
      <c r="K15" s="93">
        <f t="shared" si="10"/>
        <v>0.92</v>
      </c>
      <c r="L15" s="93">
        <f t="shared" si="10"/>
        <v>0.92</v>
      </c>
      <c r="M15" s="93">
        <f t="shared" si="10"/>
        <v>0.92</v>
      </c>
      <c r="N15" s="93">
        <f t="shared" si="10"/>
        <v>0.92</v>
      </c>
      <c r="O15" s="93">
        <f t="shared" si="10"/>
        <v>0.92</v>
      </c>
    </row>
    <row r="16" ht="12" customHeight="1" spans="1:15">
      <c r="A16" s="61" t="s">
        <v>110</v>
      </c>
      <c r="B16" s="42" t="s">
        <v>111</v>
      </c>
      <c r="C16" s="61"/>
      <c r="D16" s="23">
        <f>0.5</f>
        <v>0.5</v>
      </c>
      <c r="E16" s="42">
        <f t="shared" ref="E16:O16" si="11">D16</f>
        <v>0.5</v>
      </c>
      <c r="F16" s="42">
        <f t="shared" si="11"/>
        <v>0.5</v>
      </c>
      <c r="G16" s="42">
        <f t="shared" si="11"/>
        <v>0.5</v>
      </c>
      <c r="H16" s="42">
        <f t="shared" si="11"/>
        <v>0.5</v>
      </c>
      <c r="I16" s="42">
        <f t="shared" si="11"/>
        <v>0.5</v>
      </c>
      <c r="J16" s="46">
        <f t="shared" si="11"/>
        <v>0.5</v>
      </c>
      <c r="K16" s="42">
        <f t="shared" si="11"/>
        <v>0.5</v>
      </c>
      <c r="L16" s="42">
        <f t="shared" si="11"/>
        <v>0.5</v>
      </c>
      <c r="M16" s="42">
        <f t="shared" si="11"/>
        <v>0.5</v>
      </c>
      <c r="N16" s="42">
        <f t="shared" si="11"/>
        <v>0.5</v>
      </c>
      <c r="O16" s="42">
        <f t="shared" si="11"/>
        <v>0.5</v>
      </c>
    </row>
    <row r="17" s="75" customFormat="1" ht="12" customHeight="1" spans="1:15">
      <c r="A17" s="61" t="s">
        <v>112</v>
      </c>
      <c r="B17" s="94" t="s">
        <v>113</v>
      </c>
      <c r="C17" s="95"/>
      <c r="D17" s="23">
        <f>17000</f>
        <v>17000</v>
      </c>
      <c r="E17" s="23">
        <f t="shared" si="8"/>
        <v>17000</v>
      </c>
      <c r="F17" s="23">
        <f t="shared" ref="F17:O17" si="12">E17</f>
        <v>17000</v>
      </c>
      <c r="G17" s="23">
        <f t="shared" si="12"/>
        <v>17000</v>
      </c>
      <c r="H17" s="23">
        <f t="shared" si="12"/>
        <v>17000</v>
      </c>
      <c r="I17" s="23">
        <f t="shared" si="12"/>
        <v>17000</v>
      </c>
      <c r="J17" s="23">
        <f t="shared" si="12"/>
        <v>17000</v>
      </c>
      <c r="K17" s="23">
        <f t="shared" si="12"/>
        <v>17000</v>
      </c>
      <c r="L17" s="23">
        <f t="shared" si="12"/>
        <v>17000</v>
      </c>
      <c r="M17" s="23">
        <f t="shared" si="12"/>
        <v>17000</v>
      </c>
      <c r="N17" s="23">
        <f t="shared" si="12"/>
        <v>17000</v>
      </c>
      <c r="O17" s="23">
        <f t="shared" si="12"/>
        <v>17000</v>
      </c>
    </row>
    <row r="18" s="71" customFormat="1" ht="14" customHeight="1" spans="1:15">
      <c r="A18" s="96">
        <v>2.2</v>
      </c>
      <c r="B18" s="78" t="s">
        <v>114</v>
      </c>
      <c r="C18" s="82"/>
      <c r="D18" s="83">
        <f>D19*D20*D21*D22*180/10000</f>
        <v>25.3368</v>
      </c>
      <c r="E18" s="83">
        <f>E19*E20*E21*E22*360/10000</f>
        <v>50.6736</v>
      </c>
      <c r="F18" s="83">
        <f t="shared" ref="F18:O18" si="13">F19*F20*F21*F22*360/10000</f>
        <v>50.6736</v>
      </c>
      <c r="G18" s="83">
        <f t="shared" si="13"/>
        <v>50.6736</v>
      </c>
      <c r="H18" s="83">
        <f t="shared" si="13"/>
        <v>50.6736</v>
      </c>
      <c r="I18" s="83">
        <f t="shared" si="13"/>
        <v>50.6736</v>
      </c>
      <c r="J18" s="83">
        <f t="shared" si="13"/>
        <v>50.6736</v>
      </c>
      <c r="K18" s="83">
        <f t="shared" si="13"/>
        <v>50.6736</v>
      </c>
      <c r="L18" s="83">
        <f t="shared" si="13"/>
        <v>50.6736</v>
      </c>
      <c r="M18" s="83">
        <f t="shared" si="13"/>
        <v>50.6736</v>
      </c>
      <c r="N18" s="83">
        <f t="shared" si="13"/>
        <v>50.6736</v>
      </c>
      <c r="O18" s="83">
        <f t="shared" si="13"/>
        <v>50.6736</v>
      </c>
    </row>
    <row r="19" s="71" customFormat="1" ht="13" customHeight="1" spans="1:15">
      <c r="A19" s="96" t="s">
        <v>115</v>
      </c>
      <c r="B19" s="42" t="s">
        <v>107</v>
      </c>
      <c r="C19" s="61"/>
      <c r="D19" s="93">
        <v>0.9</v>
      </c>
      <c r="E19" s="93">
        <f t="shared" si="8"/>
        <v>0.9</v>
      </c>
      <c r="F19" s="93">
        <f t="shared" ref="F19:O19" si="14">E19</f>
        <v>0.9</v>
      </c>
      <c r="G19" s="93">
        <f t="shared" si="14"/>
        <v>0.9</v>
      </c>
      <c r="H19" s="93">
        <f t="shared" si="14"/>
        <v>0.9</v>
      </c>
      <c r="I19" s="93">
        <f t="shared" si="14"/>
        <v>0.9</v>
      </c>
      <c r="J19" s="93">
        <f t="shared" si="14"/>
        <v>0.9</v>
      </c>
      <c r="K19" s="93">
        <f t="shared" si="14"/>
        <v>0.9</v>
      </c>
      <c r="L19" s="93">
        <f t="shared" si="14"/>
        <v>0.9</v>
      </c>
      <c r="M19" s="93">
        <f t="shared" si="14"/>
        <v>0.9</v>
      </c>
      <c r="N19" s="93">
        <f t="shared" si="14"/>
        <v>0.9</v>
      </c>
      <c r="O19" s="93">
        <f t="shared" si="14"/>
        <v>0.9</v>
      </c>
    </row>
    <row r="20" s="71" customFormat="1" ht="13" customHeight="1" spans="1:15">
      <c r="A20" s="96" t="s">
        <v>116</v>
      </c>
      <c r="B20" s="42" t="s">
        <v>109</v>
      </c>
      <c r="C20" s="61"/>
      <c r="D20" s="93">
        <v>0.92</v>
      </c>
      <c r="E20" s="93">
        <f t="shared" si="8"/>
        <v>0.92</v>
      </c>
      <c r="F20" s="93">
        <f t="shared" ref="F20:O20" si="15">E20</f>
        <v>0.92</v>
      </c>
      <c r="G20" s="93">
        <f t="shared" si="15"/>
        <v>0.92</v>
      </c>
      <c r="H20" s="93">
        <f t="shared" si="15"/>
        <v>0.92</v>
      </c>
      <c r="I20" s="93">
        <f t="shared" si="15"/>
        <v>0.92</v>
      </c>
      <c r="J20" s="93">
        <f t="shared" si="15"/>
        <v>0.92</v>
      </c>
      <c r="K20" s="93">
        <f t="shared" si="15"/>
        <v>0.92</v>
      </c>
      <c r="L20" s="93">
        <f t="shared" si="15"/>
        <v>0.92</v>
      </c>
      <c r="M20" s="93">
        <f t="shared" si="15"/>
        <v>0.92</v>
      </c>
      <c r="N20" s="93">
        <f t="shared" si="15"/>
        <v>0.92</v>
      </c>
      <c r="O20" s="93">
        <f t="shared" si="15"/>
        <v>0.92</v>
      </c>
    </row>
    <row r="21" s="71" customFormat="1" ht="13" customHeight="1" spans="1:15">
      <c r="A21" s="96" t="s">
        <v>117</v>
      </c>
      <c r="B21" s="42" t="s">
        <v>118</v>
      </c>
      <c r="C21" s="61"/>
      <c r="D21" s="23">
        <f>0.2</f>
        <v>0.2</v>
      </c>
      <c r="E21" s="42">
        <f t="shared" si="8"/>
        <v>0.2</v>
      </c>
      <c r="F21" s="42">
        <f t="shared" ref="F21:O21" si="16">E21</f>
        <v>0.2</v>
      </c>
      <c r="G21" s="42">
        <f t="shared" si="16"/>
        <v>0.2</v>
      </c>
      <c r="H21" s="42">
        <f t="shared" si="16"/>
        <v>0.2</v>
      </c>
      <c r="I21" s="42">
        <f t="shared" si="16"/>
        <v>0.2</v>
      </c>
      <c r="J21" s="46">
        <f t="shared" si="16"/>
        <v>0.2</v>
      </c>
      <c r="K21" s="42">
        <f t="shared" si="16"/>
        <v>0.2</v>
      </c>
      <c r="L21" s="42">
        <f t="shared" si="16"/>
        <v>0.2</v>
      </c>
      <c r="M21" s="42">
        <f t="shared" si="16"/>
        <v>0.2</v>
      </c>
      <c r="N21" s="42">
        <f t="shared" si="16"/>
        <v>0.2</v>
      </c>
      <c r="O21" s="42">
        <f t="shared" si="16"/>
        <v>0.2</v>
      </c>
    </row>
    <row r="22" s="71" customFormat="1" ht="13" customHeight="1" spans="1:15">
      <c r="A22" s="96" t="s">
        <v>119</v>
      </c>
      <c r="B22" s="94" t="s">
        <v>113</v>
      </c>
      <c r="C22" s="95"/>
      <c r="D22" s="23">
        <f>8500</f>
        <v>8500</v>
      </c>
      <c r="E22" s="23">
        <f t="shared" si="8"/>
        <v>8500</v>
      </c>
      <c r="F22" s="23">
        <f t="shared" ref="F22:O22" si="17">E22</f>
        <v>8500</v>
      </c>
      <c r="G22" s="23">
        <f t="shared" si="17"/>
        <v>8500</v>
      </c>
      <c r="H22" s="23">
        <f t="shared" si="17"/>
        <v>8500</v>
      </c>
      <c r="I22" s="23">
        <f t="shared" si="17"/>
        <v>8500</v>
      </c>
      <c r="J22" s="23">
        <f t="shared" si="17"/>
        <v>8500</v>
      </c>
      <c r="K22" s="23">
        <f t="shared" si="17"/>
        <v>8500</v>
      </c>
      <c r="L22" s="23">
        <f t="shared" si="17"/>
        <v>8500</v>
      </c>
      <c r="M22" s="23">
        <f t="shared" si="17"/>
        <v>8500</v>
      </c>
      <c r="N22" s="23">
        <f t="shared" si="17"/>
        <v>8500</v>
      </c>
      <c r="O22" s="23">
        <f t="shared" si="17"/>
        <v>8500</v>
      </c>
    </row>
    <row r="23" s="71" customFormat="1" ht="14" customHeight="1" spans="1:15">
      <c r="A23" s="96">
        <v>2.3</v>
      </c>
      <c r="B23" s="78" t="s">
        <v>120</v>
      </c>
      <c r="C23" s="82"/>
      <c r="D23" s="83">
        <f>D24*D25*D26*180/10000</f>
        <v>27.29214</v>
      </c>
      <c r="E23" s="83">
        <f>E24*E25*E26*360/10000</f>
        <v>54.58428</v>
      </c>
      <c r="F23" s="83">
        <f>F24*F25*F26*360/10000</f>
        <v>54.58428</v>
      </c>
      <c r="G23" s="83">
        <f>G24*G25*G26*360/10000</f>
        <v>54.58428</v>
      </c>
      <c r="H23" s="83">
        <f t="shared" ref="F23:O23" si="18">H24*H25*H26*360/10000</f>
        <v>54.58428</v>
      </c>
      <c r="I23" s="83">
        <f t="shared" si="18"/>
        <v>54.58428</v>
      </c>
      <c r="J23" s="83">
        <f t="shared" si="18"/>
        <v>54.58428</v>
      </c>
      <c r="K23" s="83">
        <f t="shared" si="18"/>
        <v>54.58428</v>
      </c>
      <c r="L23" s="83">
        <f t="shared" si="18"/>
        <v>54.58428</v>
      </c>
      <c r="M23" s="83">
        <f t="shared" si="18"/>
        <v>54.58428</v>
      </c>
      <c r="N23" s="83">
        <f t="shared" si="18"/>
        <v>54.58428</v>
      </c>
      <c r="O23" s="83">
        <f t="shared" si="18"/>
        <v>54.58428</v>
      </c>
    </row>
    <row r="24" s="71" customFormat="1" ht="17" customHeight="1" spans="1:15">
      <c r="A24" s="96" t="s">
        <v>121</v>
      </c>
      <c r="B24" s="42" t="s">
        <v>107</v>
      </c>
      <c r="C24" s="61"/>
      <c r="D24" s="93">
        <v>0.9</v>
      </c>
      <c r="E24" s="93">
        <f t="shared" ref="E24:O24" si="19">D24</f>
        <v>0.9</v>
      </c>
      <c r="F24" s="93">
        <f t="shared" si="19"/>
        <v>0.9</v>
      </c>
      <c r="G24" s="93">
        <f t="shared" si="19"/>
        <v>0.9</v>
      </c>
      <c r="H24" s="93">
        <f t="shared" si="19"/>
        <v>0.9</v>
      </c>
      <c r="I24" s="93">
        <f t="shared" si="19"/>
        <v>0.9</v>
      </c>
      <c r="J24" s="93">
        <f t="shared" si="19"/>
        <v>0.9</v>
      </c>
      <c r="K24" s="93">
        <f t="shared" si="19"/>
        <v>0.9</v>
      </c>
      <c r="L24" s="93">
        <f t="shared" si="19"/>
        <v>0.9</v>
      </c>
      <c r="M24" s="93">
        <f t="shared" si="19"/>
        <v>0.9</v>
      </c>
      <c r="N24" s="93">
        <f t="shared" si="19"/>
        <v>0.9</v>
      </c>
      <c r="O24" s="93">
        <f t="shared" si="19"/>
        <v>0.9</v>
      </c>
    </row>
    <row r="25" s="71" customFormat="1" ht="17" customHeight="1" spans="1:16">
      <c r="A25" s="96" t="s">
        <v>122</v>
      </c>
      <c r="B25" s="42" t="s">
        <v>111</v>
      </c>
      <c r="C25" s="61"/>
      <c r="D25" s="23">
        <f>0.0991</f>
        <v>0.0991</v>
      </c>
      <c r="E25" s="23">
        <f t="shared" ref="E25:O25" si="20">D25</f>
        <v>0.0991</v>
      </c>
      <c r="F25" s="23">
        <f t="shared" si="20"/>
        <v>0.0991</v>
      </c>
      <c r="G25" s="23">
        <f t="shared" si="20"/>
        <v>0.0991</v>
      </c>
      <c r="H25" s="23">
        <f t="shared" si="20"/>
        <v>0.0991</v>
      </c>
      <c r="I25" s="23">
        <f t="shared" si="20"/>
        <v>0.0991</v>
      </c>
      <c r="J25" s="25">
        <f t="shared" si="20"/>
        <v>0.0991</v>
      </c>
      <c r="K25" s="23">
        <f t="shared" si="20"/>
        <v>0.0991</v>
      </c>
      <c r="L25" s="23">
        <f t="shared" si="20"/>
        <v>0.0991</v>
      </c>
      <c r="M25" s="23">
        <f t="shared" si="20"/>
        <v>0.0991</v>
      </c>
      <c r="N25" s="23">
        <f t="shared" si="20"/>
        <v>0.0991</v>
      </c>
      <c r="O25" s="23">
        <f t="shared" si="20"/>
        <v>0.0991</v>
      </c>
      <c r="P25" s="71" t="s">
        <v>123</v>
      </c>
    </row>
    <row r="26" s="71" customFormat="1" ht="17" customHeight="1" spans="1:15">
      <c r="A26" s="96" t="s">
        <v>124</v>
      </c>
      <c r="B26" s="94" t="s">
        <v>113</v>
      </c>
      <c r="C26" s="95"/>
      <c r="D26" s="23">
        <f>17000</f>
        <v>17000</v>
      </c>
      <c r="E26" s="23">
        <f t="shared" ref="E26:O26" si="21">D26</f>
        <v>17000</v>
      </c>
      <c r="F26" s="23">
        <f t="shared" si="21"/>
        <v>17000</v>
      </c>
      <c r="G26" s="23">
        <f t="shared" si="21"/>
        <v>17000</v>
      </c>
      <c r="H26" s="23">
        <f t="shared" si="21"/>
        <v>17000</v>
      </c>
      <c r="I26" s="23">
        <f t="shared" si="21"/>
        <v>17000</v>
      </c>
      <c r="J26" s="23">
        <f t="shared" si="21"/>
        <v>17000</v>
      </c>
      <c r="K26" s="23">
        <f t="shared" si="21"/>
        <v>17000</v>
      </c>
      <c r="L26" s="23">
        <f t="shared" si="21"/>
        <v>17000</v>
      </c>
      <c r="M26" s="23">
        <f t="shared" si="21"/>
        <v>17000</v>
      </c>
      <c r="N26" s="23">
        <f t="shared" si="21"/>
        <v>17000</v>
      </c>
      <c r="O26" s="23">
        <f t="shared" si="21"/>
        <v>17000</v>
      </c>
    </row>
    <row r="27" s="71" customFormat="1" ht="17" customHeight="1" spans="1:15">
      <c r="A27" s="96">
        <v>1.4</v>
      </c>
      <c r="B27" s="78" t="s">
        <v>125</v>
      </c>
      <c r="C27" s="82">
        <f>SUM(D27:O27)</f>
        <v>294.03</v>
      </c>
      <c r="D27" s="83">
        <f t="shared" ref="D27:O27" si="22">D28*D29*D30*D31*D32*D33/10000</f>
        <v>7.425</v>
      </c>
      <c r="E27" s="83">
        <f t="shared" si="22"/>
        <v>17.82</v>
      </c>
      <c r="F27" s="83">
        <f t="shared" si="22"/>
        <v>20.79</v>
      </c>
      <c r="G27" s="83">
        <f t="shared" si="22"/>
        <v>23.76</v>
      </c>
      <c r="H27" s="83">
        <f t="shared" si="22"/>
        <v>26.73</v>
      </c>
      <c r="I27" s="83">
        <f t="shared" si="22"/>
        <v>28.215</v>
      </c>
      <c r="J27" s="83">
        <f t="shared" si="22"/>
        <v>28.215</v>
      </c>
      <c r="K27" s="83">
        <f t="shared" si="22"/>
        <v>28.215</v>
      </c>
      <c r="L27" s="83">
        <f t="shared" si="22"/>
        <v>28.215</v>
      </c>
      <c r="M27" s="83">
        <f t="shared" si="22"/>
        <v>28.215</v>
      </c>
      <c r="N27" s="83">
        <f t="shared" si="22"/>
        <v>28.215</v>
      </c>
      <c r="O27" s="83">
        <f t="shared" si="22"/>
        <v>28.215</v>
      </c>
    </row>
    <row r="28" customFormat="1" ht="12" customHeight="1" spans="1:15">
      <c r="A28" s="97" t="s">
        <v>126</v>
      </c>
      <c r="B28" s="94" t="s">
        <v>127</v>
      </c>
      <c r="C28" s="61"/>
      <c r="D28" s="23">
        <v>5</v>
      </c>
      <c r="E28" s="23">
        <f t="shared" ref="E28:O28" si="23">D28</f>
        <v>5</v>
      </c>
      <c r="F28" s="23">
        <f t="shared" si="23"/>
        <v>5</v>
      </c>
      <c r="G28" s="23">
        <f t="shared" si="23"/>
        <v>5</v>
      </c>
      <c r="H28" s="23">
        <f t="shared" si="23"/>
        <v>5</v>
      </c>
      <c r="I28" s="23">
        <f t="shared" si="23"/>
        <v>5</v>
      </c>
      <c r="J28" s="23">
        <f t="shared" si="23"/>
        <v>5</v>
      </c>
      <c r="K28" s="23">
        <f t="shared" si="23"/>
        <v>5</v>
      </c>
      <c r="L28" s="23">
        <f t="shared" si="23"/>
        <v>5</v>
      </c>
      <c r="M28" s="23">
        <f t="shared" si="23"/>
        <v>5</v>
      </c>
      <c r="N28" s="23">
        <f t="shared" si="23"/>
        <v>5</v>
      </c>
      <c r="O28" s="23">
        <f t="shared" si="23"/>
        <v>5</v>
      </c>
    </row>
    <row r="29" s="76" customFormat="1" ht="12" customHeight="1" spans="1:15">
      <c r="A29" s="98" t="s">
        <v>128</v>
      </c>
      <c r="B29" s="93" t="s">
        <v>129</v>
      </c>
      <c r="C29" s="99"/>
      <c r="D29" s="93">
        <v>0.5</v>
      </c>
      <c r="E29" s="93">
        <v>0.6</v>
      </c>
      <c r="F29" s="93">
        <v>0.7</v>
      </c>
      <c r="G29" s="93">
        <v>0.8</v>
      </c>
      <c r="H29" s="93">
        <v>0.9</v>
      </c>
      <c r="I29" s="93">
        <v>0.95</v>
      </c>
      <c r="J29" s="93">
        <v>0.95</v>
      </c>
      <c r="K29" s="93">
        <v>0.95</v>
      </c>
      <c r="L29" s="93">
        <v>0.95</v>
      </c>
      <c r="M29" s="93">
        <f>L29</f>
        <v>0.95</v>
      </c>
      <c r="N29" s="93">
        <f>M29</f>
        <v>0.95</v>
      </c>
      <c r="O29" s="93">
        <f>N29</f>
        <v>0.95</v>
      </c>
    </row>
    <row r="30" customFormat="1" ht="12" customHeight="1" spans="1:15">
      <c r="A30" s="97" t="s">
        <v>130</v>
      </c>
      <c r="B30" s="94" t="s">
        <v>131</v>
      </c>
      <c r="C30" s="61"/>
      <c r="D30" s="23">
        <v>0.55</v>
      </c>
      <c r="E30" s="23">
        <f t="shared" ref="E30:O30" si="24">D30</f>
        <v>0.55</v>
      </c>
      <c r="F30" s="23">
        <f t="shared" si="24"/>
        <v>0.55</v>
      </c>
      <c r="G30" s="23">
        <f t="shared" si="24"/>
        <v>0.55</v>
      </c>
      <c r="H30" s="23">
        <f t="shared" si="24"/>
        <v>0.55</v>
      </c>
      <c r="I30" s="23">
        <f t="shared" si="24"/>
        <v>0.55</v>
      </c>
      <c r="J30" s="23">
        <f t="shared" si="24"/>
        <v>0.55</v>
      </c>
      <c r="K30" s="23">
        <f t="shared" si="24"/>
        <v>0.55</v>
      </c>
      <c r="L30" s="23">
        <f t="shared" si="24"/>
        <v>0.55</v>
      </c>
      <c r="M30" s="23">
        <f t="shared" si="24"/>
        <v>0.55</v>
      </c>
      <c r="N30" s="23">
        <f t="shared" si="24"/>
        <v>0.55</v>
      </c>
      <c r="O30" s="23">
        <f t="shared" si="24"/>
        <v>0.55</v>
      </c>
    </row>
    <row r="31" customFormat="1" ht="12" customHeight="1" spans="1:15">
      <c r="A31" s="97" t="s">
        <v>132</v>
      </c>
      <c r="B31" s="94" t="s">
        <v>133</v>
      </c>
      <c r="C31" s="61"/>
      <c r="D31" s="23">
        <v>600</v>
      </c>
      <c r="E31" s="23">
        <f>D31</f>
        <v>600</v>
      </c>
      <c r="F31" s="23">
        <f t="shared" ref="F31:O31" si="25">E31</f>
        <v>600</v>
      </c>
      <c r="G31" s="23">
        <f t="shared" si="25"/>
        <v>600</v>
      </c>
      <c r="H31" s="23">
        <f t="shared" si="25"/>
        <v>600</v>
      </c>
      <c r="I31" s="23">
        <f t="shared" si="25"/>
        <v>600</v>
      </c>
      <c r="J31" s="23">
        <f t="shared" si="25"/>
        <v>600</v>
      </c>
      <c r="K31" s="23">
        <f t="shared" si="25"/>
        <v>600</v>
      </c>
      <c r="L31" s="23">
        <f t="shared" si="25"/>
        <v>600</v>
      </c>
      <c r="M31" s="23">
        <f t="shared" si="25"/>
        <v>600</v>
      </c>
      <c r="N31" s="23">
        <f t="shared" si="25"/>
        <v>600</v>
      </c>
      <c r="O31" s="23">
        <f t="shared" si="25"/>
        <v>600</v>
      </c>
    </row>
    <row r="32" customFormat="1" ht="12" customHeight="1" spans="1:15">
      <c r="A32" s="97" t="s">
        <v>134</v>
      </c>
      <c r="B32" s="94" t="s">
        <v>135</v>
      </c>
      <c r="C32" s="61"/>
      <c r="D32" s="23">
        <v>0.5</v>
      </c>
      <c r="E32" s="23">
        <f t="shared" ref="E32:O32" si="26">D32</f>
        <v>0.5</v>
      </c>
      <c r="F32" s="23">
        <f t="shared" si="26"/>
        <v>0.5</v>
      </c>
      <c r="G32" s="23">
        <f t="shared" si="26"/>
        <v>0.5</v>
      </c>
      <c r="H32" s="23">
        <f t="shared" si="26"/>
        <v>0.5</v>
      </c>
      <c r="I32" s="23">
        <f t="shared" si="26"/>
        <v>0.5</v>
      </c>
      <c r="J32" s="23">
        <f t="shared" si="26"/>
        <v>0.5</v>
      </c>
      <c r="K32" s="23">
        <f t="shared" si="26"/>
        <v>0.5</v>
      </c>
      <c r="L32" s="23">
        <f t="shared" si="26"/>
        <v>0.5</v>
      </c>
      <c r="M32" s="23">
        <f t="shared" si="26"/>
        <v>0.5</v>
      </c>
      <c r="N32" s="23">
        <f t="shared" si="26"/>
        <v>0.5</v>
      </c>
      <c r="O32" s="23">
        <f t="shared" si="26"/>
        <v>0.5</v>
      </c>
    </row>
    <row r="33" customFormat="1" ht="12" customHeight="1" spans="1:15">
      <c r="A33" s="97" t="s">
        <v>136</v>
      </c>
      <c r="B33" s="94" t="s">
        <v>137</v>
      </c>
      <c r="C33" s="61"/>
      <c r="D33" s="23">
        <v>180</v>
      </c>
      <c r="E33" s="23">
        <v>360</v>
      </c>
      <c r="F33" s="23">
        <f t="shared" ref="F33:O33" si="27">E33</f>
        <v>360</v>
      </c>
      <c r="G33" s="23">
        <f t="shared" si="27"/>
        <v>360</v>
      </c>
      <c r="H33" s="23">
        <f t="shared" si="27"/>
        <v>360</v>
      </c>
      <c r="I33" s="23">
        <f t="shared" si="27"/>
        <v>360</v>
      </c>
      <c r="J33" s="23">
        <f t="shared" si="27"/>
        <v>360</v>
      </c>
      <c r="K33" s="23">
        <f t="shared" si="27"/>
        <v>360</v>
      </c>
      <c r="L33" s="23">
        <f t="shared" si="27"/>
        <v>360</v>
      </c>
      <c r="M33" s="23">
        <f t="shared" si="27"/>
        <v>360</v>
      </c>
      <c r="N33" s="23">
        <f t="shared" si="27"/>
        <v>360</v>
      </c>
      <c r="O33" s="23">
        <f t="shared" si="27"/>
        <v>360</v>
      </c>
    </row>
    <row r="34" s="71" customFormat="1" ht="12" customHeight="1" spans="1:15">
      <c r="A34" s="96">
        <v>2</v>
      </c>
      <c r="B34" s="78" t="s">
        <v>138</v>
      </c>
      <c r="C34" s="82">
        <f>SUM((D34:O34))</f>
        <v>111.15259681</v>
      </c>
      <c r="D34" s="83">
        <f t="shared" ref="D34:O34" si="28">D35+D36+D37+D38</f>
        <v>4.84454424623499</v>
      </c>
      <c r="E34" s="83">
        <f t="shared" si="28"/>
        <v>9.6939846168265</v>
      </c>
      <c r="F34" s="83">
        <f t="shared" si="28"/>
        <v>9.6994838582856</v>
      </c>
      <c r="G34" s="83">
        <f t="shared" si="28"/>
        <v>9.70506588437886</v>
      </c>
      <c r="H34" s="83">
        <f t="shared" si="28"/>
        <v>9.71073036396774</v>
      </c>
      <c r="I34" s="83">
        <f t="shared" si="28"/>
        <v>9.70337926723827</v>
      </c>
      <c r="J34" s="101">
        <f t="shared" si="28"/>
        <v>9.68301226569572</v>
      </c>
      <c r="K34" s="83">
        <f t="shared" si="28"/>
        <v>9.66272673215934</v>
      </c>
      <c r="L34" s="83">
        <f t="shared" si="28"/>
        <v>9.6425223407571</v>
      </c>
      <c r="M34" s="83">
        <f t="shared" si="28"/>
        <v>9.62239876692047</v>
      </c>
      <c r="N34" s="83">
        <f t="shared" si="28"/>
        <v>9.60235568737919</v>
      </c>
      <c r="O34" s="83">
        <f t="shared" si="28"/>
        <v>9.58239278015608</v>
      </c>
    </row>
    <row r="35" ht="12" customHeight="1" spans="1:15">
      <c r="A35" s="97">
        <v>2.1</v>
      </c>
      <c r="B35" s="42" t="s">
        <v>139</v>
      </c>
      <c r="C35" s="61"/>
      <c r="D35" s="61"/>
      <c r="E35" s="24"/>
      <c r="F35" s="24"/>
      <c r="G35" s="24"/>
      <c r="H35" s="24"/>
      <c r="I35" s="24"/>
      <c r="J35" s="102"/>
      <c r="K35" s="24"/>
      <c r="L35" s="24"/>
      <c r="M35" s="24"/>
      <c r="N35" s="24"/>
      <c r="O35" s="24"/>
    </row>
    <row r="36" ht="12" customHeight="1" spans="1:15">
      <c r="A36" s="97">
        <v>2.2</v>
      </c>
      <c r="B36" s="42" t="s">
        <v>140</v>
      </c>
      <c r="C36" s="61"/>
      <c r="D36" s="61"/>
      <c r="E36" s="24"/>
      <c r="F36" s="24"/>
      <c r="G36" s="24"/>
      <c r="H36" s="24"/>
      <c r="I36" s="24"/>
      <c r="J36" s="102"/>
      <c r="K36" s="24"/>
      <c r="L36" s="24"/>
      <c r="M36" s="24"/>
      <c r="N36" s="24"/>
      <c r="O36" s="24"/>
    </row>
    <row r="37" ht="12" customHeight="1" spans="1:15">
      <c r="A37" s="97">
        <v>2.3</v>
      </c>
      <c r="B37" s="100" t="s">
        <v>141</v>
      </c>
      <c r="C37" s="61">
        <f>SUM((D37:O37))</f>
        <v>77.8068177669999</v>
      </c>
      <c r="D37" s="23">
        <f t="shared" ref="D37:O37" si="29">D39*0.07</f>
        <v>3.39118097236449</v>
      </c>
      <c r="E37" s="23">
        <f t="shared" si="29"/>
        <v>6.78578923177855</v>
      </c>
      <c r="F37" s="23">
        <f t="shared" si="29"/>
        <v>6.78963870079992</v>
      </c>
      <c r="G37" s="23">
        <f t="shared" si="29"/>
        <v>6.7935461190652</v>
      </c>
      <c r="H37" s="23">
        <f t="shared" si="29"/>
        <v>6.79751125477742</v>
      </c>
      <c r="I37" s="23">
        <f t="shared" si="29"/>
        <v>6.79236548706679</v>
      </c>
      <c r="J37" s="25">
        <f t="shared" si="29"/>
        <v>6.778108585987</v>
      </c>
      <c r="K37" s="23">
        <f t="shared" si="29"/>
        <v>6.76390871251153</v>
      </c>
      <c r="L37" s="23">
        <f t="shared" si="29"/>
        <v>6.74976563852997</v>
      </c>
      <c r="M37" s="23">
        <f t="shared" si="29"/>
        <v>6.73567913684433</v>
      </c>
      <c r="N37" s="23">
        <f t="shared" si="29"/>
        <v>6.72164898116543</v>
      </c>
      <c r="O37" s="23">
        <f t="shared" si="29"/>
        <v>6.70767494610926</v>
      </c>
    </row>
    <row r="38" ht="12" customHeight="1" spans="1:15">
      <c r="A38" s="97">
        <v>2.4</v>
      </c>
      <c r="B38" s="42" t="s">
        <v>142</v>
      </c>
      <c r="C38" s="61">
        <f>SUM((D38:O38))</f>
        <v>33.345779043</v>
      </c>
      <c r="D38" s="23">
        <f t="shared" ref="D38:O38" si="30">D39*0.03</f>
        <v>1.4533632738705</v>
      </c>
      <c r="E38" s="23">
        <f t="shared" si="30"/>
        <v>2.90819538504795</v>
      </c>
      <c r="F38" s="23">
        <f t="shared" si="30"/>
        <v>2.90984515748568</v>
      </c>
      <c r="G38" s="23">
        <f t="shared" si="30"/>
        <v>2.91151976531366</v>
      </c>
      <c r="H38" s="23">
        <f t="shared" si="30"/>
        <v>2.91321910919032</v>
      </c>
      <c r="I38" s="23">
        <f t="shared" si="30"/>
        <v>2.91101378017148</v>
      </c>
      <c r="J38" s="25">
        <f t="shared" si="30"/>
        <v>2.90490367970871</v>
      </c>
      <c r="K38" s="23">
        <f t="shared" si="30"/>
        <v>2.8988180196478</v>
      </c>
      <c r="L38" s="23">
        <f t="shared" si="30"/>
        <v>2.89275670222713</v>
      </c>
      <c r="M38" s="23">
        <f t="shared" si="30"/>
        <v>2.88671963007614</v>
      </c>
      <c r="N38" s="23">
        <f t="shared" si="30"/>
        <v>2.88070670621376</v>
      </c>
      <c r="O38" s="23">
        <f t="shared" si="30"/>
        <v>2.87471783404682</v>
      </c>
    </row>
    <row r="39" ht="12" customHeight="1" spans="1:15">
      <c r="A39" s="97">
        <v>3</v>
      </c>
      <c r="B39" s="42" t="s">
        <v>143</v>
      </c>
      <c r="C39" s="61">
        <f>SUM((D39:O39))</f>
        <v>1111.5259681</v>
      </c>
      <c r="D39" s="23">
        <f t="shared" ref="D39:O39" si="31">D40-D41</f>
        <v>48.4454424623499</v>
      </c>
      <c r="E39" s="23">
        <f t="shared" si="31"/>
        <v>96.939846168265</v>
      </c>
      <c r="F39" s="23">
        <f t="shared" si="31"/>
        <v>96.994838582856</v>
      </c>
      <c r="G39" s="23">
        <f t="shared" si="31"/>
        <v>97.0506588437886</v>
      </c>
      <c r="H39" s="23">
        <f t="shared" si="31"/>
        <v>97.1073036396774</v>
      </c>
      <c r="I39" s="23">
        <f t="shared" si="31"/>
        <v>97.0337926723827</v>
      </c>
      <c r="J39" s="23">
        <f t="shared" si="31"/>
        <v>96.8301226569571</v>
      </c>
      <c r="K39" s="23">
        <f t="shared" si="31"/>
        <v>96.6272673215934</v>
      </c>
      <c r="L39" s="23">
        <f t="shared" si="31"/>
        <v>96.425223407571</v>
      </c>
      <c r="M39" s="23">
        <f t="shared" si="31"/>
        <v>96.2239876692047</v>
      </c>
      <c r="N39" s="23">
        <f t="shared" si="31"/>
        <v>96.0235568737918</v>
      </c>
      <c r="O39" s="23">
        <f t="shared" si="31"/>
        <v>95.8239278015608</v>
      </c>
    </row>
    <row r="40" ht="12" customHeight="1" spans="1:15">
      <c r="A40" s="97">
        <v>3.1</v>
      </c>
      <c r="B40" s="42" t="s">
        <v>144</v>
      </c>
      <c r="C40" s="61">
        <f>SUM((D40:O40))</f>
        <v>1154.67734362714</v>
      </c>
      <c r="D40" s="23">
        <f>(D6+D12)*0.13+D27*0.09</f>
        <v>50.317717629528</v>
      </c>
      <c r="E40" s="23">
        <f t="shared" ref="E40:O40" si="32">(E6+E12)*0.13+E27*0.09</f>
        <v>100.69202497562</v>
      </c>
      <c r="F40" s="23">
        <f t="shared" si="32"/>
        <v>100.749457533317</v>
      </c>
      <c r="G40" s="23">
        <f t="shared" si="32"/>
        <v>100.807729560784</v>
      </c>
      <c r="H40" s="23">
        <f t="shared" si="32"/>
        <v>100.866837700141</v>
      </c>
      <c r="I40" s="23">
        <f t="shared" si="32"/>
        <v>100.79312860694</v>
      </c>
      <c r="J40" s="23">
        <f t="shared" si="32"/>
        <v>100.586598950113</v>
      </c>
      <c r="K40" s="23">
        <f t="shared" si="32"/>
        <v>100.380895411912</v>
      </c>
      <c r="L40" s="23">
        <f t="shared" si="32"/>
        <v>100.176014687865</v>
      </c>
      <c r="M40" s="23">
        <f t="shared" si="32"/>
        <v>99.971953486713</v>
      </c>
      <c r="N40" s="23">
        <f t="shared" si="32"/>
        <v>99.7687085303661</v>
      </c>
      <c r="O40" s="23">
        <f t="shared" si="32"/>
        <v>99.5662765538448</v>
      </c>
    </row>
    <row r="41" ht="12" customHeight="1" spans="1:15">
      <c r="A41" s="97">
        <v>3.2</v>
      </c>
      <c r="B41" s="42" t="s">
        <v>145</v>
      </c>
      <c r="C41" s="61">
        <f>SUM((D41:O41))</f>
        <v>43.1513755271451</v>
      </c>
      <c r="D41" s="23">
        <f>总成本费用表!D5*0.13+总成本费用表!D8*0.09</f>
        <v>1.87227516717808</v>
      </c>
      <c r="E41" s="23">
        <f>总成本费用表!E5*0.13+总成本费用表!E8*0.09</f>
        <v>3.75217880735473</v>
      </c>
      <c r="F41" s="23">
        <f>总成本费用表!F5*0.13+总成本费用表!F8*0.09</f>
        <v>3.75461895046132</v>
      </c>
      <c r="G41" s="23">
        <f>总成本费用表!G5*0.13+总成本费用表!G8*0.09</f>
        <v>3.75707071699547</v>
      </c>
      <c r="H41" s="23">
        <f>总成本费用表!H5*0.13+总成本费用表!H8*0.09</f>
        <v>3.75953406046349</v>
      </c>
      <c r="I41" s="23">
        <f>总成本费用表!I5*0.13+总成本费用表!I8*0.09</f>
        <v>3.75933593455763</v>
      </c>
      <c r="J41" s="23">
        <f>总成本费用表!J5*0.13+总成本费用表!J8*0.09</f>
        <v>3.7564762931554</v>
      </c>
      <c r="K41" s="23">
        <f>总成本费用表!K5*0.13+总成本费用表!K8*0.09</f>
        <v>3.75362809031878</v>
      </c>
      <c r="L41" s="23">
        <f>总成本费用表!L5*0.13+总成本费用表!L8*0.09</f>
        <v>3.75079128029351</v>
      </c>
      <c r="M41" s="23">
        <f>总成本费用表!M5*0.13+总成本费用表!M8*0.09</f>
        <v>3.74796581750833</v>
      </c>
      <c r="N41" s="23">
        <f>总成本费用表!N5*0.13+总成本费用表!N8*0.09</f>
        <v>3.7451516565743</v>
      </c>
      <c r="O41" s="23">
        <f>总成本费用表!O5*0.13+总成本费用表!O8*0.09</f>
        <v>3.742348752284</v>
      </c>
    </row>
  </sheetData>
  <mergeCells count="5">
    <mergeCell ref="A1:L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0" zoomScaleNormal="120" workbookViewId="0">
      <selection activeCell="D15" sqref="D15:O15"/>
    </sheetView>
  </sheetViews>
  <sheetFormatPr defaultColWidth="9" defaultRowHeight="14.4"/>
  <cols>
    <col min="1" max="1" width="3.37037037037037" style="54" customWidth="1"/>
    <col min="2" max="2" width="14.1296296296296" style="54" customWidth="1"/>
    <col min="3" max="3" width="13.3240740740741" customWidth="1"/>
    <col min="4" max="4" width="7.87037037037037" customWidth="1"/>
    <col min="5" max="13" width="8.61111111111111" customWidth="1"/>
    <col min="14" max="14" width="10.5"/>
  </cols>
  <sheetData>
    <row r="1" spans="1:13">
      <c r="A1" s="65" t="s">
        <v>146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ht="15.4" customHeight="1" spans="12:12">
      <c r="L2" t="s">
        <v>1</v>
      </c>
    </row>
    <row r="3" s="30" customFormat="1" ht="14.1" customHeight="1" spans="1:15">
      <c r="A3" s="66" t="s">
        <v>2</v>
      </c>
      <c r="B3" s="66" t="s">
        <v>86</v>
      </c>
      <c r="C3" s="67" t="s">
        <v>8</v>
      </c>
      <c r="D3" s="37" t="s">
        <v>89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="30" customFormat="1" ht="12" customHeight="1" spans="1:15">
      <c r="A4" s="68"/>
      <c r="B4" s="68"/>
      <c r="C4" s="68"/>
      <c r="D4" s="68">
        <v>0.5</v>
      </c>
      <c r="E4" s="40">
        <v>2</v>
      </c>
      <c r="F4" s="40">
        <v>3</v>
      </c>
      <c r="G4" s="40">
        <v>4</v>
      </c>
      <c r="H4" s="40">
        <v>5</v>
      </c>
      <c r="I4" s="40">
        <v>6</v>
      </c>
      <c r="J4" s="40">
        <v>7</v>
      </c>
      <c r="K4" s="40">
        <v>8</v>
      </c>
      <c r="L4" s="40">
        <v>9</v>
      </c>
      <c r="M4" s="40">
        <v>10</v>
      </c>
      <c r="N4" s="40">
        <v>11</v>
      </c>
      <c r="O4" s="40">
        <v>12</v>
      </c>
    </row>
    <row r="5" s="31" customFormat="1" ht="15" customHeight="1" spans="1:15">
      <c r="A5" s="45">
        <v>2</v>
      </c>
      <c r="B5" s="46" t="s">
        <v>147</v>
      </c>
      <c r="C5" s="63">
        <f t="shared" ref="C5:C10" si="0">SUM(D5:O5)</f>
        <v>207.6976</v>
      </c>
      <c r="D5" s="63">
        <f>2.6*0.5+1224*180*0.35/10000</f>
        <v>9.0112</v>
      </c>
      <c r="E5" s="63">
        <f>2.64+1224*360*0.35/10000</f>
        <v>18.0624</v>
      </c>
      <c r="F5" s="63">
        <f t="shared" ref="F5:O5" si="1">2.64+1224*360*0.35/10000</f>
        <v>18.0624</v>
      </c>
      <c r="G5" s="63">
        <f t="shared" si="1"/>
        <v>18.0624</v>
      </c>
      <c r="H5" s="63">
        <f t="shared" si="1"/>
        <v>18.0624</v>
      </c>
      <c r="I5" s="63">
        <f t="shared" si="1"/>
        <v>18.0624</v>
      </c>
      <c r="J5" s="63">
        <f t="shared" si="1"/>
        <v>18.0624</v>
      </c>
      <c r="K5" s="63">
        <f t="shared" si="1"/>
        <v>18.0624</v>
      </c>
      <c r="L5" s="63">
        <f t="shared" si="1"/>
        <v>18.0624</v>
      </c>
      <c r="M5" s="63">
        <f t="shared" si="1"/>
        <v>18.0624</v>
      </c>
      <c r="N5" s="63">
        <f t="shared" si="1"/>
        <v>18.0624</v>
      </c>
      <c r="O5" s="63">
        <f t="shared" si="1"/>
        <v>18.0624</v>
      </c>
    </row>
    <row r="6" s="31" customFormat="1" ht="15" customHeight="1" spans="1:15">
      <c r="A6" s="41">
        <v>3</v>
      </c>
      <c r="B6" s="46" t="s">
        <v>148</v>
      </c>
      <c r="C6" s="63">
        <f t="shared" si="0"/>
        <v>460</v>
      </c>
      <c r="D6" s="63">
        <f>4*10*0.5</f>
        <v>20</v>
      </c>
      <c r="E6" s="63">
        <f>4*10</f>
        <v>40</v>
      </c>
      <c r="F6" s="63">
        <f>E6</f>
        <v>40</v>
      </c>
      <c r="G6" s="63">
        <f t="shared" ref="G6:O6" si="2">F6</f>
        <v>40</v>
      </c>
      <c r="H6" s="63">
        <f t="shared" si="2"/>
        <v>40</v>
      </c>
      <c r="I6" s="63">
        <f t="shared" si="2"/>
        <v>40</v>
      </c>
      <c r="J6" s="63">
        <f t="shared" si="2"/>
        <v>40</v>
      </c>
      <c r="K6" s="63">
        <f t="shared" si="2"/>
        <v>40</v>
      </c>
      <c r="L6" s="63">
        <f t="shared" si="2"/>
        <v>40</v>
      </c>
      <c r="M6" s="63">
        <f t="shared" si="2"/>
        <v>40</v>
      </c>
      <c r="N6" s="63">
        <f t="shared" si="2"/>
        <v>40</v>
      </c>
      <c r="O6" s="63">
        <f t="shared" si="2"/>
        <v>40</v>
      </c>
    </row>
    <row r="7" s="31" customFormat="1" ht="15" customHeight="1" spans="1:15">
      <c r="A7" s="41">
        <v>4</v>
      </c>
      <c r="B7" s="46" t="s">
        <v>149</v>
      </c>
      <c r="C7" s="63">
        <f t="shared" si="0"/>
        <v>209.052144487257</v>
      </c>
      <c r="D7" s="63">
        <f>D10*0.08</f>
        <v>9.08922367335901</v>
      </c>
      <c r="E7" s="63">
        <f t="shared" ref="E7:O7" si="3">E10*0.08</f>
        <v>18.178447346718</v>
      </c>
      <c r="F7" s="63">
        <f t="shared" si="3"/>
        <v>18.178447346718</v>
      </c>
      <c r="G7" s="63">
        <f t="shared" si="3"/>
        <v>18.178447346718</v>
      </c>
      <c r="H7" s="63">
        <f t="shared" si="3"/>
        <v>18.178447346718</v>
      </c>
      <c r="I7" s="63">
        <f t="shared" si="3"/>
        <v>18.178447346718</v>
      </c>
      <c r="J7" s="63">
        <f t="shared" si="3"/>
        <v>18.178447346718</v>
      </c>
      <c r="K7" s="63">
        <f t="shared" si="3"/>
        <v>18.178447346718</v>
      </c>
      <c r="L7" s="63">
        <f t="shared" si="3"/>
        <v>18.178447346718</v>
      </c>
      <c r="M7" s="63">
        <f t="shared" si="3"/>
        <v>18.178447346718</v>
      </c>
      <c r="N7" s="63">
        <f t="shared" si="3"/>
        <v>18.178447346718</v>
      </c>
      <c r="O7" s="63">
        <f t="shared" si="3"/>
        <v>18.178447346718</v>
      </c>
    </row>
    <row r="8" s="30" customFormat="1" ht="15" customHeight="1" spans="1:15">
      <c r="A8" s="41">
        <v>5</v>
      </c>
      <c r="B8" s="42" t="s">
        <v>150</v>
      </c>
      <c r="C8" s="63">
        <f t="shared" si="0"/>
        <v>179.452083634945</v>
      </c>
      <c r="D8" s="61">
        <f>营业收入及税金表!D5*0.02</f>
        <v>7.786879635312</v>
      </c>
      <c r="E8" s="61">
        <f>营业收入及税金表!E5*0.02</f>
        <v>15.6007423039415</v>
      </c>
      <c r="F8" s="61">
        <f>营业收入及税金表!F5*0.02</f>
        <v>15.6278550051257</v>
      </c>
      <c r="G8" s="61">
        <f>营业收入及税金表!G5*0.02</f>
        <v>15.6550968555052</v>
      </c>
      <c r="H8" s="61">
        <f>营业收入及税金表!H5*0.02</f>
        <v>15.6824673384832</v>
      </c>
      <c r="I8" s="61">
        <f>营业收入及税金表!I5*0.02</f>
        <v>15.6802659395293</v>
      </c>
      <c r="J8" s="61">
        <f>营业收入及税金表!J5*0.02</f>
        <v>15.6484921461712</v>
      </c>
      <c r="K8" s="61">
        <f>营业收入及税金表!K5*0.02</f>
        <v>15.6168454479865</v>
      </c>
      <c r="L8" s="61">
        <f>营业收入及税金表!L5*0.02</f>
        <v>15.5853253365945</v>
      </c>
      <c r="M8" s="61">
        <f>营业收入及税金表!M5*0.02</f>
        <v>15.5539313056482</v>
      </c>
      <c r="N8" s="61">
        <f>营业收入及税金表!N5*0.02</f>
        <v>15.5226628508256</v>
      </c>
      <c r="O8" s="61">
        <f>营业收入及税金表!O5*0.02</f>
        <v>15.4915194698223</v>
      </c>
    </row>
    <row r="9" s="30" customFormat="1" ht="21" customHeight="1" spans="1:15">
      <c r="A9" s="41">
        <v>8</v>
      </c>
      <c r="B9" s="42" t="s">
        <v>151</v>
      </c>
      <c r="C9" s="63">
        <f t="shared" si="0"/>
        <v>1056.2018281222</v>
      </c>
      <c r="D9" s="69">
        <f>SUM(D5:D8)</f>
        <v>45.887303308671</v>
      </c>
      <c r="E9" s="69">
        <f t="shared" ref="D9:O9" si="4">SUM(E5:E8)</f>
        <v>91.8415896506595</v>
      </c>
      <c r="F9" s="69">
        <f t="shared" si="4"/>
        <v>91.8687023518437</v>
      </c>
      <c r="G9" s="69">
        <f t="shared" si="4"/>
        <v>91.8959442022232</v>
      </c>
      <c r="H9" s="69">
        <f t="shared" si="4"/>
        <v>91.9233146852012</v>
      </c>
      <c r="I9" s="69">
        <f t="shared" si="4"/>
        <v>91.9211132862473</v>
      </c>
      <c r="J9" s="69">
        <f t="shared" si="4"/>
        <v>91.8893394928892</v>
      </c>
      <c r="K9" s="69">
        <f t="shared" si="4"/>
        <v>91.8576927947045</v>
      </c>
      <c r="L9" s="69">
        <f t="shared" si="4"/>
        <v>91.8261726833125</v>
      </c>
      <c r="M9" s="69">
        <f t="shared" si="4"/>
        <v>91.7947786523662</v>
      </c>
      <c r="N9" s="69">
        <f t="shared" si="4"/>
        <v>91.7635101975436</v>
      </c>
      <c r="O9" s="69">
        <f t="shared" si="4"/>
        <v>91.7323668165403</v>
      </c>
    </row>
    <row r="10" s="30" customFormat="1" ht="15" customHeight="1" spans="1:15">
      <c r="A10" s="41">
        <v>9</v>
      </c>
      <c r="B10" s="42" t="s">
        <v>94</v>
      </c>
      <c r="C10" s="63">
        <f t="shared" si="0"/>
        <v>2613.15180609072</v>
      </c>
      <c r="D10" s="61">
        <f>固定资产折旧!F9</f>
        <v>113.615295916988</v>
      </c>
      <c r="E10" s="61">
        <f>固定资产折旧!G9</f>
        <v>227.230591833975</v>
      </c>
      <c r="F10" s="61">
        <f>固定资产折旧!H9</f>
        <v>227.230591833975</v>
      </c>
      <c r="G10" s="61">
        <f>固定资产折旧!I9</f>
        <v>227.230591833975</v>
      </c>
      <c r="H10" s="61">
        <f>固定资产折旧!J9</f>
        <v>227.230591833975</v>
      </c>
      <c r="I10" s="61">
        <f>固定资产折旧!K9</f>
        <v>227.230591833975</v>
      </c>
      <c r="J10" s="61">
        <f>固定资产折旧!L9</f>
        <v>227.230591833975</v>
      </c>
      <c r="K10" s="61">
        <f>固定资产折旧!M9</f>
        <v>227.230591833975</v>
      </c>
      <c r="L10" s="61">
        <f>固定资产折旧!N9</f>
        <v>227.230591833975</v>
      </c>
      <c r="M10" s="61">
        <f>固定资产折旧!O9</f>
        <v>227.230591833975</v>
      </c>
      <c r="N10" s="61">
        <f>固定资产折旧!P9</f>
        <v>227.230591833975</v>
      </c>
      <c r="O10" s="61">
        <f>固定资产折旧!Q9</f>
        <v>227.230591833975</v>
      </c>
    </row>
    <row r="11" s="30" customFormat="1" ht="15" customHeight="1" spans="1:15">
      <c r="A11" s="41">
        <v>10</v>
      </c>
      <c r="B11" s="42" t="s">
        <v>152</v>
      </c>
      <c r="C11" s="63"/>
      <c r="D11" s="61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="31" customFormat="1" ht="15" customHeight="1" spans="1:15">
      <c r="A12" s="45">
        <v>11</v>
      </c>
      <c r="B12" s="46" t="s">
        <v>153</v>
      </c>
      <c r="C12" s="63">
        <f>SUM(D12:O12)</f>
        <v>1196.55</v>
      </c>
      <c r="D12" s="63">
        <f>还本付息表!E9</f>
        <v>92.925</v>
      </c>
      <c r="E12" s="63">
        <f>还本付息表!F9</f>
        <v>176.4</v>
      </c>
      <c r="F12" s="63">
        <f>还本付息表!G9</f>
        <v>163.35</v>
      </c>
      <c r="G12" s="63">
        <f>还本付息表!H9</f>
        <v>149.625</v>
      </c>
      <c r="H12" s="63">
        <f>还本付息表!I9</f>
        <v>135.45</v>
      </c>
      <c r="I12" s="63">
        <f>还本付息表!J9</f>
        <v>120.375</v>
      </c>
      <c r="J12" s="63">
        <f>还本付息表!K9</f>
        <v>104.175</v>
      </c>
      <c r="K12" s="63">
        <f>还本付息表!L9</f>
        <v>87.3</v>
      </c>
      <c r="L12" s="63">
        <f>还本付息表!M9</f>
        <v>69.75</v>
      </c>
      <c r="M12" s="63">
        <f>还本付息表!N9</f>
        <v>50.85</v>
      </c>
      <c r="N12" s="63">
        <f>还本付息表!O9</f>
        <v>30.825</v>
      </c>
      <c r="O12" s="63">
        <f>还本付息表!P9</f>
        <v>15.525</v>
      </c>
    </row>
    <row r="13" s="30" customFormat="1" ht="18.95" customHeight="1" spans="1:15">
      <c r="A13" s="41">
        <v>12</v>
      </c>
      <c r="B13" s="42" t="s">
        <v>154</v>
      </c>
      <c r="C13" s="63">
        <f>SUM(D13:O13)</f>
        <v>4865.90363421291</v>
      </c>
      <c r="D13" s="69">
        <f>SUM(D9:D12)</f>
        <v>252.427599225659</v>
      </c>
      <c r="E13" s="69">
        <f t="shared" ref="D13:O13" si="5">SUM(E9:E12)</f>
        <v>495.472181484634</v>
      </c>
      <c r="F13" s="69">
        <f t="shared" si="5"/>
        <v>482.449294185819</v>
      </c>
      <c r="G13" s="69">
        <f t="shared" si="5"/>
        <v>468.751536036198</v>
      </c>
      <c r="H13" s="69">
        <f t="shared" si="5"/>
        <v>454.603906519176</v>
      </c>
      <c r="I13" s="69">
        <f t="shared" si="5"/>
        <v>439.526705120222</v>
      </c>
      <c r="J13" s="69">
        <f t="shared" si="5"/>
        <v>423.294931326864</v>
      </c>
      <c r="K13" s="69">
        <f t="shared" si="5"/>
        <v>406.38828462868</v>
      </c>
      <c r="L13" s="69">
        <f t="shared" si="5"/>
        <v>388.806764517288</v>
      </c>
      <c r="M13" s="69">
        <f t="shared" si="5"/>
        <v>369.875370486341</v>
      </c>
      <c r="N13" s="69">
        <f t="shared" si="5"/>
        <v>349.819102031519</v>
      </c>
      <c r="O13" s="69">
        <f t="shared" si="5"/>
        <v>334.487958650515</v>
      </c>
    </row>
    <row r="14" s="30" customFormat="1" ht="15" customHeight="1" spans="1:15">
      <c r="A14" s="70">
        <v>12.1</v>
      </c>
      <c r="B14" s="42" t="s">
        <v>155</v>
      </c>
      <c r="C14" s="63">
        <f>SUM(D14:O14)</f>
        <v>3989.15388972566</v>
      </c>
      <c r="D14" s="69">
        <f>D8+D10+D11+D12</f>
        <v>214.3271755523</v>
      </c>
      <c r="E14" s="69">
        <f t="shared" ref="D14:O14" si="6">E8+E10+E11+E12</f>
        <v>419.231334137917</v>
      </c>
      <c r="F14" s="69">
        <f t="shared" si="6"/>
        <v>406.208446839101</v>
      </c>
      <c r="G14" s="69">
        <f t="shared" si="6"/>
        <v>392.51068868948</v>
      </c>
      <c r="H14" s="69">
        <f t="shared" si="6"/>
        <v>378.363059172458</v>
      </c>
      <c r="I14" s="69">
        <f t="shared" si="6"/>
        <v>363.285857773504</v>
      </c>
      <c r="J14" s="69">
        <f t="shared" si="6"/>
        <v>347.054083980146</v>
      </c>
      <c r="K14" s="69">
        <f t="shared" si="6"/>
        <v>330.147437281962</v>
      </c>
      <c r="L14" s="69">
        <f t="shared" si="6"/>
        <v>312.56591717057</v>
      </c>
      <c r="M14" s="69">
        <f t="shared" si="6"/>
        <v>293.634523139623</v>
      </c>
      <c r="N14" s="69">
        <f t="shared" si="6"/>
        <v>273.578254684801</v>
      </c>
      <c r="O14" s="69">
        <f t="shared" si="6"/>
        <v>258.247111303797</v>
      </c>
    </row>
    <row r="15" s="30" customFormat="1" ht="15" customHeight="1" spans="1:15">
      <c r="A15" s="70">
        <v>12.2</v>
      </c>
      <c r="B15" s="42" t="s">
        <v>156</v>
      </c>
      <c r="C15" s="63">
        <f>SUM(D15:O15)</f>
        <v>876.749744487257</v>
      </c>
      <c r="D15" s="61">
        <f>D5+D6+D7</f>
        <v>38.100423673359</v>
      </c>
      <c r="E15" s="61">
        <f t="shared" ref="E15:O15" si="7">E5+E6+E7</f>
        <v>76.240847346718</v>
      </c>
      <c r="F15" s="61">
        <f t="shared" si="7"/>
        <v>76.240847346718</v>
      </c>
      <c r="G15" s="61">
        <f t="shared" si="7"/>
        <v>76.240847346718</v>
      </c>
      <c r="H15" s="61">
        <f t="shared" si="7"/>
        <v>76.240847346718</v>
      </c>
      <c r="I15" s="61">
        <f t="shared" si="7"/>
        <v>76.240847346718</v>
      </c>
      <c r="J15" s="61">
        <f t="shared" si="7"/>
        <v>76.240847346718</v>
      </c>
      <c r="K15" s="61">
        <f t="shared" si="7"/>
        <v>76.240847346718</v>
      </c>
      <c r="L15" s="61">
        <f t="shared" si="7"/>
        <v>76.240847346718</v>
      </c>
      <c r="M15" s="61">
        <f t="shared" si="7"/>
        <v>76.240847346718</v>
      </c>
      <c r="N15" s="61">
        <f t="shared" si="7"/>
        <v>76.240847346718</v>
      </c>
      <c r="O15" s="61">
        <f t="shared" si="7"/>
        <v>76.240847346718</v>
      </c>
    </row>
  </sheetData>
  <mergeCells count="5">
    <mergeCell ref="A1:M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zoomScale="120" zoomScaleNormal="120" workbookViewId="0">
      <selection activeCell="D7" sqref="D7:O7"/>
    </sheetView>
  </sheetViews>
  <sheetFormatPr defaultColWidth="9" defaultRowHeight="14.4"/>
  <cols>
    <col min="1" max="1" width="3.62962962962963" customWidth="1"/>
    <col min="2" max="2" width="26.5092592592593" customWidth="1"/>
    <col min="3" max="3" width="9.93518518518519" style="54" customWidth="1"/>
    <col min="4" max="4" width="7.5" style="54" customWidth="1"/>
    <col min="5" max="13" width="8.24074074074074" customWidth="1"/>
    <col min="14" max="14" width="11.5185185185185" customWidth="1"/>
  </cols>
  <sheetData>
    <row r="1" ht="27" customHeight="1" spans="1:13">
      <c r="A1" s="32" t="s">
        <v>157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1:11">
      <c r="K2" t="s">
        <v>1</v>
      </c>
    </row>
    <row r="3" spans="1:15">
      <c r="A3" s="49" t="s">
        <v>2</v>
      </c>
      <c r="B3" s="55"/>
      <c r="C3" s="56"/>
      <c r="D3" s="57" t="s">
        <v>89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49"/>
      <c r="B4" s="42" t="s">
        <v>158</v>
      </c>
      <c r="C4" s="42" t="s">
        <v>8</v>
      </c>
      <c r="D4" s="58">
        <v>0.5</v>
      </c>
      <c r="E4" s="59">
        <v>2</v>
      </c>
      <c r="F4" s="59">
        <v>3</v>
      </c>
      <c r="G4" s="59">
        <v>4</v>
      </c>
      <c r="H4" s="59">
        <v>5</v>
      </c>
      <c r="I4" s="59">
        <v>6</v>
      </c>
      <c r="J4" s="59">
        <v>7</v>
      </c>
      <c r="K4" s="59">
        <v>8</v>
      </c>
      <c r="L4" s="59">
        <v>9</v>
      </c>
      <c r="M4" s="59">
        <v>10</v>
      </c>
      <c r="N4" s="59">
        <v>11</v>
      </c>
      <c r="O4" s="59">
        <v>12</v>
      </c>
    </row>
    <row r="5" ht="12" customHeight="1" spans="1:15">
      <c r="A5" s="60">
        <v>1</v>
      </c>
      <c r="B5" s="42" t="s">
        <v>97</v>
      </c>
      <c r="C5" s="61">
        <f>SUM(D5:O5)</f>
        <v>8972.60418174726</v>
      </c>
      <c r="D5" s="61">
        <f>营业收入及税金表!D5</f>
        <v>389.3439817656</v>
      </c>
      <c r="E5" s="61">
        <f>营业收入及税金表!E5</f>
        <v>780.037115197075</v>
      </c>
      <c r="F5" s="61">
        <f>营业收入及税金表!F5</f>
        <v>781.392750256287</v>
      </c>
      <c r="G5" s="61">
        <f>营业收入及税金表!G5</f>
        <v>782.754842775262</v>
      </c>
      <c r="H5" s="61">
        <f>营业收入及税金表!H5</f>
        <v>784.123366924161</v>
      </c>
      <c r="I5" s="61">
        <f>营业收入及税金表!I5</f>
        <v>784.013296976464</v>
      </c>
      <c r="J5" s="61">
        <f>营业收入及税金表!J5</f>
        <v>782.424607308558</v>
      </c>
      <c r="K5" s="61">
        <f>营业收入及税金表!K5</f>
        <v>780.842272399324</v>
      </c>
      <c r="L5" s="61">
        <f>营业收入及税金表!L5</f>
        <v>779.266266829727</v>
      </c>
      <c r="M5" s="61">
        <f>营业收入及税金表!M5</f>
        <v>777.696565282408</v>
      </c>
      <c r="N5" s="61">
        <f>营业收入及税金表!N5</f>
        <v>776.133142541278</v>
      </c>
      <c r="O5" s="61">
        <f>营业收入及税金表!O5</f>
        <v>774.575973491114</v>
      </c>
    </row>
    <row r="6" ht="12" customHeight="1" spans="1:15">
      <c r="A6" s="60">
        <v>2</v>
      </c>
      <c r="B6" s="42" t="s">
        <v>159</v>
      </c>
      <c r="C6" s="61">
        <f>SUM(D6:O6)</f>
        <v>111.15259681</v>
      </c>
      <c r="D6" s="62">
        <f>营业收入及税金表!D34</f>
        <v>4.84454424623499</v>
      </c>
      <c r="E6" s="62">
        <f>营业收入及税金表!E34</f>
        <v>9.6939846168265</v>
      </c>
      <c r="F6" s="62">
        <f>营业收入及税金表!F34</f>
        <v>9.6994838582856</v>
      </c>
      <c r="G6" s="62">
        <f>营业收入及税金表!G34</f>
        <v>9.70506588437886</v>
      </c>
      <c r="H6" s="62">
        <f>营业收入及税金表!H34</f>
        <v>9.71073036396774</v>
      </c>
      <c r="I6" s="62">
        <f>营业收入及税金表!I34</f>
        <v>9.70337926723827</v>
      </c>
      <c r="J6" s="62">
        <f>营业收入及税金表!J34</f>
        <v>9.68301226569572</v>
      </c>
      <c r="K6" s="62">
        <f>营业收入及税金表!K34</f>
        <v>9.66272673215934</v>
      </c>
      <c r="L6" s="62">
        <f>营业收入及税金表!L34</f>
        <v>9.6425223407571</v>
      </c>
      <c r="M6" s="62">
        <f>营业收入及税金表!M34</f>
        <v>9.62239876692047</v>
      </c>
      <c r="N6" s="62">
        <f>营业收入及税金表!N34</f>
        <v>9.60235568737919</v>
      </c>
      <c r="O6" s="62">
        <f>营业收入及税金表!O34</f>
        <v>9.58239278015608</v>
      </c>
    </row>
    <row r="7" ht="12" customHeight="1" spans="1:15">
      <c r="A7" s="60">
        <v>3</v>
      </c>
      <c r="B7" s="42" t="s">
        <v>143</v>
      </c>
      <c r="C7" s="61">
        <f>SUM(D7:O7)</f>
        <v>1111.5259681</v>
      </c>
      <c r="D7" s="61">
        <f>营业收入及税金表!D39</f>
        <v>48.4454424623499</v>
      </c>
      <c r="E7" s="61">
        <f>营业收入及税金表!E39</f>
        <v>96.939846168265</v>
      </c>
      <c r="F7" s="61">
        <f>营业收入及税金表!F39</f>
        <v>96.994838582856</v>
      </c>
      <c r="G7" s="61">
        <f>营业收入及税金表!G39</f>
        <v>97.0506588437886</v>
      </c>
      <c r="H7" s="61">
        <f>营业收入及税金表!H39</f>
        <v>97.1073036396774</v>
      </c>
      <c r="I7" s="61">
        <f>营业收入及税金表!I39</f>
        <v>97.0337926723827</v>
      </c>
      <c r="J7" s="61">
        <f>营业收入及税金表!J39</f>
        <v>96.8301226569571</v>
      </c>
      <c r="K7" s="61">
        <f>营业收入及税金表!K39</f>
        <v>96.6272673215934</v>
      </c>
      <c r="L7" s="61">
        <f>营业收入及税金表!L39</f>
        <v>96.425223407571</v>
      </c>
      <c r="M7" s="61">
        <f>营业收入及税金表!M39</f>
        <v>96.2239876692047</v>
      </c>
      <c r="N7" s="61">
        <f>营业收入及税金表!N39</f>
        <v>96.0235568737918</v>
      </c>
      <c r="O7" s="61">
        <f>营业收入及税金表!O39</f>
        <v>95.8239278015608</v>
      </c>
    </row>
    <row r="8" ht="12" customHeight="1" spans="1:15">
      <c r="A8" s="60">
        <v>4</v>
      </c>
      <c r="B8" s="42" t="s">
        <v>160</v>
      </c>
      <c r="C8" s="61">
        <f>SUM(D8:O8)</f>
        <v>4865.90363421291</v>
      </c>
      <c r="D8" s="61">
        <f>总成本费用表!D13</f>
        <v>252.427599225659</v>
      </c>
      <c r="E8" s="61">
        <f>总成本费用表!E13</f>
        <v>495.472181484634</v>
      </c>
      <c r="F8" s="61">
        <f>总成本费用表!F13</f>
        <v>482.449294185819</v>
      </c>
      <c r="G8" s="61">
        <f>总成本费用表!G13</f>
        <v>468.751536036198</v>
      </c>
      <c r="H8" s="61">
        <f>总成本费用表!H13</f>
        <v>454.603906519176</v>
      </c>
      <c r="I8" s="61">
        <f>总成本费用表!I13</f>
        <v>439.526705120222</v>
      </c>
      <c r="J8" s="61">
        <f>总成本费用表!J13</f>
        <v>423.294931326864</v>
      </c>
      <c r="K8" s="61">
        <f>总成本费用表!K13</f>
        <v>406.38828462868</v>
      </c>
      <c r="L8" s="61">
        <f>总成本费用表!L13</f>
        <v>388.806764517288</v>
      </c>
      <c r="M8" s="61">
        <f>总成本费用表!M13</f>
        <v>369.875370486341</v>
      </c>
      <c r="N8" s="61">
        <f>总成本费用表!N13</f>
        <v>349.819102031519</v>
      </c>
      <c r="O8" s="61">
        <f>总成本费用表!O13</f>
        <v>334.487958650515</v>
      </c>
    </row>
    <row r="9" ht="12" customHeight="1" spans="1:15">
      <c r="A9" s="60">
        <v>5</v>
      </c>
      <c r="B9" s="42" t="s">
        <v>161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ht="12" customHeight="1" spans="1:15">
      <c r="A10" s="60">
        <v>6</v>
      </c>
      <c r="B10" s="49" t="s">
        <v>162</v>
      </c>
      <c r="C10" s="61">
        <f>SUM(D10:O10)</f>
        <v>2884.02198262434</v>
      </c>
      <c r="D10" s="63">
        <f t="shared" ref="D10:O10" si="0">D5-D6-D7-D8+D9</f>
        <v>83.626395831356</v>
      </c>
      <c r="E10" s="63">
        <f t="shared" si="0"/>
        <v>177.931102927349</v>
      </c>
      <c r="F10" s="63">
        <f t="shared" si="0"/>
        <v>192.249133629327</v>
      </c>
      <c r="G10" s="61">
        <f t="shared" si="0"/>
        <v>207.247582010896</v>
      </c>
      <c r="H10" s="61">
        <f t="shared" si="0"/>
        <v>222.70142640134</v>
      </c>
      <c r="I10" s="61">
        <f t="shared" si="0"/>
        <v>237.749419916621</v>
      </c>
      <c r="J10" s="61">
        <f t="shared" si="0"/>
        <v>252.616541059041</v>
      </c>
      <c r="K10" s="61">
        <f t="shared" si="0"/>
        <v>268.163993716892</v>
      </c>
      <c r="L10" s="61">
        <f t="shared" si="0"/>
        <v>284.391756564111</v>
      </c>
      <c r="M10" s="61">
        <f t="shared" si="0"/>
        <v>301.974808359942</v>
      </c>
      <c r="N10" s="61">
        <f t="shared" si="0"/>
        <v>320.688127948588</v>
      </c>
      <c r="O10" s="61">
        <f t="shared" si="0"/>
        <v>334.681694258882</v>
      </c>
    </row>
    <row r="11" ht="12" customHeight="1" spans="1:15">
      <c r="A11" s="60">
        <v>7</v>
      </c>
      <c r="B11" s="49" t="s">
        <v>163</v>
      </c>
      <c r="C11" s="61"/>
      <c r="D11" s="63"/>
      <c r="E11" s="63"/>
      <c r="F11" s="63"/>
      <c r="G11" s="61"/>
      <c r="H11" s="61"/>
      <c r="I11" s="61"/>
      <c r="J11" s="61"/>
      <c r="K11" s="61"/>
      <c r="L11" s="61"/>
      <c r="M11" s="61"/>
      <c r="N11" s="61"/>
      <c r="O11" s="61"/>
    </row>
    <row r="12" ht="12" customHeight="1" spans="1:15">
      <c r="A12" s="60">
        <v>8</v>
      </c>
      <c r="B12" s="49" t="s">
        <v>164</v>
      </c>
      <c r="C12" s="61">
        <f t="shared" ref="C12:C18" si="1">SUM(D12:O12)</f>
        <v>2884.02198262434</v>
      </c>
      <c r="D12" s="64">
        <f t="shared" ref="D12:O12" si="2">D10-D11</f>
        <v>83.626395831356</v>
      </c>
      <c r="E12" s="63">
        <f t="shared" si="2"/>
        <v>177.931102927349</v>
      </c>
      <c r="F12" s="63">
        <f t="shared" si="2"/>
        <v>192.249133629327</v>
      </c>
      <c r="G12" s="63">
        <f t="shared" si="2"/>
        <v>207.247582010896</v>
      </c>
      <c r="H12" s="63">
        <f t="shared" si="2"/>
        <v>222.70142640134</v>
      </c>
      <c r="I12" s="61">
        <f t="shared" si="2"/>
        <v>237.749419916621</v>
      </c>
      <c r="J12" s="61">
        <f t="shared" si="2"/>
        <v>252.616541059041</v>
      </c>
      <c r="K12" s="61">
        <f t="shared" si="2"/>
        <v>268.163993716892</v>
      </c>
      <c r="L12" s="61">
        <f t="shared" si="2"/>
        <v>284.391756564111</v>
      </c>
      <c r="M12" s="61">
        <f t="shared" si="2"/>
        <v>301.974808359942</v>
      </c>
      <c r="N12" s="61">
        <f t="shared" si="2"/>
        <v>320.688127948588</v>
      </c>
      <c r="O12" s="61">
        <f t="shared" si="2"/>
        <v>334.681694258882</v>
      </c>
    </row>
    <row r="13" ht="12" customHeight="1" spans="1:15">
      <c r="A13" s="60">
        <v>9</v>
      </c>
      <c r="B13" s="42" t="s">
        <v>165</v>
      </c>
      <c r="C13" s="61">
        <f t="shared" si="1"/>
        <v>721.005495656086</v>
      </c>
      <c r="D13" s="63">
        <f t="shared" ref="D13:O13" si="3">D12*0.25</f>
        <v>20.906598957839</v>
      </c>
      <c r="E13" s="63">
        <f t="shared" si="3"/>
        <v>44.4827757318373</v>
      </c>
      <c r="F13" s="63">
        <f t="shared" si="3"/>
        <v>48.0622834073316</v>
      </c>
      <c r="G13" s="63">
        <f t="shared" si="3"/>
        <v>51.8118955027241</v>
      </c>
      <c r="H13" s="63">
        <f t="shared" si="3"/>
        <v>55.6753566003349</v>
      </c>
      <c r="I13" s="61">
        <f t="shared" si="3"/>
        <v>59.4373549791552</v>
      </c>
      <c r="J13" s="61">
        <f t="shared" si="3"/>
        <v>63.1541352647603</v>
      </c>
      <c r="K13" s="61">
        <f t="shared" si="3"/>
        <v>67.040998429223</v>
      </c>
      <c r="L13" s="61">
        <f t="shared" si="3"/>
        <v>71.0979391410278</v>
      </c>
      <c r="M13" s="61">
        <f t="shared" si="3"/>
        <v>75.4937020899854</v>
      </c>
      <c r="N13" s="61">
        <f t="shared" si="3"/>
        <v>80.1720319871471</v>
      </c>
      <c r="O13" s="61">
        <f t="shared" si="3"/>
        <v>83.6704235647205</v>
      </c>
    </row>
    <row r="14" ht="12" customHeight="1" spans="1:15">
      <c r="A14" s="60">
        <v>10</v>
      </c>
      <c r="B14" s="49" t="s">
        <v>166</v>
      </c>
      <c r="C14" s="61">
        <f t="shared" si="1"/>
        <v>2163.01648696826</v>
      </c>
      <c r="D14" s="63">
        <f t="shared" ref="D14:O14" si="4">D10-D11-D13</f>
        <v>62.719796873517</v>
      </c>
      <c r="E14" s="63">
        <f t="shared" si="4"/>
        <v>133.448327195512</v>
      </c>
      <c r="F14" s="63">
        <f t="shared" si="4"/>
        <v>144.186850221995</v>
      </c>
      <c r="G14" s="63">
        <f t="shared" si="4"/>
        <v>155.435686508172</v>
      </c>
      <c r="H14" s="63">
        <f t="shared" si="4"/>
        <v>167.026069801005</v>
      </c>
      <c r="I14" s="63">
        <f t="shared" si="4"/>
        <v>178.312064937466</v>
      </c>
      <c r="J14" s="63">
        <f t="shared" si="4"/>
        <v>189.462405794281</v>
      </c>
      <c r="K14" s="63">
        <f t="shared" si="4"/>
        <v>201.122995287669</v>
      </c>
      <c r="L14" s="63">
        <f t="shared" si="4"/>
        <v>213.293817423084</v>
      </c>
      <c r="M14" s="63">
        <f t="shared" si="4"/>
        <v>226.481106269956</v>
      </c>
      <c r="N14" s="63">
        <f t="shared" si="4"/>
        <v>240.516095961441</v>
      </c>
      <c r="O14" s="63">
        <f t="shared" si="4"/>
        <v>251.011270694161</v>
      </c>
    </row>
    <row r="15" ht="12" customHeight="1" spans="1:15">
      <c r="A15" s="60">
        <v>11</v>
      </c>
      <c r="B15" s="49" t="s">
        <v>167</v>
      </c>
      <c r="C15" s="61">
        <f t="shared" si="1"/>
        <v>8900.80814767648</v>
      </c>
      <c r="D15" s="63">
        <v>0</v>
      </c>
      <c r="E15" s="63">
        <f t="shared" ref="E15:O15" si="5">D24</f>
        <v>56.4478171861653</v>
      </c>
      <c r="F15" s="63">
        <f t="shared" si="5"/>
        <v>176.551311662126</v>
      </c>
      <c r="G15" s="63">
        <f t="shared" si="5"/>
        <v>306.319476861921</v>
      </c>
      <c r="H15" s="63">
        <f t="shared" si="5"/>
        <v>446.211594719276</v>
      </c>
      <c r="I15" s="63">
        <f t="shared" si="5"/>
        <v>596.535057540181</v>
      </c>
      <c r="J15" s="63">
        <f t="shared" si="5"/>
        <v>757.0159159839</v>
      </c>
      <c r="K15" s="63">
        <f t="shared" si="5"/>
        <v>927.532081198752</v>
      </c>
      <c r="L15" s="63">
        <f t="shared" si="5"/>
        <v>1108.54277695765</v>
      </c>
      <c r="M15" s="63">
        <f t="shared" si="5"/>
        <v>1300.50721263843</v>
      </c>
      <c r="N15" s="63">
        <f t="shared" si="5"/>
        <v>1504.34020828139</v>
      </c>
      <c r="O15" s="63">
        <f t="shared" si="5"/>
        <v>1720.80469464669</v>
      </c>
    </row>
    <row r="16" ht="12" customHeight="1" spans="1:15">
      <c r="A16" s="60">
        <v>12</v>
      </c>
      <c r="B16" s="49" t="s">
        <v>168</v>
      </c>
      <c r="C16" s="61">
        <f t="shared" si="1"/>
        <v>11063.8246346447</v>
      </c>
      <c r="D16" s="63">
        <f t="shared" ref="D16:O16" si="6">D14+D15+D11</f>
        <v>62.719796873517</v>
      </c>
      <c r="E16" s="63">
        <f t="shared" si="6"/>
        <v>189.896144381677</v>
      </c>
      <c r="F16" s="63">
        <f t="shared" si="6"/>
        <v>320.738161884121</v>
      </c>
      <c r="G16" s="63">
        <f t="shared" si="6"/>
        <v>461.755163370094</v>
      </c>
      <c r="H16" s="63">
        <f t="shared" si="6"/>
        <v>613.237664520281</v>
      </c>
      <c r="I16" s="63">
        <f t="shared" si="6"/>
        <v>774.847122477646</v>
      </c>
      <c r="J16" s="63">
        <f t="shared" si="6"/>
        <v>946.47832177818</v>
      </c>
      <c r="K16" s="63">
        <f t="shared" si="6"/>
        <v>1128.65507648642</v>
      </c>
      <c r="L16" s="63">
        <f t="shared" si="6"/>
        <v>1321.83659438074</v>
      </c>
      <c r="M16" s="63">
        <f t="shared" si="6"/>
        <v>1526.98831890839</v>
      </c>
      <c r="N16" s="63">
        <f t="shared" si="6"/>
        <v>1744.85630424283</v>
      </c>
      <c r="O16" s="63">
        <f t="shared" si="6"/>
        <v>1971.81596534085</v>
      </c>
    </row>
    <row r="17" ht="12" customHeight="1" spans="1:15">
      <c r="A17" s="60">
        <v>13</v>
      </c>
      <c r="B17" s="49" t="s">
        <v>169</v>
      </c>
      <c r="C17" s="61">
        <f t="shared" si="1"/>
        <v>216.301648696826</v>
      </c>
      <c r="D17" s="63">
        <f t="shared" ref="D17:O17" si="7">D14*0.1</f>
        <v>6.2719796873517</v>
      </c>
      <c r="E17" s="63">
        <f t="shared" si="7"/>
        <v>13.3448327195512</v>
      </c>
      <c r="F17" s="63">
        <f t="shared" si="7"/>
        <v>14.4186850221995</v>
      </c>
      <c r="G17" s="63">
        <f t="shared" si="7"/>
        <v>15.5435686508172</v>
      </c>
      <c r="H17" s="63">
        <f t="shared" si="7"/>
        <v>16.7026069801005</v>
      </c>
      <c r="I17" s="63">
        <f t="shared" si="7"/>
        <v>17.8312064937466</v>
      </c>
      <c r="J17" s="63">
        <f t="shared" si="7"/>
        <v>18.9462405794281</v>
      </c>
      <c r="K17" s="63">
        <f t="shared" si="7"/>
        <v>20.1122995287669</v>
      </c>
      <c r="L17" s="63">
        <f t="shared" si="7"/>
        <v>21.3293817423084</v>
      </c>
      <c r="M17" s="63">
        <f t="shared" si="7"/>
        <v>22.6481106269956</v>
      </c>
      <c r="N17" s="63">
        <f t="shared" si="7"/>
        <v>24.0516095961441</v>
      </c>
      <c r="O17" s="63">
        <f t="shared" si="7"/>
        <v>25.1011270694161</v>
      </c>
    </row>
    <row r="18" ht="12" customHeight="1" spans="1:15">
      <c r="A18" s="60">
        <v>14</v>
      </c>
      <c r="B18" s="42" t="s">
        <v>170</v>
      </c>
      <c r="C18" s="61">
        <f t="shared" si="1"/>
        <v>10847.5229859479</v>
      </c>
      <c r="D18" s="61">
        <f t="shared" ref="D18:O18" si="8">D16-D17</f>
        <v>56.4478171861653</v>
      </c>
      <c r="E18" s="61">
        <f t="shared" si="8"/>
        <v>176.551311662126</v>
      </c>
      <c r="F18" s="61">
        <f t="shared" si="8"/>
        <v>306.319476861921</v>
      </c>
      <c r="G18" s="61">
        <f t="shared" si="8"/>
        <v>446.211594719276</v>
      </c>
      <c r="H18" s="61">
        <f t="shared" si="8"/>
        <v>596.535057540181</v>
      </c>
      <c r="I18" s="61">
        <f t="shared" si="8"/>
        <v>757.0159159839</v>
      </c>
      <c r="J18" s="61">
        <f t="shared" si="8"/>
        <v>927.532081198752</v>
      </c>
      <c r="K18" s="61">
        <f t="shared" si="8"/>
        <v>1108.54277695765</v>
      </c>
      <c r="L18" s="61">
        <f t="shared" si="8"/>
        <v>1300.50721263843</v>
      </c>
      <c r="M18" s="61">
        <f t="shared" si="8"/>
        <v>1504.34020828139</v>
      </c>
      <c r="N18" s="61">
        <f t="shared" si="8"/>
        <v>1720.80469464669</v>
      </c>
      <c r="O18" s="61">
        <f t="shared" si="8"/>
        <v>1946.71483827143</v>
      </c>
    </row>
    <row r="19" ht="12" customHeight="1" spans="1:15">
      <c r="A19" s="60">
        <v>15</v>
      </c>
      <c r="B19" s="49" t="s">
        <v>171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ht="12" customHeight="1" spans="1:15">
      <c r="A20" s="60">
        <v>16</v>
      </c>
      <c r="B20" s="49" t="s">
        <v>172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ht="12" customHeight="1" spans="1:15">
      <c r="A21" s="60">
        <v>17</v>
      </c>
      <c r="B21" s="49" t="s">
        <v>173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ht="12" customHeight="1" spans="1:15">
      <c r="A22" s="60">
        <v>18</v>
      </c>
      <c r="B22" s="49" t="s">
        <v>174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ht="12" customHeight="1" spans="1:15">
      <c r="A23" s="60"/>
      <c r="B23" s="49" t="s">
        <v>175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ht="12" customHeight="1" spans="1:15">
      <c r="A24" s="60">
        <v>19</v>
      </c>
      <c r="B24" s="42" t="s">
        <v>176</v>
      </c>
      <c r="C24" s="61">
        <f>SUM(D24:O24)</f>
        <v>10847.5229859479</v>
      </c>
      <c r="D24" s="61">
        <f t="shared" ref="D24:O24" si="9">D18-D19-D20-D21-D22</f>
        <v>56.4478171861653</v>
      </c>
      <c r="E24" s="61">
        <f t="shared" si="9"/>
        <v>176.551311662126</v>
      </c>
      <c r="F24" s="61">
        <f t="shared" si="9"/>
        <v>306.319476861921</v>
      </c>
      <c r="G24" s="61">
        <f t="shared" si="9"/>
        <v>446.211594719276</v>
      </c>
      <c r="H24" s="61">
        <f t="shared" si="9"/>
        <v>596.535057540181</v>
      </c>
      <c r="I24" s="61">
        <f t="shared" si="9"/>
        <v>757.0159159839</v>
      </c>
      <c r="J24" s="61">
        <f t="shared" si="9"/>
        <v>927.532081198752</v>
      </c>
      <c r="K24" s="61">
        <f t="shared" si="9"/>
        <v>1108.54277695765</v>
      </c>
      <c r="L24" s="61">
        <f t="shared" si="9"/>
        <v>1300.50721263843</v>
      </c>
      <c r="M24" s="61">
        <f t="shared" si="9"/>
        <v>1504.34020828139</v>
      </c>
      <c r="N24" s="61">
        <f t="shared" si="9"/>
        <v>1720.80469464669</v>
      </c>
      <c r="O24" s="61">
        <f t="shared" si="9"/>
        <v>1946.71483827143</v>
      </c>
    </row>
    <row r="25" ht="12" customHeight="1" spans="1:15">
      <c r="A25" s="60">
        <v>20</v>
      </c>
      <c r="B25" s="42" t="s">
        <v>177</v>
      </c>
      <c r="C25" s="61">
        <f>SUM(D25:O25)</f>
        <v>4080.57198262434</v>
      </c>
      <c r="D25" s="61">
        <f>D10+总成本费用表!D12</f>
        <v>176.551395831356</v>
      </c>
      <c r="E25" s="61">
        <f>E10+总成本费用表!E12</f>
        <v>354.331102927349</v>
      </c>
      <c r="F25" s="61">
        <f>F10+总成本费用表!F12</f>
        <v>355.599133629327</v>
      </c>
      <c r="G25" s="61">
        <f>G10+总成本费用表!G12</f>
        <v>356.872582010896</v>
      </c>
      <c r="H25" s="61">
        <f>H10+总成本费用表!H12</f>
        <v>358.15142640134</v>
      </c>
      <c r="I25" s="61">
        <f>I10+总成本费用表!I12</f>
        <v>358.124419916621</v>
      </c>
      <c r="J25" s="61">
        <f>J10+总成本费用表!J12</f>
        <v>356.791541059041</v>
      </c>
      <c r="K25" s="61">
        <f>K10+总成本费用表!K12</f>
        <v>355.463993716892</v>
      </c>
      <c r="L25" s="61">
        <f>L10+总成本费用表!L12</f>
        <v>354.141756564111</v>
      </c>
      <c r="M25" s="61">
        <f>M10+总成本费用表!M12</f>
        <v>352.824808359942</v>
      </c>
      <c r="N25" s="61">
        <f>N10+总成本费用表!N12</f>
        <v>351.513127948588</v>
      </c>
      <c r="O25" s="61">
        <f>O10+总成本费用表!O12</f>
        <v>350.206694258882</v>
      </c>
    </row>
    <row r="26" ht="18" customHeight="1" spans="1:15">
      <c r="A26" s="60">
        <v>21</v>
      </c>
      <c r="B26" s="42" t="s">
        <v>178</v>
      </c>
      <c r="C26" s="61">
        <f>SUM(D26:O26)</f>
        <v>6693.72378871506</v>
      </c>
      <c r="D26" s="61">
        <f>D25+总成本费用表!D10+总成本费用表!D11</f>
        <v>290.166691748344</v>
      </c>
      <c r="E26" s="61">
        <f>E25+总成本费用表!E10+总成本费用表!E11</f>
        <v>581.561694761324</v>
      </c>
      <c r="F26" s="61">
        <f>F25+总成本费用表!F10+总成本费用表!F11</f>
        <v>582.829725463302</v>
      </c>
      <c r="G26" s="61">
        <f>G25+总成本费用表!G10+总成本费用表!G11</f>
        <v>584.103173844871</v>
      </c>
      <c r="H26" s="61">
        <f>H25+总成本费用表!H10+总成本费用表!H11</f>
        <v>585.382018235315</v>
      </c>
      <c r="I26" s="61">
        <f>I25+总成本费用表!I10+总成本费用表!I11</f>
        <v>585.355011750596</v>
      </c>
      <c r="J26" s="61">
        <f>J25+总成本费用表!J10+总成本费用表!J11</f>
        <v>584.022132893016</v>
      </c>
      <c r="K26" s="61">
        <f>K25+总成本费用表!K10+总成本费用表!K11</f>
        <v>582.694585550867</v>
      </c>
      <c r="L26" s="61">
        <f>L25+总成本费用表!L10+总成本费用表!L11</f>
        <v>581.372348398086</v>
      </c>
      <c r="M26" s="61">
        <f>M25+总成本费用表!M10+总成本费用表!M11</f>
        <v>580.055400193917</v>
      </c>
      <c r="N26" s="61">
        <f>N25+总成本费用表!N10+总成本费用表!N11</f>
        <v>578.743719782564</v>
      </c>
      <c r="O26" s="61">
        <f>O25+总成本费用表!O10+总成本费用表!O11</f>
        <v>577.437286092857</v>
      </c>
    </row>
  </sheetData>
  <mergeCells count="3">
    <mergeCell ref="A1:M1"/>
    <mergeCell ref="D3:O3"/>
    <mergeCell ref="A3:A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opLeftCell="A16" workbookViewId="0">
      <selection activeCell="L28" sqref="L28"/>
    </sheetView>
  </sheetViews>
  <sheetFormatPr defaultColWidth="9" defaultRowHeight="14.4"/>
  <cols>
    <col min="1" max="1" width="4.12962962962963" customWidth="1"/>
    <col min="2" max="2" width="17.5555555555556" customWidth="1"/>
    <col min="3" max="3" width="9.62962962962963" customWidth="1"/>
    <col min="4" max="13" width="11.5555555555556" customWidth="1"/>
  </cols>
  <sheetData>
    <row r="1" ht="17.85" customHeight="1" spans="1:13">
      <c r="A1" s="32" t="s">
        <v>179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3:13">
      <c r="M2" t="s">
        <v>1</v>
      </c>
    </row>
    <row r="3" s="30" customFormat="1" ht="15" customHeight="1" spans="1:15">
      <c r="A3" s="34" t="s">
        <v>2</v>
      </c>
      <c r="B3" s="35" t="s">
        <v>180</v>
      </c>
      <c r="C3" s="36" t="s">
        <v>8</v>
      </c>
      <c r="D3" s="37" t="s">
        <v>181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="30" customFormat="1" ht="15" customHeight="1" spans="1:15">
      <c r="A4" s="34"/>
      <c r="B4" s="38"/>
      <c r="C4" s="39"/>
      <c r="D4" s="40">
        <v>1</v>
      </c>
      <c r="E4" s="40">
        <v>2</v>
      </c>
      <c r="F4" s="40">
        <v>3</v>
      </c>
      <c r="G4" s="40">
        <v>4</v>
      </c>
      <c r="H4" s="40">
        <v>5</v>
      </c>
      <c r="I4" s="40">
        <v>6</v>
      </c>
      <c r="J4" s="40">
        <v>7</v>
      </c>
      <c r="K4" s="40">
        <v>8</v>
      </c>
      <c r="L4" s="40">
        <v>9</v>
      </c>
      <c r="M4" s="40">
        <v>10</v>
      </c>
      <c r="N4" s="40">
        <v>11</v>
      </c>
      <c r="O4" s="40">
        <v>12</v>
      </c>
    </row>
    <row r="5" s="30" customFormat="1" ht="15" customHeight="1" spans="1:15">
      <c r="A5" s="41">
        <v>1</v>
      </c>
      <c r="B5" s="42" t="s">
        <v>182</v>
      </c>
      <c r="C5" s="43">
        <f>SUM(D5:O5)</f>
        <v>11616.3775771366</v>
      </c>
      <c r="D5" s="44">
        <f t="shared" ref="D5:O5" si="0">D6+D7+D8+D9</f>
        <v>862.467249898805</v>
      </c>
      <c r="E5" s="44">
        <f t="shared" si="0"/>
        <v>780.037115197075</v>
      </c>
      <c r="F5" s="44">
        <f t="shared" si="0"/>
        <v>781.392750256287</v>
      </c>
      <c r="G5" s="44">
        <f t="shared" si="0"/>
        <v>782.754842775262</v>
      </c>
      <c r="H5" s="44">
        <f t="shared" si="0"/>
        <v>784.123366924161</v>
      </c>
      <c r="I5" s="44">
        <f t="shared" si="0"/>
        <v>784.013296976464</v>
      </c>
      <c r="J5" s="44">
        <f t="shared" si="0"/>
        <v>782.424607308558</v>
      </c>
      <c r="K5" s="44">
        <f t="shared" si="0"/>
        <v>780.842272399324</v>
      </c>
      <c r="L5" s="44">
        <f t="shared" si="0"/>
        <v>779.266266829727</v>
      </c>
      <c r="M5" s="44">
        <f t="shared" si="0"/>
        <v>777.696565282408</v>
      </c>
      <c r="N5" s="44">
        <f t="shared" si="0"/>
        <v>776.133142541278</v>
      </c>
      <c r="O5" s="44">
        <f t="shared" si="0"/>
        <v>2945.22610074724</v>
      </c>
    </row>
    <row r="6" s="30" customFormat="1" ht="15" customHeight="1" spans="1:15">
      <c r="A6" s="41">
        <v>1.1</v>
      </c>
      <c r="B6" s="42" t="s">
        <v>97</v>
      </c>
      <c r="C6" s="43">
        <f>SUM(D6:O6)</f>
        <v>8972.60418174726</v>
      </c>
      <c r="D6" s="44">
        <f>营业收入及税金表!D5</f>
        <v>389.3439817656</v>
      </c>
      <c r="E6" s="44">
        <f>营业收入及税金表!E5</f>
        <v>780.037115197075</v>
      </c>
      <c r="F6" s="44">
        <f>营业收入及税金表!F5</f>
        <v>781.392750256287</v>
      </c>
      <c r="G6" s="44">
        <f>营业收入及税金表!G5</f>
        <v>782.754842775262</v>
      </c>
      <c r="H6" s="44">
        <f>营业收入及税金表!H5</f>
        <v>784.123366924161</v>
      </c>
      <c r="I6" s="44">
        <f>营业收入及税金表!I5</f>
        <v>784.013296976464</v>
      </c>
      <c r="J6" s="44">
        <f>营业收入及税金表!J5</f>
        <v>782.424607308558</v>
      </c>
      <c r="K6" s="44">
        <f>营业收入及税金表!K5</f>
        <v>780.842272399324</v>
      </c>
      <c r="L6" s="44">
        <f>营业收入及税金表!L5</f>
        <v>779.266266829727</v>
      </c>
      <c r="M6" s="44">
        <f>营业收入及税金表!M5</f>
        <v>777.696565282408</v>
      </c>
      <c r="N6" s="44">
        <f>营业收入及税金表!N5</f>
        <v>776.133142541278</v>
      </c>
      <c r="O6" s="44">
        <f>营业收入及税金表!O5</f>
        <v>774.575973491114</v>
      </c>
    </row>
    <row r="7" s="31" customFormat="1" ht="15" customHeight="1" spans="1:15">
      <c r="A7" s="45">
        <v>1.2</v>
      </c>
      <c r="B7" s="46" t="s">
        <v>183</v>
      </c>
      <c r="C7" s="43"/>
      <c r="D7" s="47">
        <f>D11*0.09</f>
        <v>473.123268133205</v>
      </c>
      <c r="E7" s="47"/>
      <c r="F7" s="48"/>
      <c r="G7" s="47"/>
      <c r="H7" s="47"/>
      <c r="I7" s="47"/>
      <c r="J7" s="47"/>
      <c r="K7" s="47"/>
      <c r="L7" s="47"/>
      <c r="M7" s="47"/>
      <c r="N7" s="47"/>
      <c r="O7" s="47"/>
    </row>
    <row r="8" s="30" customFormat="1" ht="15" customHeight="1" spans="1:15">
      <c r="A8" s="41">
        <v>1.3</v>
      </c>
      <c r="B8" s="42" t="s">
        <v>184</v>
      </c>
      <c r="C8" s="43">
        <f>SUM(D8:O8)</f>
        <v>2170.65012725613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>
        <f>固定资产折旧!Q8</f>
        <v>2170.65012725613</v>
      </c>
    </row>
    <row r="9" s="30" customFormat="1" ht="15" customHeight="1" spans="1:15">
      <c r="A9" s="41">
        <v>1.4</v>
      </c>
      <c r="B9" s="42" t="s">
        <v>185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="30" customFormat="1" ht="15" customHeight="1" spans="1:15">
      <c r="A10" s="41">
        <v>2</v>
      </c>
      <c r="B10" s="42" t="s">
        <v>186</v>
      </c>
      <c r="C10" s="43">
        <f>SUM(D10:O10)</f>
        <v>7535.80559451225</v>
      </c>
      <c r="D10" s="44">
        <f t="shared" ref="D10:O10" si="1">D11+D12+D13+D14+D15+D16</f>
        <v>5356.10249149731</v>
      </c>
      <c r="E10" s="44">
        <f t="shared" si="1"/>
        <v>198.475420435751</v>
      </c>
      <c r="F10" s="44">
        <f t="shared" si="1"/>
        <v>198.563024792985</v>
      </c>
      <c r="G10" s="44">
        <f t="shared" si="1"/>
        <v>198.651668930391</v>
      </c>
      <c r="H10" s="44">
        <f t="shared" si="1"/>
        <v>198.741348688846</v>
      </c>
      <c r="I10" s="44">
        <f t="shared" si="1"/>
        <v>198.658285225868</v>
      </c>
      <c r="J10" s="44">
        <f t="shared" si="1"/>
        <v>198.402474415542</v>
      </c>
      <c r="K10" s="44">
        <f t="shared" si="1"/>
        <v>198.147686848457</v>
      </c>
      <c r="L10" s="44">
        <f t="shared" si="1"/>
        <v>197.893918431641</v>
      </c>
      <c r="M10" s="44">
        <f t="shared" si="1"/>
        <v>197.641165088491</v>
      </c>
      <c r="N10" s="44">
        <f t="shared" si="1"/>
        <v>197.389422758715</v>
      </c>
      <c r="O10" s="44">
        <f t="shared" si="1"/>
        <v>197.138687398257</v>
      </c>
    </row>
    <row r="11" s="30" customFormat="1" ht="15" customHeight="1" spans="1:15">
      <c r="A11" s="41">
        <v>2.1</v>
      </c>
      <c r="B11" s="42" t="s">
        <v>187</v>
      </c>
      <c r="C11" s="43">
        <f>SUM(D11:O11)</f>
        <v>5256.92520148005</v>
      </c>
      <c r="D11" s="44">
        <f>总投资!G53</f>
        <v>5256.92520148005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="30" customFormat="1" ht="15" customHeight="1" spans="1:15">
      <c r="A12" s="41">
        <v>2.2</v>
      </c>
      <c r="B12" s="42" t="s">
        <v>188</v>
      </c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="30" customFormat="1" ht="15" customHeight="1" spans="1:15">
      <c r="A13" s="41">
        <v>2.3</v>
      </c>
      <c r="B13" s="42" t="s">
        <v>189</v>
      </c>
      <c r="C13" s="43">
        <f>SUM(D13:O13)</f>
        <v>1056.2018281222</v>
      </c>
      <c r="D13" s="44">
        <f>总成本费用表!D9</f>
        <v>45.887303308671</v>
      </c>
      <c r="E13" s="44">
        <f>总成本费用表!E9</f>
        <v>91.8415896506595</v>
      </c>
      <c r="F13" s="44">
        <f>总成本费用表!F9</f>
        <v>91.8687023518437</v>
      </c>
      <c r="G13" s="44">
        <f>总成本费用表!G9</f>
        <v>91.8959442022232</v>
      </c>
      <c r="H13" s="44">
        <f>总成本费用表!H9</f>
        <v>91.9233146852012</v>
      </c>
      <c r="I13" s="44">
        <f>总成本费用表!I9</f>
        <v>91.9211132862473</v>
      </c>
      <c r="J13" s="44">
        <f>总成本费用表!J9</f>
        <v>91.8893394928892</v>
      </c>
      <c r="K13" s="44">
        <f>总成本费用表!K9</f>
        <v>91.8576927947045</v>
      </c>
      <c r="L13" s="44">
        <f>总成本费用表!L9</f>
        <v>91.8261726833125</v>
      </c>
      <c r="M13" s="44">
        <f>总成本费用表!M9</f>
        <v>91.7947786523662</v>
      </c>
      <c r="N13" s="44">
        <f>总成本费用表!N9</f>
        <v>91.7635101975436</v>
      </c>
      <c r="O13" s="44">
        <f>总成本费用表!O9</f>
        <v>91.7323668165403</v>
      </c>
    </row>
    <row r="14" s="30" customFormat="1" ht="15" customHeight="1" spans="1:15">
      <c r="A14" s="41">
        <v>2.4</v>
      </c>
      <c r="B14" s="42" t="s">
        <v>159</v>
      </c>
      <c r="C14" s="43">
        <f>SUM(D14:O14)</f>
        <v>111.15259681</v>
      </c>
      <c r="D14" s="44">
        <f>营业收入及税金表!D34</f>
        <v>4.84454424623499</v>
      </c>
      <c r="E14" s="44">
        <f>营业收入及税金表!E34</f>
        <v>9.6939846168265</v>
      </c>
      <c r="F14" s="44">
        <f>营业收入及税金表!F34</f>
        <v>9.6994838582856</v>
      </c>
      <c r="G14" s="44">
        <f>营业收入及税金表!G34</f>
        <v>9.70506588437886</v>
      </c>
      <c r="H14" s="44">
        <f>营业收入及税金表!H34</f>
        <v>9.71073036396774</v>
      </c>
      <c r="I14" s="44">
        <f>营业收入及税金表!I34</f>
        <v>9.70337926723827</v>
      </c>
      <c r="J14" s="44">
        <f>营业收入及税金表!J34</f>
        <v>9.68301226569572</v>
      </c>
      <c r="K14" s="44">
        <f>营业收入及税金表!K34</f>
        <v>9.66272673215934</v>
      </c>
      <c r="L14" s="44">
        <f>营业收入及税金表!L34</f>
        <v>9.6425223407571</v>
      </c>
      <c r="M14" s="44">
        <f>营业收入及税金表!M34</f>
        <v>9.62239876692047</v>
      </c>
      <c r="N14" s="44">
        <f>营业收入及税金表!N34</f>
        <v>9.60235568737919</v>
      </c>
      <c r="O14" s="44">
        <f>营业收入及税金表!O34</f>
        <v>9.58239278015608</v>
      </c>
    </row>
    <row r="15" s="30" customFormat="1" ht="15" customHeight="1" spans="1:15">
      <c r="A15" s="41">
        <v>2.5</v>
      </c>
      <c r="B15" s="42" t="s">
        <v>143</v>
      </c>
      <c r="C15" s="43">
        <f>SUM(D15:O15)</f>
        <v>1111.5259681</v>
      </c>
      <c r="D15" s="44">
        <f>利润及利润分配表!D7</f>
        <v>48.4454424623499</v>
      </c>
      <c r="E15" s="44">
        <f>利润及利润分配表!E7</f>
        <v>96.939846168265</v>
      </c>
      <c r="F15" s="44">
        <f>利润及利润分配表!F7</f>
        <v>96.994838582856</v>
      </c>
      <c r="G15" s="44">
        <f>利润及利润分配表!G7</f>
        <v>97.0506588437886</v>
      </c>
      <c r="H15" s="44">
        <f>利润及利润分配表!H7</f>
        <v>97.1073036396774</v>
      </c>
      <c r="I15" s="44">
        <f>利润及利润分配表!I7</f>
        <v>97.0337926723827</v>
      </c>
      <c r="J15" s="44">
        <f>利润及利润分配表!J7</f>
        <v>96.8301226569571</v>
      </c>
      <c r="K15" s="44">
        <f>利润及利润分配表!K7</f>
        <v>96.6272673215934</v>
      </c>
      <c r="L15" s="44">
        <f>利润及利润分配表!L7</f>
        <v>96.425223407571</v>
      </c>
      <c r="M15" s="44">
        <f>利润及利润分配表!M7</f>
        <v>96.2239876692047</v>
      </c>
      <c r="N15" s="44">
        <f>利润及利润分配表!N7</f>
        <v>96.0235568737918</v>
      </c>
      <c r="O15" s="44">
        <f>利润及利润分配表!O7</f>
        <v>95.8239278015608</v>
      </c>
    </row>
    <row r="16" s="30" customFormat="1" ht="15" customHeight="1" spans="1:15">
      <c r="A16" s="41">
        <v>2.6</v>
      </c>
      <c r="B16" s="42" t="s">
        <v>190</v>
      </c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="30" customFormat="1" ht="22" customHeight="1" spans="1:15">
      <c r="A17" s="41">
        <v>3</v>
      </c>
      <c r="B17" s="49" t="s">
        <v>191</v>
      </c>
      <c r="C17" s="43">
        <f>SUM(D17:O17)</f>
        <v>4080.57198262434</v>
      </c>
      <c r="D17" s="44">
        <f t="shared" ref="D17:O17" si="2">D5-D10</f>
        <v>-4493.6352415985</v>
      </c>
      <c r="E17" s="44">
        <f t="shared" si="2"/>
        <v>581.561694761324</v>
      </c>
      <c r="F17" s="44">
        <f t="shared" si="2"/>
        <v>582.829725463302</v>
      </c>
      <c r="G17" s="44">
        <f t="shared" si="2"/>
        <v>584.103173844871</v>
      </c>
      <c r="H17" s="44">
        <f t="shared" si="2"/>
        <v>585.382018235315</v>
      </c>
      <c r="I17" s="44">
        <f t="shared" si="2"/>
        <v>585.355011750596</v>
      </c>
      <c r="J17" s="44">
        <f t="shared" si="2"/>
        <v>584.022132893016</v>
      </c>
      <c r="K17" s="44">
        <f t="shared" si="2"/>
        <v>582.694585550867</v>
      </c>
      <c r="L17" s="44">
        <f t="shared" si="2"/>
        <v>581.372348398086</v>
      </c>
      <c r="M17" s="44">
        <f t="shared" si="2"/>
        <v>580.055400193917</v>
      </c>
      <c r="N17" s="44">
        <f t="shared" si="2"/>
        <v>578.743719782563</v>
      </c>
      <c r="O17" s="44">
        <f t="shared" si="2"/>
        <v>2748.08741334899</v>
      </c>
    </row>
    <row r="18" s="30" customFormat="1" ht="22" customHeight="1" spans="1:15">
      <c r="A18" s="41">
        <v>4</v>
      </c>
      <c r="B18" s="49" t="s">
        <v>192</v>
      </c>
      <c r="C18" s="43"/>
      <c r="D18" s="44">
        <f>D17</f>
        <v>-4493.6352415985</v>
      </c>
      <c r="E18" s="44">
        <f t="shared" ref="E18:O18" si="3">D18+E17</f>
        <v>-3912.07354683718</v>
      </c>
      <c r="F18" s="44">
        <f t="shared" si="3"/>
        <v>-3329.24382137388</v>
      </c>
      <c r="G18" s="44">
        <f t="shared" si="3"/>
        <v>-2745.14064752901</v>
      </c>
      <c r="H18" s="44">
        <f t="shared" si="3"/>
        <v>-2159.75862929369</v>
      </c>
      <c r="I18" s="44">
        <f t="shared" si="3"/>
        <v>-1574.40361754309</v>
      </c>
      <c r="J18" s="44">
        <f t="shared" si="3"/>
        <v>-990.381484650079</v>
      </c>
      <c r="K18" s="44">
        <f t="shared" si="3"/>
        <v>-407.686899099212</v>
      </c>
      <c r="L18" s="44">
        <f t="shared" si="3"/>
        <v>173.685449298875</v>
      </c>
      <c r="M18" s="44">
        <f t="shared" si="3"/>
        <v>753.740849492791</v>
      </c>
      <c r="N18" s="44">
        <f t="shared" si="3"/>
        <v>1332.48456927535</v>
      </c>
      <c r="O18" s="44">
        <f t="shared" si="3"/>
        <v>4080.57198262434</v>
      </c>
    </row>
    <row r="19" s="30" customFormat="1" ht="22" customHeight="1" spans="1:15">
      <c r="A19" s="41">
        <v>5</v>
      </c>
      <c r="B19" s="49" t="s">
        <v>193</v>
      </c>
      <c r="C19" s="43">
        <f>SUM(D19:O19)</f>
        <v>2015.34219585773</v>
      </c>
      <c r="D19" s="44">
        <f>D17/POWER(1.042,1)</f>
        <v>-4312.50982878935</v>
      </c>
      <c r="E19" s="44">
        <f>E17/POWER(1.042,2)</f>
        <v>535.624403425905</v>
      </c>
      <c r="F19" s="44">
        <f>F17/POWER(1.042,3)</f>
        <v>515.155732211855</v>
      </c>
      <c r="G19" s="44">
        <f>G17/POWER(1.042,4)</f>
        <v>495.471513370464</v>
      </c>
      <c r="H19" s="44">
        <f>H17/POWER(1.042,5)</f>
        <v>476.541560703199</v>
      </c>
      <c r="I19" s="44">
        <f>I17/POWER(1.042,6)</f>
        <v>457.312452544783</v>
      </c>
      <c r="J19" s="44">
        <f>J17/POWER(1.042,7)</f>
        <v>437.880165231822</v>
      </c>
      <c r="K19" s="44">
        <f>K17/POWER(1.042,8)</f>
        <v>419.275254180308</v>
      </c>
      <c r="L19" s="44">
        <f>L17/POWER(1.042,9)</f>
        <v>401.46242266408</v>
      </c>
      <c r="M19" s="44">
        <f>M17/POWER(1.042,10)</f>
        <v>384.407882643644</v>
      </c>
      <c r="N19" s="44">
        <f>N17/POWER(1.042,10)</f>
        <v>383.538620346517</v>
      </c>
      <c r="O19" s="44">
        <f>O17/POWER(1.042,10)</f>
        <v>1821.18201732451</v>
      </c>
    </row>
    <row r="20" s="30" customFormat="1" ht="22" customHeight="1" spans="1:15">
      <c r="A20" s="41">
        <v>6</v>
      </c>
      <c r="B20" s="49" t="s">
        <v>194</v>
      </c>
      <c r="C20" s="43"/>
      <c r="D20" s="44">
        <f>D19</f>
        <v>-4312.50982878935</v>
      </c>
      <c r="E20" s="44">
        <f t="shared" ref="E20:O20" si="4">D20+E19</f>
        <v>-3776.88542536344</v>
      </c>
      <c r="F20" s="44">
        <f t="shared" si="4"/>
        <v>-3261.72969315159</v>
      </c>
      <c r="G20" s="44">
        <f t="shared" si="4"/>
        <v>-2766.25817978113</v>
      </c>
      <c r="H20" s="44">
        <f t="shared" si="4"/>
        <v>-2289.71661907793</v>
      </c>
      <c r="I20" s="44">
        <f t="shared" si="4"/>
        <v>-1832.40416653314</v>
      </c>
      <c r="J20" s="44">
        <f t="shared" si="4"/>
        <v>-1394.52400130132</v>
      </c>
      <c r="K20" s="44">
        <f t="shared" si="4"/>
        <v>-975.248747121015</v>
      </c>
      <c r="L20" s="44">
        <f t="shared" si="4"/>
        <v>-573.786324456934</v>
      </c>
      <c r="M20" s="44">
        <f t="shared" si="4"/>
        <v>-189.378441813291</v>
      </c>
      <c r="N20" s="44">
        <f t="shared" si="4"/>
        <v>194.160178533226</v>
      </c>
      <c r="O20" s="44">
        <f t="shared" si="4"/>
        <v>2015.34219585773</v>
      </c>
    </row>
    <row r="21" s="30" customFormat="1" ht="22" customHeight="1" spans="1:15">
      <c r="A21" s="41">
        <v>7</v>
      </c>
      <c r="B21" s="49" t="s">
        <v>195</v>
      </c>
      <c r="C21" s="43">
        <f>SUM(D21:O21)</f>
        <v>700.098896698247</v>
      </c>
      <c r="D21" s="44"/>
      <c r="E21" s="44">
        <f>利润及利润分配表!E13</f>
        <v>44.4827757318373</v>
      </c>
      <c r="F21" s="44">
        <f>利润及利润分配表!F13</f>
        <v>48.0622834073316</v>
      </c>
      <c r="G21" s="44">
        <f>利润及利润分配表!G13</f>
        <v>51.8118955027241</v>
      </c>
      <c r="H21" s="44">
        <f>利润及利润分配表!H13</f>
        <v>55.6753566003349</v>
      </c>
      <c r="I21" s="44">
        <f>利润及利润分配表!I13</f>
        <v>59.4373549791552</v>
      </c>
      <c r="J21" s="44">
        <f>利润及利润分配表!J13</f>
        <v>63.1541352647603</v>
      </c>
      <c r="K21" s="44">
        <f>利润及利润分配表!K13</f>
        <v>67.040998429223</v>
      </c>
      <c r="L21" s="44">
        <f>利润及利润分配表!L13</f>
        <v>71.0979391410278</v>
      </c>
      <c r="M21" s="44">
        <f>利润及利润分配表!M13</f>
        <v>75.4937020899854</v>
      </c>
      <c r="N21" s="44">
        <f>利润及利润分配表!N13</f>
        <v>80.1720319871471</v>
      </c>
      <c r="O21" s="44">
        <f>利润及利润分配表!O13</f>
        <v>83.6704235647205</v>
      </c>
    </row>
    <row r="22" s="30" customFormat="1" ht="22" customHeight="1" spans="1:15">
      <c r="A22" s="41">
        <v>8</v>
      </c>
      <c r="B22" s="49" t="s">
        <v>196</v>
      </c>
      <c r="C22" s="43">
        <f>SUM(D22:O22)</f>
        <v>3380.47308592609</v>
      </c>
      <c r="D22" s="44">
        <f t="shared" ref="D22:O22" si="5">D17-D21</f>
        <v>-4493.6352415985</v>
      </c>
      <c r="E22" s="44">
        <f t="shared" si="5"/>
        <v>537.078919029487</v>
      </c>
      <c r="F22" s="44">
        <f t="shared" si="5"/>
        <v>534.76744205597</v>
      </c>
      <c r="G22" s="44">
        <f t="shared" si="5"/>
        <v>532.291278342147</v>
      </c>
      <c r="H22" s="44">
        <f t="shared" si="5"/>
        <v>529.70666163498</v>
      </c>
      <c r="I22" s="44">
        <f t="shared" si="5"/>
        <v>525.917656771441</v>
      </c>
      <c r="J22" s="44">
        <f t="shared" si="5"/>
        <v>520.867997628256</v>
      </c>
      <c r="K22" s="44">
        <f t="shared" si="5"/>
        <v>515.653587121644</v>
      </c>
      <c r="L22" s="44">
        <f t="shared" si="5"/>
        <v>510.274409257059</v>
      </c>
      <c r="M22" s="44">
        <f t="shared" si="5"/>
        <v>504.561698103931</v>
      </c>
      <c r="N22" s="44">
        <f t="shared" si="5"/>
        <v>498.571687795416</v>
      </c>
      <c r="O22" s="44">
        <f t="shared" si="5"/>
        <v>2664.41698978427</v>
      </c>
    </row>
    <row r="23" s="30" customFormat="1" ht="22" customHeight="1" spans="1:15">
      <c r="A23" s="41">
        <v>9</v>
      </c>
      <c r="B23" s="49" t="s">
        <v>197</v>
      </c>
      <c r="C23" s="43"/>
      <c r="D23" s="44">
        <f>D22</f>
        <v>-4493.6352415985</v>
      </c>
      <c r="E23" s="44">
        <f t="shared" ref="E23:O23" si="6">D23+E22</f>
        <v>-3956.55632256902</v>
      </c>
      <c r="F23" s="44">
        <f t="shared" si="6"/>
        <v>-3421.78888051305</v>
      </c>
      <c r="G23" s="44">
        <f t="shared" si="6"/>
        <v>-2889.4976021709</v>
      </c>
      <c r="H23" s="44">
        <f t="shared" si="6"/>
        <v>-2359.79094053592</v>
      </c>
      <c r="I23" s="44">
        <f t="shared" si="6"/>
        <v>-1833.87328376448</v>
      </c>
      <c r="J23" s="44">
        <f t="shared" si="6"/>
        <v>-1313.00528613622</v>
      </c>
      <c r="K23" s="44">
        <f t="shared" si="6"/>
        <v>-797.351699014578</v>
      </c>
      <c r="L23" s="44">
        <f t="shared" si="6"/>
        <v>-287.077289757519</v>
      </c>
      <c r="M23" s="44">
        <f t="shared" si="6"/>
        <v>217.484408346412</v>
      </c>
      <c r="N23" s="44">
        <f t="shared" si="6"/>
        <v>716.056096141828</v>
      </c>
      <c r="O23" s="44">
        <f t="shared" si="6"/>
        <v>3380.47308592609</v>
      </c>
    </row>
    <row r="24" s="30" customFormat="1" ht="22" customHeight="1" spans="1:15">
      <c r="A24" s="41">
        <v>10</v>
      </c>
      <c r="B24" s="49" t="s">
        <v>198</v>
      </c>
      <c r="C24" s="43">
        <f>SUM(D24:O24)</f>
        <v>1491.46454497374</v>
      </c>
      <c r="D24" s="44">
        <f>D22/POWER(1.042,1)</f>
        <v>-4312.50982878935</v>
      </c>
      <c r="E24" s="44">
        <f>E22/POWER(1.042,2)</f>
        <v>494.655301731764</v>
      </c>
      <c r="F24" s="44">
        <f>F22/POWER(1.042,3)</f>
        <v>472.674095262408</v>
      </c>
      <c r="G24" s="44">
        <f>G22/POWER(1.042,4)</f>
        <v>451.521541131236</v>
      </c>
      <c r="H24" s="44">
        <f>H22/POWER(1.042,5)</f>
        <v>431.217959190784</v>
      </c>
      <c r="I24" s="44">
        <f>I22/POWER(1.042,6)</f>
        <v>410.876628074771</v>
      </c>
      <c r="J24" s="44">
        <f>J22/POWER(1.042,7)</f>
        <v>390.529317331899</v>
      </c>
      <c r="K24" s="44">
        <f>K22/POWER(1.0425,8)</f>
        <v>369.614954299484</v>
      </c>
      <c r="L24" s="44">
        <f>L22/POWER(1.042,9)</f>
        <v>352.366260845191</v>
      </c>
      <c r="M24" s="44">
        <f>M22/POWER(1.042,10)</f>
        <v>334.377533536231</v>
      </c>
      <c r="N24" s="44">
        <f>N22/POWER(1.042,10)</f>
        <v>330.407900327162</v>
      </c>
      <c r="O24" s="44">
        <f>O22/POWER(1.042,10)</f>
        <v>1765.73288203216</v>
      </c>
    </row>
    <row r="25" s="30" customFormat="1" ht="22" customHeight="1" spans="1:15">
      <c r="A25" s="41">
        <v>11</v>
      </c>
      <c r="B25" s="49" t="s">
        <v>199</v>
      </c>
      <c r="C25" s="43"/>
      <c r="D25" s="44">
        <f>D24</f>
        <v>-4312.50982878935</v>
      </c>
      <c r="E25" s="44">
        <f t="shared" ref="E25:O25" si="7">D25+E24</f>
        <v>-3817.85452705759</v>
      </c>
      <c r="F25" s="44">
        <f t="shared" si="7"/>
        <v>-3345.18043179518</v>
      </c>
      <c r="G25" s="44">
        <f t="shared" si="7"/>
        <v>-2893.65889066394</v>
      </c>
      <c r="H25" s="44">
        <f t="shared" si="7"/>
        <v>-2462.44093147316</v>
      </c>
      <c r="I25" s="44">
        <f t="shared" si="7"/>
        <v>-2051.56430339839</v>
      </c>
      <c r="J25" s="44">
        <f t="shared" si="7"/>
        <v>-1661.03498606649</v>
      </c>
      <c r="K25" s="44">
        <f t="shared" si="7"/>
        <v>-1291.420031767</v>
      </c>
      <c r="L25" s="44">
        <f t="shared" si="7"/>
        <v>-939.053770921812</v>
      </c>
      <c r="M25" s="44">
        <f t="shared" si="7"/>
        <v>-604.67623738558</v>
      </c>
      <c r="N25" s="44">
        <f t="shared" si="7"/>
        <v>-274.268337058418</v>
      </c>
      <c r="O25" s="44">
        <f t="shared" si="7"/>
        <v>1491.46454497374</v>
      </c>
    </row>
    <row r="26" spans="2:2">
      <c r="B26" s="50" t="s">
        <v>200</v>
      </c>
    </row>
    <row r="27" spans="2:12">
      <c r="B27" s="51" t="s">
        <v>201</v>
      </c>
      <c r="C27" s="51"/>
      <c r="D27" s="51"/>
      <c r="E27" s="51"/>
      <c r="F27" s="52">
        <f>IRR(D17:O17)</f>
        <v>0.102060130873436</v>
      </c>
      <c r="G27" s="51"/>
      <c r="H27" s="50" t="s">
        <v>202</v>
      </c>
      <c r="L27" s="52">
        <f>IRR(D22:O22,4.2%)</f>
        <v>0.0861291526523231</v>
      </c>
    </row>
    <row r="28" spans="2:12">
      <c r="B28" s="51" t="s">
        <v>203</v>
      </c>
      <c r="C28" s="51"/>
      <c r="D28" s="51"/>
      <c r="E28" s="51"/>
      <c r="F28" s="53">
        <f>O20</f>
        <v>2015.34219585773</v>
      </c>
      <c r="H28" s="50" t="s">
        <v>204</v>
      </c>
      <c r="L28" s="53">
        <f>O25</f>
        <v>1491.46454497374</v>
      </c>
    </row>
    <row r="29" spans="2:12">
      <c r="B29" s="51" t="s">
        <v>205</v>
      </c>
      <c r="C29" s="51"/>
      <c r="D29" s="51"/>
      <c r="E29" s="51"/>
      <c r="F29" s="53">
        <f>12-1+ABS(N20)/O19</f>
        <v>11.1066121764251</v>
      </c>
      <c r="H29" s="50" t="s">
        <v>206</v>
      </c>
      <c r="L29" s="53">
        <f>12-1+ABS(N25/O24)</f>
        <v>11.1553283284518</v>
      </c>
    </row>
    <row r="30" spans="6:6">
      <c r="F30" s="53"/>
    </row>
  </sheetData>
  <mergeCells count="5">
    <mergeCell ref="A1:M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zoomScale="120" zoomScaleNormal="120" workbookViewId="0">
      <selection activeCell="P12" sqref="P12"/>
    </sheetView>
  </sheetViews>
  <sheetFormatPr defaultColWidth="8.62962962962963" defaultRowHeight="14.4"/>
  <cols>
    <col min="1" max="1" width="4.12962962962963" style="12" customWidth="1"/>
    <col min="2" max="2" width="9.62962962962963" style="12" customWidth="1"/>
    <col min="3" max="3" width="9.37037037037037" style="12"/>
    <col min="4" max="4" width="7.5" style="13" customWidth="1"/>
    <col min="5" max="5" width="8.61111111111111" style="13" customWidth="1"/>
    <col min="6" max="6" width="8.7037037037037" style="13" customWidth="1"/>
    <col min="7" max="14" width="8.7037037037037" style="12" customWidth="1"/>
    <col min="15" max="15" width="9.53703703703704" style="12" customWidth="1"/>
    <col min="16" max="26" width="8.62962962962963" style="12"/>
  </cols>
  <sheetData>
    <row r="1" ht="17.4" spans="1:14">
      <c r="A1" s="14" t="s">
        <v>207</v>
      </c>
      <c r="B1" s="14"/>
      <c r="C1" s="14"/>
      <c r="D1" s="15"/>
      <c r="E1" s="15"/>
      <c r="F1" s="15"/>
      <c r="G1" s="14"/>
      <c r="H1" s="14"/>
      <c r="I1" s="14"/>
      <c r="J1" s="14"/>
      <c r="K1" s="14"/>
      <c r="L1" s="14"/>
      <c r="M1" s="14"/>
      <c r="N1" s="14"/>
    </row>
    <row r="2" ht="16.15" customHeight="1" spans="14:14">
      <c r="N2" s="29" t="s">
        <v>1</v>
      </c>
    </row>
    <row r="3" spans="1:16">
      <c r="A3" s="16" t="s">
        <v>2</v>
      </c>
      <c r="B3" s="17"/>
      <c r="C3" s="18"/>
      <c r="D3" s="19" t="s">
        <v>181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9.2" spans="1:16">
      <c r="A4" s="16"/>
      <c r="B4" s="16" t="s">
        <v>180</v>
      </c>
      <c r="C4" s="16" t="s">
        <v>8</v>
      </c>
      <c r="D4" s="20" t="s">
        <v>208</v>
      </c>
      <c r="E4" s="21">
        <v>0.5</v>
      </c>
      <c r="F4" s="20">
        <v>2</v>
      </c>
      <c r="G4" s="20">
        <v>3</v>
      </c>
      <c r="H4" s="20">
        <v>4</v>
      </c>
      <c r="I4" s="20">
        <v>5</v>
      </c>
      <c r="J4" s="20">
        <v>6</v>
      </c>
      <c r="K4" s="20">
        <v>7</v>
      </c>
      <c r="L4" s="20">
        <v>8</v>
      </c>
      <c r="M4" s="20">
        <v>9</v>
      </c>
      <c r="N4" s="20">
        <v>10</v>
      </c>
      <c r="O4" s="20">
        <v>11</v>
      </c>
      <c r="P4" s="20">
        <v>12</v>
      </c>
    </row>
    <row r="5" ht="12.95" customHeight="1" spans="1:16">
      <c r="A5" s="22">
        <v>1</v>
      </c>
      <c r="B5" s="23" t="s">
        <v>209</v>
      </c>
      <c r="C5" s="24">
        <f>SUM(D5:N5)</f>
        <v>4200</v>
      </c>
      <c r="D5" s="25">
        <f>4200</f>
        <v>4200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>
      <c r="A6" s="26">
        <v>1.1</v>
      </c>
      <c r="B6" s="23" t="s">
        <v>210</v>
      </c>
      <c r="C6" s="24"/>
      <c r="D6" s="25"/>
      <c r="E6" s="25">
        <f t="shared" ref="E6:P6" si="0">D10</f>
        <v>4200</v>
      </c>
      <c r="F6" s="25">
        <f t="shared" si="0"/>
        <v>4060</v>
      </c>
      <c r="G6" s="25">
        <f t="shared" si="0"/>
        <v>3780</v>
      </c>
      <c r="H6" s="25">
        <f t="shared" si="0"/>
        <v>3480</v>
      </c>
      <c r="I6" s="25">
        <f t="shared" si="0"/>
        <v>3170</v>
      </c>
      <c r="J6" s="25">
        <f t="shared" si="0"/>
        <v>2850</v>
      </c>
      <c r="K6" s="25">
        <f t="shared" si="0"/>
        <v>2500</v>
      </c>
      <c r="L6" s="25">
        <f t="shared" si="0"/>
        <v>2130</v>
      </c>
      <c r="M6" s="25">
        <f t="shared" si="0"/>
        <v>1750</v>
      </c>
      <c r="N6" s="25">
        <f t="shared" si="0"/>
        <v>1350</v>
      </c>
      <c r="O6" s="25">
        <f t="shared" si="0"/>
        <v>910</v>
      </c>
      <c r="P6" s="25">
        <f t="shared" si="0"/>
        <v>460</v>
      </c>
    </row>
    <row r="7" ht="12.95" customHeight="1" spans="1:16">
      <c r="A7" s="26">
        <v>1.2</v>
      </c>
      <c r="B7" s="23" t="s">
        <v>211</v>
      </c>
      <c r="C7" s="24">
        <f>SUM(D7:P7)</f>
        <v>5443.8</v>
      </c>
      <c r="D7" s="25">
        <f t="shared" ref="D7:P7" si="1">D8+D9</f>
        <v>47.25</v>
      </c>
      <c r="E7" s="25">
        <f t="shared" si="1"/>
        <v>232.925</v>
      </c>
      <c r="F7" s="25">
        <f t="shared" si="1"/>
        <v>456.4</v>
      </c>
      <c r="G7" s="25">
        <f t="shared" si="1"/>
        <v>463.35</v>
      </c>
      <c r="H7" s="25">
        <f t="shared" si="1"/>
        <v>459.625</v>
      </c>
      <c r="I7" s="25">
        <f t="shared" si="1"/>
        <v>455.45</v>
      </c>
      <c r="J7" s="25">
        <f t="shared" si="1"/>
        <v>470.375</v>
      </c>
      <c r="K7" s="25">
        <f t="shared" si="1"/>
        <v>474.175</v>
      </c>
      <c r="L7" s="25">
        <f t="shared" si="1"/>
        <v>467.3</v>
      </c>
      <c r="M7" s="25">
        <f t="shared" si="1"/>
        <v>469.75</v>
      </c>
      <c r="N7" s="25">
        <f t="shared" si="1"/>
        <v>490.85</v>
      </c>
      <c r="O7" s="25">
        <f t="shared" si="1"/>
        <v>480.825</v>
      </c>
      <c r="P7" s="25">
        <f t="shared" si="1"/>
        <v>475.525</v>
      </c>
    </row>
    <row r="8" ht="14.1" customHeight="1" spans="1:16">
      <c r="A8" s="26"/>
      <c r="B8" s="24" t="s">
        <v>212</v>
      </c>
      <c r="C8" s="24">
        <f>SUM(D8:P8)</f>
        <v>4200</v>
      </c>
      <c r="D8" s="25"/>
      <c r="E8" s="25">
        <v>140</v>
      </c>
      <c r="F8" s="25">
        <v>280</v>
      </c>
      <c r="G8" s="25">
        <v>300</v>
      </c>
      <c r="H8" s="25">
        <v>310</v>
      </c>
      <c r="I8" s="25">
        <f>320</f>
        <v>320</v>
      </c>
      <c r="J8" s="25">
        <v>350</v>
      </c>
      <c r="K8" s="25">
        <f>370</f>
        <v>370</v>
      </c>
      <c r="L8" s="25">
        <v>380</v>
      </c>
      <c r="M8" s="25">
        <v>400</v>
      </c>
      <c r="N8" s="25">
        <f>440</f>
        <v>440</v>
      </c>
      <c r="O8" s="25">
        <f>450</f>
        <v>450</v>
      </c>
      <c r="P8" s="25">
        <f>460</f>
        <v>460</v>
      </c>
    </row>
    <row r="9" spans="1:16">
      <c r="A9" s="26"/>
      <c r="B9" s="27" t="s">
        <v>213</v>
      </c>
      <c r="C9" s="24">
        <f>SUM(D9:P9)</f>
        <v>1243.8</v>
      </c>
      <c r="D9" s="25">
        <f>D5*0.045*0.25</f>
        <v>47.25</v>
      </c>
      <c r="E9" s="25">
        <f>(E6+F6)/2*0.045*0.5</f>
        <v>92.925</v>
      </c>
      <c r="F9" s="25">
        <f>(F6+G6)/2*0.045</f>
        <v>176.4</v>
      </c>
      <c r="G9" s="25">
        <f t="shared" ref="G9:O9" si="2">(G6+H6)/2*0.045</f>
        <v>163.35</v>
      </c>
      <c r="H9" s="25">
        <f t="shared" si="2"/>
        <v>149.625</v>
      </c>
      <c r="I9" s="25">
        <f t="shared" si="2"/>
        <v>135.45</v>
      </c>
      <c r="J9" s="25">
        <f t="shared" si="2"/>
        <v>120.375</v>
      </c>
      <c r="K9" s="25">
        <f t="shared" si="2"/>
        <v>104.175</v>
      </c>
      <c r="L9" s="25">
        <f t="shared" si="2"/>
        <v>87.3</v>
      </c>
      <c r="M9" s="25">
        <f t="shared" si="2"/>
        <v>69.75</v>
      </c>
      <c r="N9" s="25">
        <f t="shared" si="2"/>
        <v>50.85</v>
      </c>
      <c r="O9" s="25">
        <f t="shared" si="2"/>
        <v>30.825</v>
      </c>
      <c r="P9" s="25">
        <f>(P6+P6/2)/2*0.045</f>
        <v>15.525</v>
      </c>
    </row>
    <row r="10" spans="1:16">
      <c r="A10" s="26">
        <v>1.3</v>
      </c>
      <c r="B10" s="23" t="s">
        <v>214</v>
      </c>
      <c r="C10" s="24">
        <f>SUM(D10:P10)</f>
        <v>30640</v>
      </c>
      <c r="D10" s="25">
        <f>D5</f>
        <v>4200</v>
      </c>
      <c r="E10" s="25">
        <f t="shared" ref="E10:P10" si="3">E6-E8</f>
        <v>4060</v>
      </c>
      <c r="F10" s="25">
        <f t="shared" si="3"/>
        <v>3780</v>
      </c>
      <c r="G10" s="25">
        <f t="shared" si="3"/>
        <v>3480</v>
      </c>
      <c r="H10" s="25">
        <f t="shared" si="3"/>
        <v>3170</v>
      </c>
      <c r="I10" s="25">
        <f t="shared" si="3"/>
        <v>2850</v>
      </c>
      <c r="J10" s="25">
        <f t="shared" si="3"/>
        <v>2500</v>
      </c>
      <c r="K10" s="25">
        <f t="shared" si="3"/>
        <v>2130</v>
      </c>
      <c r="L10" s="25">
        <f t="shared" si="3"/>
        <v>1750</v>
      </c>
      <c r="M10" s="25">
        <f t="shared" si="3"/>
        <v>1350</v>
      </c>
      <c r="N10" s="25">
        <f t="shared" si="3"/>
        <v>910</v>
      </c>
      <c r="O10" s="25">
        <f t="shared" si="3"/>
        <v>460</v>
      </c>
      <c r="P10" s="25">
        <f t="shared" si="3"/>
        <v>0</v>
      </c>
    </row>
    <row r="11" ht="19.9" customHeight="1" spans="1:16">
      <c r="A11" s="22">
        <v>4</v>
      </c>
      <c r="B11" s="24" t="s">
        <v>215</v>
      </c>
      <c r="C11" s="24">
        <f>SUM(D11:P11)</f>
        <v>6693.72378871506</v>
      </c>
      <c r="D11" s="25"/>
      <c r="E11" s="25">
        <f>利润及利润分配表!D26</f>
        <v>290.166691748344</v>
      </c>
      <c r="F11" s="25">
        <f>利润及利润分配表!E26</f>
        <v>581.561694761324</v>
      </c>
      <c r="G11" s="25">
        <f>利润及利润分配表!F26</f>
        <v>582.829725463302</v>
      </c>
      <c r="H11" s="25">
        <f>利润及利润分配表!G26</f>
        <v>584.103173844871</v>
      </c>
      <c r="I11" s="25">
        <f>利润及利润分配表!H26</f>
        <v>585.382018235315</v>
      </c>
      <c r="J11" s="25">
        <f>利润及利润分配表!I26</f>
        <v>585.355011750596</v>
      </c>
      <c r="K11" s="25">
        <f>利润及利润分配表!J26</f>
        <v>584.022132893016</v>
      </c>
      <c r="L11" s="25">
        <f>利润及利润分配表!K26</f>
        <v>582.694585550867</v>
      </c>
      <c r="M11" s="25">
        <f>利润及利润分配表!L26</f>
        <v>581.372348398086</v>
      </c>
      <c r="N11" s="25">
        <f>利润及利润分配表!M26</f>
        <v>580.055400193917</v>
      </c>
      <c r="O11" s="25">
        <f>利润及利润分配表!N26</f>
        <v>578.743719782564</v>
      </c>
      <c r="P11" s="25">
        <f>利润及利润分配表!O26</f>
        <v>577.437286092857</v>
      </c>
    </row>
    <row r="12" spans="1:16">
      <c r="A12" s="28" t="s">
        <v>216</v>
      </c>
      <c r="B12" s="24" t="s">
        <v>217</v>
      </c>
      <c r="C12" s="23">
        <f>C11/C9</f>
        <v>5.38167212471061</v>
      </c>
      <c r="D12" s="25"/>
      <c r="E12" s="25">
        <f t="shared" ref="E12:P12" si="4">E11/E9</f>
        <v>3.12259017216405</v>
      </c>
      <c r="F12" s="25">
        <f t="shared" si="4"/>
        <v>3.2968350043159</v>
      </c>
      <c r="G12" s="25">
        <f t="shared" si="4"/>
        <v>3.56798117822652</v>
      </c>
      <c r="H12" s="25">
        <f t="shared" si="4"/>
        <v>3.90378061049204</v>
      </c>
      <c r="I12" s="25">
        <f t="shared" si="4"/>
        <v>4.3217572405708</v>
      </c>
      <c r="J12" s="25">
        <f t="shared" si="4"/>
        <v>4.86276229907037</v>
      </c>
      <c r="K12" s="25">
        <f t="shared" si="4"/>
        <v>5.60616398265434</v>
      </c>
      <c r="L12" s="25">
        <f t="shared" si="4"/>
        <v>6.67462297309126</v>
      </c>
      <c r="M12" s="25">
        <f t="shared" si="4"/>
        <v>8.33508743223063</v>
      </c>
      <c r="N12" s="25">
        <f t="shared" si="4"/>
        <v>11.4071858445215</v>
      </c>
      <c r="O12" s="25">
        <f t="shared" si="4"/>
        <v>18.7751409499615</v>
      </c>
      <c r="P12" s="25">
        <f t="shared" si="4"/>
        <v>37.194028089717</v>
      </c>
    </row>
    <row r="13" spans="1:16">
      <c r="A13" s="28"/>
      <c r="B13" s="24" t="s">
        <v>218</v>
      </c>
      <c r="C13" s="23">
        <f>C11/C7</f>
        <v>1.22960501648023</v>
      </c>
      <c r="D13" s="25"/>
      <c r="E13" s="25">
        <f t="shared" ref="E13:P13" si="5">E11/E7</f>
        <v>1.24575160136672</v>
      </c>
      <c r="F13" s="25">
        <f t="shared" si="5"/>
        <v>1.2742368421589</v>
      </c>
      <c r="G13" s="25">
        <f t="shared" si="5"/>
        <v>1.25786063550945</v>
      </c>
      <c r="H13" s="25">
        <f t="shared" si="5"/>
        <v>1.27082550741337</v>
      </c>
      <c r="I13" s="25">
        <f t="shared" si="5"/>
        <v>1.28528272748999</v>
      </c>
      <c r="J13" s="25">
        <f t="shared" si="5"/>
        <v>1.24444328833504</v>
      </c>
      <c r="K13" s="25">
        <f t="shared" si="5"/>
        <v>1.23165947781519</v>
      </c>
      <c r="L13" s="25">
        <f t="shared" si="5"/>
        <v>1.24693898042129</v>
      </c>
      <c r="M13" s="25">
        <f t="shared" si="5"/>
        <v>1.23762075231099</v>
      </c>
      <c r="N13" s="25">
        <f t="shared" si="5"/>
        <v>1.18173657979814</v>
      </c>
      <c r="O13" s="25">
        <f t="shared" si="5"/>
        <v>1.2036473140593</v>
      </c>
      <c r="P13" s="25">
        <f t="shared" si="5"/>
        <v>1.21431530643574</v>
      </c>
    </row>
  </sheetData>
  <mergeCells count="4">
    <mergeCell ref="A1:N1"/>
    <mergeCell ref="D3:P3"/>
    <mergeCell ref="A3:A4"/>
    <mergeCell ref="A12:A1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opLeftCell="A3" workbookViewId="0">
      <selection activeCell="A1" sqref="A1:M1"/>
    </sheetView>
  </sheetViews>
  <sheetFormatPr defaultColWidth="8.88888888888889" defaultRowHeight="14.4"/>
  <cols>
    <col min="1" max="1" width="7.22222222222222" customWidth="1"/>
    <col min="2" max="2" width="17.6666666666667" customWidth="1"/>
    <col min="3" max="13" width="10.5555555555556" customWidth="1"/>
  </cols>
  <sheetData>
    <row r="1" ht="26" customHeight="1" spans="1:13">
      <c r="A1" s="1" t="s">
        <v>219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.9" customHeight="1" spans="1:19">
      <c r="A2" s="2" t="s">
        <v>2</v>
      </c>
      <c r="B2" s="3" t="s">
        <v>86</v>
      </c>
      <c r="C2" s="4" t="s">
        <v>220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9"/>
      <c r="P2" s="9"/>
      <c r="Q2" s="9"/>
      <c r="R2" s="9"/>
      <c r="S2" s="9"/>
    </row>
    <row r="3" spans="1:19">
      <c r="A3" s="2"/>
      <c r="B3" s="3"/>
      <c r="C3" s="6">
        <v>1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6">
        <v>12</v>
      </c>
      <c r="O3" s="10"/>
      <c r="P3" s="10"/>
      <c r="Q3" s="10"/>
      <c r="R3" s="10"/>
      <c r="S3" s="10"/>
    </row>
    <row r="4" spans="1:19">
      <c r="A4" s="2">
        <v>1</v>
      </c>
      <c r="B4" s="7" t="s">
        <v>221</v>
      </c>
      <c r="C4" s="8">
        <f t="shared" ref="C4:N4" si="0">C5-C9</f>
        <v>742.38336092371</v>
      </c>
      <c r="D4" s="8">
        <f t="shared" si="0"/>
        <v>537.078919029487</v>
      </c>
      <c r="E4" s="8">
        <f t="shared" si="0"/>
        <v>534.76744205597</v>
      </c>
      <c r="F4" s="8">
        <f t="shared" si="0"/>
        <v>532.291278342147</v>
      </c>
      <c r="G4" s="8">
        <f t="shared" si="0"/>
        <v>529.70666163498</v>
      </c>
      <c r="H4" s="8">
        <f t="shared" si="0"/>
        <v>525.917656771441</v>
      </c>
      <c r="I4" s="8">
        <f t="shared" si="0"/>
        <v>520.867997628256</v>
      </c>
      <c r="J4" s="8">
        <f t="shared" si="0"/>
        <v>515.653587121644</v>
      </c>
      <c r="K4" s="8">
        <f t="shared" si="0"/>
        <v>510.274409257059</v>
      </c>
      <c r="L4" s="8">
        <f t="shared" si="0"/>
        <v>504.561698103931</v>
      </c>
      <c r="M4" s="8">
        <f t="shared" si="0"/>
        <v>498.571687795416</v>
      </c>
      <c r="N4" s="8">
        <f t="shared" si="0"/>
        <v>493.766862528136</v>
      </c>
      <c r="O4" s="10"/>
      <c r="P4" s="10"/>
      <c r="Q4" s="10"/>
      <c r="R4" s="10"/>
      <c r="S4" s="10"/>
    </row>
    <row r="5" spans="1:19">
      <c r="A5" s="2">
        <v>1.1</v>
      </c>
      <c r="B5" s="7" t="s">
        <v>182</v>
      </c>
      <c r="C5" s="8">
        <f t="shared" ref="C5:N5" si="1">SUM(C6:C8)</f>
        <v>862.467249898805</v>
      </c>
      <c r="D5" s="8">
        <f t="shared" si="1"/>
        <v>780.037115197075</v>
      </c>
      <c r="E5" s="8">
        <f t="shared" si="1"/>
        <v>781.392750256287</v>
      </c>
      <c r="F5" s="8">
        <f t="shared" si="1"/>
        <v>782.754842775262</v>
      </c>
      <c r="G5" s="8">
        <f t="shared" si="1"/>
        <v>784.123366924161</v>
      </c>
      <c r="H5" s="8">
        <f t="shared" si="1"/>
        <v>784.013296976464</v>
      </c>
      <c r="I5" s="8">
        <f t="shared" si="1"/>
        <v>782.424607308558</v>
      </c>
      <c r="J5" s="8">
        <f t="shared" si="1"/>
        <v>780.842272399324</v>
      </c>
      <c r="K5" s="8">
        <f t="shared" si="1"/>
        <v>779.266266829727</v>
      </c>
      <c r="L5" s="8">
        <f t="shared" si="1"/>
        <v>777.696565282408</v>
      </c>
      <c r="M5" s="8">
        <f t="shared" si="1"/>
        <v>776.133142541278</v>
      </c>
      <c r="N5" s="8">
        <f t="shared" si="1"/>
        <v>774.575973491114</v>
      </c>
      <c r="O5" s="10"/>
      <c r="P5" s="10"/>
      <c r="Q5" s="10"/>
      <c r="R5" s="10"/>
      <c r="S5" s="10"/>
    </row>
    <row r="6" spans="1:19">
      <c r="A6" s="2" t="s">
        <v>222</v>
      </c>
      <c r="B6" s="7" t="s">
        <v>97</v>
      </c>
      <c r="C6" s="8">
        <f>营业收入及税金表!D5</f>
        <v>389.3439817656</v>
      </c>
      <c r="D6" s="8">
        <f>营业收入及税金表!E5</f>
        <v>780.037115197075</v>
      </c>
      <c r="E6" s="8">
        <f>营业收入及税金表!F5</f>
        <v>781.392750256287</v>
      </c>
      <c r="F6" s="8">
        <f>营业收入及税金表!G5</f>
        <v>782.754842775262</v>
      </c>
      <c r="G6" s="8">
        <f>营业收入及税金表!H5</f>
        <v>784.123366924161</v>
      </c>
      <c r="H6" s="8">
        <f>营业收入及税金表!I5</f>
        <v>784.013296976464</v>
      </c>
      <c r="I6" s="8">
        <f>营业收入及税金表!J5</f>
        <v>782.424607308558</v>
      </c>
      <c r="J6" s="8">
        <f>营业收入及税金表!K5</f>
        <v>780.842272399324</v>
      </c>
      <c r="K6" s="8">
        <f>营业收入及税金表!L5</f>
        <v>779.266266829727</v>
      </c>
      <c r="L6" s="8">
        <f>营业收入及税金表!M5</f>
        <v>777.696565282408</v>
      </c>
      <c r="M6" s="8">
        <f>营业收入及税金表!N5</f>
        <v>776.133142541278</v>
      </c>
      <c r="N6" s="8">
        <f>营业收入及税金表!O5</f>
        <v>774.575973491114</v>
      </c>
      <c r="O6" s="10"/>
      <c r="P6" s="10"/>
      <c r="Q6" s="10"/>
      <c r="R6" s="10"/>
      <c r="S6" s="10"/>
    </row>
    <row r="7" spans="1:19">
      <c r="A7" s="2" t="s">
        <v>223</v>
      </c>
      <c r="B7" s="7" t="s">
        <v>161</v>
      </c>
      <c r="C7" s="8">
        <f>项目投资现金流量表!D7</f>
        <v>473.123268133205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0"/>
      <c r="P7" s="10"/>
      <c r="Q7" s="10"/>
      <c r="R7" s="10"/>
      <c r="S7" s="10"/>
    </row>
    <row r="8" spans="1:19">
      <c r="A8" s="2" t="s">
        <v>224</v>
      </c>
      <c r="B8" s="7" t="s">
        <v>225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0"/>
      <c r="P8" s="10"/>
      <c r="Q8" s="10"/>
      <c r="R8" s="10"/>
      <c r="S8" s="10"/>
    </row>
    <row r="9" spans="1:19">
      <c r="A9" s="2">
        <v>1.2</v>
      </c>
      <c r="B9" s="7" t="s">
        <v>186</v>
      </c>
      <c r="C9" s="8">
        <f t="shared" ref="C9:N9" si="2">SUM(C10:C13)</f>
        <v>120.083888975095</v>
      </c>
      <c r="D9" s="8">
        <f t="shared" si="2"/>
        <v>242.958196167588</v>
      </c>
      <c r="E9" s="8">
        <f t="shared" si="2"/>
        <v>246.625308200317</v>
      </c>
      <c r="F9" s="8">
        <f t="shared" si="2"/>
        <v>250.463564433115</v>
      </c>
      <c r="G9" s="8">
        <f t="shared" si="2"/>
        <v>254.416705289181</v>
      </c>
      <c r="H9" s="8">
        <f t="shared" si="2"/>
        <v>258.095640205023</v>
      </c>
      <c r="I9" s="8">
        <f t="shared" si="2"/>
        <v>261.556609680302</v>
      </c>
      <c r="J9" s="8">
        <f t="shared" si="2"/>
        <v>265.18868527768</v>
      </c>
      <c r="K9" s="8">
        <f t="shared" si="2"/>
        <v>268.991857572668</v>
      </c>
      <c r="L9" s="8">
        <f t="shared" si="2"/>
        <v>273.134867178477</v>
      </c>
      <c r="M9" s="8">
        <f t="shared" si="2"/>
        <v>277.561454745862</v>
      </c>
      <c r="N9" s="8">
        <f t="shared" si="2"/>
        <v>280.809110962978</v>
      </c>
      <c r="O9" s="10"/>
      <c r="P9" s="10"/>
      <c r="Q9" s="10"/>
      <c r="R9" s="10"/>
      <c r="S9" s="10"/>
    </row>
    <row r="10" spans="1:19">
      <c r="A10" s="2" t="s">
        <v>226</v>
      </c>
      <c r="B10" s="7" t="s">
        <v>189</v>
      </c>
      <c r="C10" s="8">
        <f>总成本费用表!D9</f>
        <v>45.887303308671</v>
      </c>
      <c r="D10" s="8">
        <f>总成本费用表!E9</f>
        <v>91.8415896506595</v>
      </c>
      <c r="E10" s="8">
        <f>总成本费用表!F9</f>
        <v>91.8687023518437</v>
      </c>
      <c r="F10" s="8">
        <f>总成本费用表!G9</f>
        <v>91.8959442022232</v>
      </c>
      <c r="G10" s="8">
        <f>总成本费用表!H9</f>
        <v>91.9233146852012</v>
      </c>
      <c r="H10" s="8">
        <f>总成本费用表!I9</f>
        <v>91.9211132862473</v>
      </c>
      <c r="I10" s="8">
        <f>总成本费用表!J9</f>
        <v>91.8893394928892</v>
      </c>
      <c r="J10" s="8">
        <f>总成本费用表!K9</f>
        <v>91.8576927947045</v>
      </c>
      <c r="K10" s="8">
        <f>总成本费用表!L9</f>
        <v>91.8261726833125</v>
      </c>
      <c r="L10" s="8">
        <f>总成本费用表!M9</f>
        <v>91.7947786523662</v>
      </c>
      <c r="M10" s="8">
        <f>总成本费用表!N9</f>
        <v>91.7635101975436</v>
      </c>
      <c r="N10" s="8">
        <f>总成本费用表!O9</f>
        <v>91.7323668165403</v>
      </c>
      <c r="O10" s="10"/>
      <c r="P10" s="10"/>
      <c r="Q10" s="10"/>
      <c r="R10" s="10"/>
      <c r="S10" s="10"/>
    </row>
    <row r="11" spans="1:19">
      <c r="A11" s="2" t="s">
        <v>227</v>
      </c>
      <c r="B11" s="7" t="s">
        <v>228</v>
      </c>
      <c r="C11" s="8">
        <f>利润及利润分配表!D6+利润及利润分配表!D7</f>
        <v>53.2899867085849</v>
      </c>
      <c r="D11" s="8">
        <f>利润及利润分配表!E6+利润及利润分配表!E7</f>
        <v>106.633830785092</v>
      </c>
      <c r="E11" s="8">
        <f>利润及利润分配表!F6+利润及利润分配表!F7</f>
        <v>106.694322441142</v>
      </c>
      <c r="F11" s="8">
        <f>利润及利润分配表!G6+利润及利润分配表!G7</f>
        <v>106.755724728167</v>
      </c>
      <c r="G11" s="8">
        <f>利润及利润分配表!H6+利润及利润分配表!H7</f>
        <v>106.818034003645</v>
      </c>
      <c r="H11" s="8">
        <f>利润及利润分配表!I6+利润及利润分配表!I7</f>
        <v>106.737171939621</v>
      </c>
      <c r="I11" s="8">
        <f>利润及利润分配表!J6+利润及利润分配表!J7</f>
        <v>106.513134922653</v>
      </c>
      <c r="J11" s="8">
        <f>利润及利润分配表!K6+利润及利润分配表!K7</f>
        <v>106.289994053753</v>
      </c>
      <c r="K11" s="8">
        <f>利润及利润分配表!L6+利润及利润分配表!L7</f>
        <v>106.067745748328</v>
      </c>
      <c r="L11" s="8">
        <f>利润及利润分配表!M6+利润及利润分配表!M7</f>
        <v>105.846386436125</v>
      </c>
      <c r="M11" s="8">
        <f>利润及利润分配表!N6+利润及利润分配表!N7</f>
        <v>105.625912561171</v>
      </c>
      <c r="N11" s="8">
        <f>利润及利润分配表!O6+利润及利润分配表!O7</f>
        <v>105.406320581717</v>
      </c>
      <c r="O11" s="10"/>
      <c r="P11" s="10"/>
      <c r="Q11" s="10"/>
      <c r="R11" s="10"/>
      <c r="S11" s="10"/>
    </row>
    <row r="12" spans="1:19">
      <c r="A12" s="2" t="s">
        <v>229</v>
      </c>
      <c r="B12" s="7" t="s">
        <v>165</v>
      </c>
      <c r="C12" s="8">
        <f>利润及利润分配表!D13</f>
        <v>20.906598957839</v>
      </c>
      <c r="D12" s="8">
        <f>利润及利润分配表!E13</f>
        <v>44.4827757318373</v>
      </c>
      <c r="E12" s="8">
        <f>利润及利润分配表!F13</f>
        <v>48.0622834073316</v>
      </c>
      <c r="F12" s="8">
        <f>利润及利润分配表!G13</f>
        <v>51.8118955027241</v>
      </c>
      <c r="G12" s="8">
        <f>利润及利润分配表!H13</f>
        <v>55.6753566003349</v>
      </c>
      <c r="H12" s="8">
        <f>利润及利润分配表!I13</f>
        <v>59.4373549791552</v>
      </c>
      <c r="I12" s="8">
        <f>利润及利润分配表!J13</f>
        <v>63.1541352647603</v>
      </c>
      <c r="J12" s="8">
        <f>利润及利润分配表!K13</f>
        <v>67.040998429223</v>
      </c>
      <c r="K12" s="8">
        <f>利润及利润分配表!L13</f>
        <v>71.0979391410278</v>
      </c>
      <c r="L12" s="8">
        <f>利润及利润分配表!M13</f>
        <v>75.4937020899854</v>
      </c>
      <c r="M12" s="8">
        <f>利润及利润分配表!N13</f>
        <v>80.1720319871471</v>
      </c>
      <c r="N12" s="8">
        <f>利润及利润分配表!O13</f>
        <v>83.6704235647205</v>
      </c>
      <c r="O12" s="10"/>
      <c r="P12" s="10"/>
      <c r="Q12" s="10"/>
      <c r="R12" s="10"/>
      <c r="S12" s="10"/>
    </row>
    <row r="13" spans="1:19">
      <c r="A13" s="2" t="s">
        <v>230</v>
      </c>
      <c r="B13" s="7" t="s">
        <v>231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0"/>
      <c r="P13" s="10"/>
      <c r="Q13" s="10"/>
      <c r="R13" s="10"/>
      <c r="S13" s="10"/>
    </row>
    <row r="14" spans="1:19">
      <c r="A14" s="2">
        <v>2</v>
      </c>
      <c r="B14" s="7" t="s">
        <v>232</v>
      </c>
      <c r="C14" s="8">
        <f>C15-C16</f>
        <v>-5304.17520148005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0"/>
      <c r="P14" s="10"/>
      <c r="Q14" s="10"/>
      <c r="R14" s="10"/>
      <c r="S14" s="10"/>
    </row>
    <row r="15" spans="1:19">
      <c r="A15" s="2">
        <v>2.1</v>
      </c>
      <c r="B15" s="7" t="s">
        <v>182</v>
      </c>
      <c r="C15" s="8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0"/>
      <c r="P15" s="10"/>
      <c r="Q15" s="10"/>
      <c r="R15" s="10"/>
      <c r="S15" s="10"/>
    </row>
    <row r="16" spans="1:19">
      <c r="A16" s="2">
        <v>2.2</v>
      </c>
      <c r="B16" s="7" t="s">
        <v>186</v>
      </c>
      <c r="C16" s="8">
        <f>SUM(C17:C20)</f>
        <v>5304.17520148005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0"/>
      <c r="P16" s="10"/>
      <c r="Q16" s="10"/>
      <c r="R16" s="10"/>
      <c r="S16" s="10"/>
    </row>
    <row r="17" spans="1:19">
      <c r="A17" s="2" t="s">
        <v>115</v>
      </c>
      <c r="B17" s="7" t="s">
        <v>187</v>
      </c>
      <c r="C17" s="8">
        <f>总投资!G57</f>
        <v>5304.17520148005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0"/>
      <c r="P17" s="10"/>
      <c r="Q17" s="10"/>
      <c r="R17" s="10"/>
      <c r="S17" s="10"/>
    </row>
    <row r="18" spans="1:19">
      <c r="A18" s="2" t="s">
        <v>116</v>
      </c>
      <c r="B18" s="7" t="s">
        <v>190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0"/>
      <c r="P18" s="10"/>
      <c r="Q18" s="10"/>
      <c r="R18" s="10"/>
      <c r="S18" s="10"/>
    </row>
    <row r="19" spans="1:19">
      <c r="A19" s="2" t="s">
        <v>117</v>
      </c>
      <c r="B19" s="7" t="s">
        <v>188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0"/>
      <c r="P19" s="10"/>
      <c r="Q19" s="10"/>
      <c r="R19" s="10"/>
      <c r="S19" s="10"/>
    </row>
    <row r="20" spans="1:19">
      <c r="A20" s="2" t="s">
        <v>119</v>
      </c>
      <c r="B20" s="7" t="s">
        <v>231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0"/>
      <c r="P20" s="10"/>
      <c r="Q20" s="10"/>
      <c r="R20" s="10"/>
      <c r="S20" s="10"/>
    </row>
    <row r="21" spans="1:19">
      <c r="A21" s="2">
        <v>3</v>
      </c>
      <c r="B21" s="7" t="s">
        <v>233</v>
      </c>
      <c r="C21" s="8">
        <f t="shared" ref="C21:N21" si="3">C22-C26</f>
        <v>12461.11</v>
      </c>
      <c r="D21" s="8">
        <f t="shared" si="3"/>
        <v>-372.925</v>
      </c>
      <c r="E21" s="8">
        <f t="shared" si="3"/>
        <v>-476.4</v>
      </c>
      <c r="F21" s="8">
        <f t="shared" si="3"/>
        <v>-473.35</v>
      </c>
      <c r="G21" s="8">
        <f t="shared" si="3"/>
        <v>-469.625</v>
      </c>
      <c r="H21" s="8">
        <f t="shared" si="3"/>
        <v>-485.45</v>
      </c>
      <c r="I21" s="8">
        <f t="shared" si="3"/>
        <v>-490.375</v>
      </c>
      <c r="J21" s="8">
        <f t="shared" si="3"/>
        <v>-484.175</v>
      </c>
      <c r="K21" s="8">
        <f t="shared" si="3"/>
        <v>-487.3</v>
      </c>
      <c r="L21" s="8">
        <f t="shared" si="3"/>
        <v>-509.75</v>
      </c>
      <c r="M21" s="8">
        <f t="shared" si="3"/>
        <v>-500.85</v>
      </c>
      <c r="N21" s="8">
        <f t="shared" si="3"/>
        <v>-490.825</v>
      </c>
      <c r="O21" s="11"/>
      <c r="P21" s="11"/>
      <c r="Q21" s="11"/>
      <c r="R21" s="11"/>
      <c r="S21" s="11"/>
    </row>
    <row r="22" spans="1:19">
      <c r="A22" s="2">
        <v>3.1</v>
      </c>
      <c r="B22" s="7" t="s">
        <v>182</v>
      </c>
      <c r="C22" s="8">
        <f>SUM(C23:C25)</f>
        <v>12648.36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10"/>
    </row>
    <row r="23" spans="1:19">
      <c r="A23" s="2" t="s">
        <v>234</v>
      </c>
      <c r="B23" s="7" t="s">
        <v>235</v>
      </c>
      <c r="C23" s="8">
        <v>2648.36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10"/>
    </row>
    <row r="24" spans="1:19">
      <c r="A24" s="2" t="s">
        <v>236</v>
      </c>
      <c r="B24" s="7" t="s">
        <v>209</v>
      </c>
      <c r="C24" s="8">
        <v>10000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10"/>
    </row>
    <row r="25" spans="1:19">
      <c r="A25" s="2" t="s">
        <v>237</v>
      </c>
      <c r="B25" s="7" t="s">
        <v>225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0"/>
      <c r="P25" s="10"/>
      <c r="Q25" s="10"/>
      <c r="R25" s="10"/>
      <c r="S25" s="10"/>
    </row>
    <row r="26" spans="1:19">
      <c r="A26" s="2">
        <v>3.2</v>
      </c>
      <c r="B26" s="7" t="s">
        <v>186</v>
      </c>
      <c r="C26" s="8">
        <f t="shared" ref="C26:N26" si="4">SUM(C27:C30)</f>
        <v>187.25</v>
      </c>
      <c r="D26" s="8">
        <f t="shared" si="4"/>
        <v>372.925</v>
      </c>
      <c r="E26" s="8">
        <f t="shared" si="4"/>
        <v>476.4</v>
      </c>
      <c r="F26" s="8">
        <f t="shared" si="4"/>
        <v>473.35</v>
      </c>
      <c r="G26" s="8">
        <f t="shared" si="4"/>
        <v>469.625</v>
      </c>
      <c r="H26" s="8">
        <f t="shared" si="4"/>
        <v>485.45</v>
      </c>
      <c r="I26" s="8">
        <f t="shared" si="4"/>
        <v>490.375</v>
      </c>
      <c r="J26" s="8">
        <f t="shared" si="4"/>
        <v>484.175</v>
      </c>
      <c r="K26" s="8">
        <f t="shared" si="4"/>
        <v>487.3</v>
      </c>
      <c r="L26" s="8">
        <f t="shared" si="4"/>
        <v>509.75</v>
      </c>
      <c r="M26" s="8">
        <f t="shared" si="4"/>
        <v>500.85</v>
      </c>
      <c r="N26" s="8">
        <f t="shared" si="4"/>
        <v>490.825</v>
      </c>
      <c r="O26" s="10"/>
      <c r="P26" s="10"/>
      <c r="Q26" s="10"/>
      <c r="R26" s="10"/>
      <c r="S26" s="10"/>
    </row>
    <row r="27" spans="1:19">
      <c r="A27" s="2" t="s">
        <v>238</v>
      </c>
      <c r="B27" s="7" t="s">
        <v>153</v>
      </c>
      <c r="C27" s="8">
        <f>还本付息表!D9</f>
        <v>47.25</v>
      </c>
      <c r="D27" s="8">
        <f>还本付息表!E9</f>
        <v>92.925</v>
      </c>
      <c r="E27" s="8">
        <f>还本付息表!F9</f>
        <v>176.4</v>
      </c>
      <c r="F27" s="8">
        <f>还本付息表!G9</f>
        <v>163.35</v>
      </c>
      <c r="G27" s="8">
        <f>还本付息表!H9</f>
        <v>149.625</v>
      </c>
      <c r="H27" s="8">
        <f>还本付息表!I9</f>
        <v>135.45</v>
      </c>
      <c r="I27" s="8">
        <f>还本付息表!J9</f>
        <v>120.375</v>
      </c>
      <c r="J27" s="8">
        <f>还本付息表!K9</f>
        <v>104.175</v>
      </c>
      <c r="K27" s="8">
        <f>还本付息表!L9</f>
        <v>87.3</v>
      </c>
      <c r="L27" s="8">
        <f>还本付息表!M9</f>
        <v>69.75</v>
      </c>
      <c r="M27" s="8">
        <f>还本付息表!N9</f>
        <v>50.85</v>
      </c>
      <c r="N27" s="8">
        <f>还本付息表!O9</f>
        <v>30.825</v>
      </c>
      <c r="O27" s="10"/>
      <c r="P27" s="10"/>
      <c r="Q27" s="10"/>
      <c r="R27" s="10"/>
      <c r="S27" s="10"/>
    </row>
    <row r="28" spans="1:19">
      <c r="A28" s="2" t="s">
        <v>239</v>
      </c>
      <c r="B28" s="7" t="s">
        <v>240</v>
      </c>
      <c r="C28" s="8">
        <f>还本付息表!E8</f>
        <v>140</v>
      </c>
      <c r="D28" s="8">
        <f>还本付息表!F8</f>
        <v>280</v>
      </c>
      <c r="E28" s="8">
        <f>还本付息表!G8</f>
        <v>300</v>
      </c>
      <c r="F28" s="8">
        <f>还本付息表!H8</f>
        <v>310</v>
      </c>
      <c r="G28" s="8">
        <f>还本付息表!I8</f>
        <v>320</v>
      </c>
      <c r="H28" s="8">
        <f>还本付息表!J8</f>
        <v>350</v>
      </c>
      <c r="I28" s="8">
        <f>还本付息表!K8</f>
        <v>370</v>
      </c>
      <c r="J28" s="8">
        <f>还本付息表!L8</f>
        <v>380</v>
      </c>
      <c r="K28" s="8">
        <f>还本付息表!M8</f>
        <v>400</v>
      </c>
      <c r="L28" s="8">
        <f>还本付息表!N8</f>
        <v>440</v>
      </c>
      <c r="M28" s="8">
        <f>还本付息表!O8</f>
        <v>450</v>
      </c>
      <c r="N28" s="8">
        <f>还本付息表!P8</f>
        <v>460</v>
      </c>
      <c r="O28" s="10"/>
      <c r="P28" s="10"/>
      <c r="Q28" s="10"/>
      <c r="R28" s="10"/>
      <c r="S28" s="10"/>
    </row>
    <row r="29" spans="1:19">
      <c r="A29" s="2" t="s">
        <v>241</v>
      </c>
      <c r="B29" s="7" t="s">
        <v>242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0"/>
      <c r="P29" s="10"/>
      <c r="Q29" s="10"/>
      <c r="R29" s="10"/>
      <c r="S29" s="10"/>
    </row>
    <row r="30" spans="1:19">
      <c r="A30" s="2" t="s">
        <v>243</v>
      </c>
      <c r="B30" s="7" t="s">
        <v>231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0"/>
      <c r="P30" s="10"/>
      <c r="Q30" s="10"/>
      <c r="R30" s="10"/>
      <c r="S30" s="10"/>
    </row>
    <row r="31" spans="1:19">
      <c r="A31" s="2" t="s">
        <v>76</v>
      </c>
      <c r="B31" s="7" t="s">
        <v>244</v>
      </c>
      <c r="C31" s="8">
        <f t="shared" ref="C31:N31" si="5">C21+C14+C4</f>
        <v>7899.31815944366</v>
      </c>
      <c r="D31" s="8">
        <f t="shared" si="5"/>
        <v>164.153919029487</v>
      </c>
      <c r="E31" s="8">
        <f t="shared" si="5"/>
        <v>58.3674420559699</v>
      </c>
      <c r="F31" s="8">
        <f t="shared" si="5"/>
        <v>58.9412783421473</v>
      </c>
      <c r="G31" s="8">
        <f t="shared" si="5"/>
        <v>60.0816616349797</v>
      </c>
      <c r="H31" s="8">
        <f t="shared" si="5"/>
        <v>40.4676567714405</v>
      </c>
      <c r="I31" s="8">
        <f t="shared" si="5"/>
        <v>30.4929976282558</v>
      </c>
      <c r="J31" s="8">
        <f t="shared" si="5"/>
        <v>31.4785871216439</v>
      </c>
      <c r="K31" s="8">
        <f t="shared" si="5"/>
        <v>22.9744092570585</v>
      </c>
      <c r="L31" s="8">
        <f t="shared" si="5"/>
        <v>-5.18830189606877</v>
      </c>
      <c r="M31" s="8">
        <f t="shared" si="5"/>
        <v>-2.2783122045837</v>
      </c>
      <c r="N31" s="8">
        <f t="shared" si="5"/>
        <v>2.94186252813637</v>
      </c>
      <c r="O31" s="11"/>
      <c r="P31" s="11"/>
      <c r="Q31" s="11"/>
      <c r="R31" s="11"/>
      <c r="S31" s="11"/>
    </row>
    <row r="32" spans="1:19">
      <c r="A32" s="2" t="s">
        <v>79</v>
      </c>
      <c r="B32" s="7" t="s">
        <v>245</v>
      </c>
      <c r="C32" s="8">
        <f>C31</f>
        <v>7899.31815944366</v>
      </c>
      <c r="D32" s="8">
        <f t="shared" ref="D32:N32" si="6">D31+C32</f>
        <v>8063.47207847315</v>
      </c>
      <c r="E32" s="8">
        <f t="shared" si="6"/>
        <v>8121.83952052912</v>
      </c>
      <c r="F32" s="8">
        <f t="shared" si="6"/>
        <v>8180.78079887126</v>
      </c>
      <c r="G32" s="8">
        <f t="shared" si="6"/>
        <v>8240.86246050625</v>
      </c>
      <c r="H32" s="8">
        <f t="shared" si="6"/>
        <v>8281.33011727769</v>
      </c>
      <c r="I32" s="8">
        <f t="shared" si="6"/>
        <v>8311.82311490594</v>
      </c>
      <c r="J32" s="8">
        <f t="shared" si="6"/>
        <v>8343.30170202759</v>
      </c>
      <c r="K32" s="8">
        <f t="shared" si="6"/>
        <v>8366.27611128465</v>
      </c>
      <c r="L32" s="8">
        <f t="shared" si="6"/>
        <v>8361.08780938858</v>
      </c>
      <c r="M32" s="8">
        <f t="shared" si="6"/>
        <v>8358.80949718399</v>
      </c>
      <c r="N32" s="8">
        <f t="shared" si="6"/>
        <v>8361.75135971213</v>
      </c>
      <c r="O32" s="11"/>
      <c r="P32" s="11"/>
      <c r="Q32" s="11"/>
      <c r="R32" s="11"/>
      <c r="S32" s="11"/>
    </row>
  </sheetData>
  <mergeCells count="4">
    <mergeCell ref="A1:M1"/>
    <mergeCell ref="C2:N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总投资</vt:lpstr>
      <vt:lpstr>固定资产折旧</vt:lpstr>
      <vt:lpstr>营业收入及税金表</vt:lpstr>
      <vt:lpstr>总成本费用表</vt:lpstr>
      <vt:lpstr>利润及利润分配表</vt:lpstr>
      <vt:lpstr>项目投资现金流量表</vt:lpstr>
      <vt:lpstr>还本付息表</vt:lpstr>
      <vt:lpstr>项目财务现金流量表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超</cp:lastModifiedBy>
  <dcterms:created xsi:type="dcterms:W3CDTF">2025-06-04T14:50:00Z</dcterms:created>
  <dcterms:modified xsi:type="dcterms:W3CDTF">2026-04-01T09:44:15Z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3327E0CCAA1E4538A1BE79D882653384_13</vt:lpwstr>
  </property>
  <property fmtid="{D5CDD505-2E9C-101B-9397-08002B2CF9AE}" pid="3" name="KSOProductBuildVer">
    <vt:lpwstr>2052-11.1.0.15319</vt:lpwstr>
  </property>
</Properties>
</file>