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200" activeTab="6"/>
  </bookViews>
  <sheets>
    <sheet name="总投资" sheetId="1" r:id="rId1"/>
    <sheet name="固定资产折旧" sheetId="2" r:id="rId2"/>
    <sheet name="营业收入及税金表" sheetId="3" r:id="rId3"/>
    <sheet name="总成本费用表" sheetId="4" r:id="rId4"/>
    <sheet name="利润及利润分配表" sheetId="5" r:id="rId5"/>
    <sheet name="项目投资现金流量表" sheetId="6" r:id="rId6"/>
    <sheet name="还本付息表" sheetId="7" r:id="rId7"/>
    <sheet name="项目财务现金流量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<sst xmlns="http://schemas.openxmlformats.org/spreadsheetml/2006/main" count="392" uniqueCount="232">
  <si>
    <t>建设投资估算表</t>
  </si>
  <si>
    <t>单位：万元</t>
  </si>
  <si>
    <t>序号</t>
  </si>
  <si>
    <t>工程或费用名称</t>
  </si>
  <si>
    <t>建筑工程费</t>
  </si>
  <si>
    <t>安装工程费</t>
  </si>
  <si>
    <t>设备购置费</t>
  </si>
  <si>
    <t>其他费用</t>
  </si>
  <si>
    <t>合计</t>
  </si>
  <si>
    <t>单位</t>
  </si>
  <si>
    <t>数量</t>
  </si>
  <si>
    <t>综合单价（万元）</t>
  </si>
  <si>
    <t>一</t>
  </si>
  <si>
    <t>工程费用</t>
  </si>
  <si>
    <t>光伏发电工程</t>
  </si>
  <si>
    <t>光伏组件</t>
  </si>
  <si>
    <t>　</t>
  </si>
  <si>
    <t>KW</t>
  </si>
  <si>
    <t>光伏组件A级</t>
  </si>
  <si>
    <t>块</t>
  </si>
  <si>
    <t>逆变器</t>
  </si>
  <si>
    <t>台</t>
  </si>
  <si>
    <t>交流汇流箱</t>
  </si>
  <si>
    <t>光伏支架及配件</t>
  </si>
  <si>
    <t>km</t>
  </si>
  <si>
    <t>光伏直流电缆</t>
  </si>
  <si>
    <t>MC4连接器</t>
  </si>
  <si>
    <t>千套</t>
  </si>
  <si>
    <t>交流电缆</t>
  </si>
  <si>
    <t>干式变压器（箱变)</t>
  </si>
  <si>
    <t>光伏接入柜</t>
  </si>
  <si>
    <t>并网柜</t>
  </si>
  <si>
    <t>站用变电柜</t>
  </si>
  <si>
    <t>10kV动态无功补偿装置</t>
  </si>
  <si>
    <t>高压电缆</t>
  </si>
  <si>
    <t>m</t>
  </si>
  <si>
    <t>土建基础</t>
  </si>
  <si>
    <t>项</t>
  </si>
  <si>
    <t>组件、电气安装、辅材等</t>
  </si>
  <si>
    <t>电池储能
集装箱</t>
  </si>
  <si>
    <t>KWH</t>
  </si>
  <si>
    <t>电池系统 2000KWH</t>
  </si>
  <si>
    <t>个</t>
  </si>
  <si>
    <t>储能变流器</t>
  </si>
  <si>
    <t>集装箱柜体</t>
  </si>
  <si>
    <t>温控系统</t>
  </si>
  <si>
    <t>消防系统</t>
  </si>
  <si>
    <t>储能EMS</t>
  </si>
  <si>
    <t>附件</t>
  </si>
  <si>
    <t>储能箱基础及连接电缆</t>
  </si>
  <si>
    <t>园区配套工程</t>
  </si>
  <si>
    <t>㎡</t>
  </si>
  <si>
    <t>绿化等相关配套工程</t>
  </si>
  <si>
    <t>10kv储能变电站</t>
  </si>
  <si>
    <t>中心配电室变压器2000KVA</t>
  </si>
  <si>
    <t>光伏充电桩</t>
  </si>
  <si>
    <t>二</t>
  </si>
  <si>
    <t>工程建设其他费用</t>
  </si>
  <si>
    <t>建设管理费</t>
  </si>
  <si>
    <t>建设工程监理费</t>
  </si>
  <si>
    <t>建设项目前期工作咨询费</t>
  </si>
  <si>
    <t>屋顶荷载检测费</t>
  </si>
  <si>
    <t>工程设计费</t>
  </si>
  <si>
    <t>环境影响咨询服务费</t>
  </si>
  <si>
    <t>场地准备费及临时设施费</t>
  </si>
  <si>
    <t>工程保险费</t>
  </si>
  <si>
    <t>招标代理服务费</t>
  </si>
  <si>
    <t>造价咨询费</t>
  </si>
  <si>
    <t>三</t>
  </si>
  <si>
    <t>预备费</t>
  </si>
  <si>
    <t>基本预备费</t>
  </si>
  <si>
    <r>
      <rPr>
        <sz val="7"/>
        <rFont val="宋体"/>
        <charset val="134"/>
      </rPr>
      <t>（一</t>
    </r>
    <r>
      <rPr>
        <sz val="7"/>
        <rFont val="Times New Roman"/>
        <charset val="134"/>
      </rPr>
      <t>+</t>
    </r>
    <r>
      <rPr>
        <sz val="7"/>
        <rFont val="宋体"/>
        <charset val="134"/>
      </rPr>
      <t>二）</t>
    </r>
    <r>
      <rPr>
        <sz val="7"/>
        <rFont val="Times New Roman"/>
        <charset val="134"/>
      </rPr>
      <t>*5%</t>
    </r>
  </si>
  <si>
    <t>涨价预备费</t>
  </si>
  <si>
    <t>四</t>
  </si>
  <si>
    <t>建设投资合计</t>
  </si>
  <si>
    <t>比例（%）</t>
  </si>
  <si>
    <t>五</t>
  </si>
  <si>
    <t>建设期利息</t>
  </si>
  <si>
    <t>六</t>
  </si>
  <si>
    <t>固定资产投资</t>
  </si>
  <si>
    <t>八</t>
  </si>
  <si>
    <t>项目总投资</t>
  </si>
  <si>
    <t>固定资产折旧表</t>
  </si>
  <si>
    <t>项目</t>
  </si>
  <si>
    <t>残值率</t>
  </si>
  <si>
    <t>折旧年限</t>
  </si>
  <si>
    <t>运营期</t>
  </si>
  <si>
    <t>附属物及设备折旧</t>
  </si>
  <si>
    <t>原值</t>
  </si>
  <si>
    <t>当期折旧额</t>
  </si>
  <si>
    <t>净值</t>
  </si>
  <si>
    <t>折旧费</t>
  </si>
  <si>
    <t>无形资产摊销</t>
  </si>
  <si>
    <t>营业收入及税金表</t>
  </si>
  <si>
    <t>营业收入</t>
  </si>
  <si>
    <t>光伏收入</t>
  </si>
  <si>
    <t>1.1.1</t>
  </si>
  <si>
    <t>装机容量</t>
  </si>
  <si>
    <t>1.1.2</t>
  </si>
  <si>
    <t>衰减值</t>
  </si>
  <si>
    <t>1.1.3</t>
  </si>
  <si>
    <t>1KW 光伏装机容量平均日发电量</t>
  </si>
  <si>
    <t>1.1.4</t>
  </si>
  <si>
    <t>年发电天数</t>
  </si>
  <si>
    <t>1.1.5</t>
  </si>
  <si>
    <t>工商业用电平均电价</t>
  </si>
  <si>
    <t>储能收入</t>
  </si>
  <si>
    <t>1.2.1</t>
  </si>
  <si>
    <t>储能销售电价</t>
  </si>
  <si>
    <t>1.2.2</t>
  </si>
  <si>
    <t>360天一充一放扣能耗（万kwh/n)</t>
  </si>
  <si>
    <t>1.2.3</t>
  </si>
  <si>
    <t>1.2.4</t>
  </si>
  <si>
    <t>60kw充电桩收入</t>
  </si>
  <si>
    <t>1.4.1</t>
  </si>
  <si>
    <t>充电桩数量</t>
  </si>
  <si>
    <t>1.4.2</t>
  </si>
  <si>
    <t>充电使用率</t>
  </si>
  <si>
    <t>1.4.3</t>
  </si>
  <si>
    <t>收费标准</t>
  </si>
  <si>
    <t>1.4.4</t>
  </si>
  <si>
    <t>充电桩每小时充电量</t>
  </si>
  <si>
    <t>1.4.5</t>
  </si>
  <si>
    <t>充电小时数</t>
  </si>
  <si>
    <t>1.4.6</t>
  </si>
  <si>
    <t>年运营时间</t>
  </si>
  <si>
    <t>营业税金与附加</t>
  </si>
  <si>
    <t>营业税</t>
  </si>
  <si>
    <t>消费税</t>
  </si>
  <si>
    <t>城市建设维护税</t>
  </si>
  <si>
    <t>教育费附加</t>
  </si>
  <si>
    <t>增值税</t>
  </si>
  <si>
    <t>销项税额</t>
  </si>
  <si>
    <t>进项税额</t>
  </si>
  <si>
    <t>总成本费用表</t>
  </si>
  <si>
    <t>外购燃料及动力费</t>
  </si>
  <si>
    <t>工资及福利费</t>
  </si>
  <si>
    <t>保洁维护费</t>
  </si>
  <si>
    <t>电网过路费</t>
  </si>
  <si>
    <t>管理费及其他</t>
  </si>
  <si>
    <t>经营成本（1+2+3+4+5+6）</t>
  </si>
  <si>
    <t>摊销费</t>
  </si>
  <si>
    <t>利息支出</t>
  </si>
  <si>
    <t>总成本费用合计（6+7+8+9）</t>
  </si>
  <si>
    <t>其中：固定成本</t>
  </si>
  <si>
    <t>可变成本</t>
  </si>
  <si>
    <t>利润及利润分配表</t>
  </si>
  <si>
    <t>项	目</t>
  </si>
  <si>
    <t>营业税金及附加</t>
  </si>
  <si>
    <t>总成本费用</t>
  </si>
  <si>
    <t>补贴收入</t>
  </si>
  <si>
    <t>利润总额（1-2-3+4）</t>
  </si>
  <si>
    <t>弥补以前年度亏损</t>
  </si>
  <si>
    <t>应纳税所得额（5-6）</t>
  </si>
  <si>
    <t>所得税</t>
  </si>
  <si>
    <t>净利润（5-8）</t>
  </si>
  <si>
    <t>期初未分配利润</t>
  </si>
  <si>
    <t>可供分配的利润（9+10）</t>
  </si>
  <si>
    <t>提取法定盈余公积金</t>
  </si>
  <si>
    <t>可供投资者分配的利润（11-12）</t>
  </si>
  <si>
    <t>应付优先股股利</t>
  </si>
  <si>
    <t>提取任意盈余公积金</t>
  </si>
  <si>
    <t>应付普通股股利（13-14-15）</t>
  </si>
  <si>
    <t>各投资方利润分配</t>
  </si>
  <si>
    <t>其中：</t>
  </si>
  <si>
    <t>未分配利润（13-14-15-17）</t>
  </si>
  <si>
    <t>息税前利润（利润总额+利息支出）</t>
  </si>
  <si>
    <t>息税折旧摊销前利润（息税前利润+折旧+摊销）</t>
  </si>
  <si>
    <t>项目投资现金流量表</t>
  </si>
  <si>
    <r>
      <rPr>
        <b/>
        <sz val="8"/>
        <color rgb="FF000000"/>
        <rFont val="宋体"/>
        <charset val="134"/>
      </rPr>
      <t>项</t>
    </r>
    <r>
      <rPr>
        <b/>
        <sz val="8"/>
        <color rgb="FF000000"/>
        <rFont val="宋体"/>
        <charset val="134"/>
      </rPr>
      <t>目</t>
    </r>
  </si>
  <si>
    <t>计算期</t>
  </si>
  <si>
    <t>现金流入</t>
  </si>
  <si>
    <t>留抵退税</t>
  </si>
  <si>
    <t>回收固定资产余值</t>
  </si>
  <si>
    <t>回收流动资金</t>
  </si>
  <si>
    <t>现金流出</t>
  </si>
  <si>
    <t>建设投资</t>
  </si>
  <si>
    <t>流动资金</t>
  </si>
  <si>
    <t>经营成本</t>
  </si>
  <si>
    <t>维持运营投资</t>
  </si>
  <si>
    <t>所得税前净现金流量（1-2）</t>
  </si>
  <si>
    <t>累计所得税前净现金流量</t>
  </si>
  <si>
    <t>所得税前净现金流量现值</t>
  </si>
  <si>
    <t>累计所得税前净现金流量现值</t>
  </si>
  <si>
    <t>调整所得税</t>
  </si>
  <si>
    <t>所得税后净现金流量（3-5）</t>
  </si>
  <si>
    <t>累计所得税后净现金流量</t>
  </si>
  <si>
    <t>所得税后净现金流量现值</t>
  </si>
  <si>
    <t>累计所得税后净现金流量现值</t>
  </si>
  <si>
    <t>计算指标：</t>
  </si>
  <si>
    <r>
      <rPr>
        <sz val="8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）（所得税前）</t>
    </r>
  </si>
  <si>
    <r>
      <rPr>
        <sz val="8"/>
        <color rgb="FF000000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）（所得税后）</t>
    </r>
  </si>
  <si>
    <r>
      <rPr>
        <sz val="8"/>
        <rFont val="宋体"/>
        <charset val="134"/>
      </rPr>
      <t>项目投资财务净现值（所得税前）（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Arial"/>
        <charset val="134"/>
      </rPr>
      <t>4.2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</t>
    </r>
  </si>
  <si>
    <r>
      <rPr>
        <sz val="8"/>
        <color rgb="FF000000"/>
        <rFont val="宋体"/>
        <charset val="134"/>
      </rPr>
      <t>项目投资财务净现值（所得税后）（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Times New Roman"/>
        <charset val="134"/>
      </rPr>
      <t>4.2%</t>
    </r>
    <r>
      <rPr>
        <sz val="8"/>
        <color rgb="FF000000"/>
        <rFont val="宋体"/>
        <charset val="134"/>
      </rPr>
      <t>）</t>
    </r>
  </si>
  <si>
    <t>项目投资回收期（年）（所得税前）</t>
  </si>
  <si>
    <t>项目投资回收期（年）（所得税后）</t>
  </si>
  <si>
    <t>还本付息表</t>
  </si>
  <si>
    <t>0.5建设期</t>
  </si>
  <si>
    <t>建设投资借款</t>
  </si>
  <si>
    <t>期初借款余额</t>
  </si>
  <si>
    <t>当期还本付息</t>
  </si>
  <si>
    <t>其中：还本</t>
  </si>
  <si>
    <t>付息</t>
  </si>
  <si>
    <t>期末借款余额</t>
  </si>
  <si>
    <t>可用于还本付息的资金</t>
  </si>
  <si>
    <t>指标</t>
  </si>
  <si>
    <t>利息备付率</t>
  </si>
  <si>
    <t>偿债备付率</t>
  </si>
  <si>
    <t xml:space="preserve"> 项目财务现金流量表   </t>
  </si>
  <si>
    <t xml:space="preserve">建设期/运营期
</t>
  </si>
  <si>
    <t>经营活动净现金流量</t>
  </si>
  <si>
    <t>其他流入</t>
  </si>
  <si>
    <t>税金及附加</t>
  </si>
  <si>
    <t>其他流出</t>
  </si>
  <si>
    <t>投资活动净现金流量</t>
  </si>
  <si>
    <t>2.2.1</t>
  </si>
  <si>
    <t>2.2.2</t>
  </si>
  <si>
    <t>2.2.3</t>
  </si>
  <si>
    <t>2.2.4</t>
  </si>
  <si>
    <t>筹资活动净现金流量</t>
  </si>
  <si>
    <t>3.1.1</t>
  </si>
  <si>
    <t>项目资本金投入</t>
  </si>
  <si>
    <t>3.1.2</t>
  </si>
  <si>
    <t>3.1.3</t>
  </si>
  <si>
    <t>3.2.1</t>
  </si>
  <si>
    <t>3.2.2</t>
  </si>
  <si>
    <t>偿还债务本金</t>
  </si>
  <si>
    <t>3.2.3</t>
  </si>
  <si>
    <t>应付利润(股利分配)</t>
  </si>
  <si>
    <t>3.2.4</t>
  </si>
  <si>
    <t>净现金流量</t>
  </si>
  <si>
    <t>累计盈余资金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</si>
</sst>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0_ "/>
    <numFmt numFmtId="180" formatCode="0.0000_ "/>
  </numFmts>
  <fonts count="57">
    <font>
      <sz val="11"/>
      <name val="宋体"/>
      <charset val="134"/>
    </font>
    <font>
      <b/>
      <sz val="14"/>
      <name val="宋体"/>
      <charset val="134"/>
    </font>
    <font>
      <sz val="8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b/>
      <sz val="7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  <font>
      <b/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8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name val="Times New Roman"/>
      <charset val="134"/>
    </font>
    <font>
      <sz val="8"/>
      <color rgb="FFFF0000"/>
      <name val="宋体"/>
      <charset val="134"/>
    </font>
    <font>
      <sz val="9"/>
      <color rgb="FF000000"/>
      <name val="宋体"/>
      <charset val="134"/>
    </font>
    <font>
      <b/>
      <sz val="11"/>
      <name val="宋体"/>
      <charset val="134"/>
    </font>
    <font>
      <b/>
      <sz val="8"/>
      <color rgb="FF000000"/>
      <name val="Arial"/>
      <charset val="134"/>
    </font>
    <font>
      <b/>
      <sz val="8"/>
      <name val="Arial"/>
      <charset val="134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color rgb="FF000000"/>
      <name val="Arial"/>
      <charset val="134"/>
    </font>
    <font>
      <b/>
      <sz val="16"/>
      <name val="黑体"/>
      <charset val="134"/>
    </font>
    <font>
      <b/>
      <sz val="16"/>
      <color rgb="FFFF0000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8"/>
      <name val="Times New Roman"/>
      <charset val="134"/>
    </font>
    <font>
      <b/>
      <sz val="7"/>
      <name val="Times New Roman"/>
      <charset val="134"/>
    </font>
    <font>
      <sz val="7"/>
      <name val="宋体"/>
      <charset val="134"/>
    </font>
    <font>
      <sz val="7"/>
      <name val="Times New Roman"/>
      <charset val="134"/>
    </font>
    <font>
      <sz val="8"/>
      <color rgb="FFFF0000"/>
      <name val="Times New Roman"/>
      <charset val="134"/>
    </font>
    <font>
      <b/>
      <sz val="11"/>
      <color rgb="FFFF0000"/>
      <name val="宋体"/>
      <charset val="134"/>
    </font>
    <font>
      <b/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" borderId="1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13" applyNumberFormat="0" applyAlignment="0" applyProtection="0">
      <alignment vertical="center"/>
    </xf>
    <xf numFmtId="0" fontId="47" fillId="6" borderId="14" applyNumberFormat="0" applyAlignment="0" applyProtection="0">
      <alignment vertical="center"/>
    </xf>
    <xf numFmtId="0" fontId="48" fillId="6" borderId="13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</cellStyleXfs>
  <cellXfs count="153"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left" vertical="top" wrapText="1"/>
    </xf>
    <xf numFmtId="176" fontId="11" fillId="0" borderId="1" xfId="0" applyNumberFormat="1" applyFont="1" applyBorder="1" applyAlignment="1">
      <alignment horizontal="left" vertical="top" wrapText="1"/>
    </xf>
    <xf numFmtId="176" fontId="12" fillId="0" borderId="1" xfId="0" applyNumberFormat="1" applyFont="1" applyBorder="1" applyAlignment="1">
      <alignment horizontal="center" vertical="top" wrapText="1"/>
    </xf>
    <xf numFmtId="177" fontId="12" fillId="0" borderId="1" xfId="0" applyNumberFormat="1" applyFont="1" applyBorder="1" applyAlignment="1">
      <alignment horizontal="center" vertical="top" wrapText="1"/>
    </xf>
    <xf numFmtId="178" fontId="12" fillId="0" borderId="1" xfId="0" applyNumberFormat="1" applyFont="1" applyBorder="1" applyAlignment="1">
      <alignment horizontal="center" vertical="top" wrapText="1"/>
    </xf>
    <xf numFmtId="177" fontId="2" fillId="0" borderId="1" xfId="0" applyNumberFormat="1" applyFont="1" applyBorder="1" applyAlignment="1">
      <alignment horizontal="left" vertical="top" wrapText="1"/>
    </xf>
    <xf numFmtId="176" fontId="2" fillId="0" borderId="1" xfId="0" applyNumberFormat="1" applyFont="1" applyBorder="1" applyAlignment="1">
      <alignment horizontal="center" vertical="top" wrapText="1"/>
    </xf>
    <xf numFmtId="176" fontId="2" fillId="0" borderId="1" xfId="0" applyNumberFormat="1" applyFont="1" applyBorder="1" applyAlignment="1">
      <alignment horizontal="left" vertical="top" wrapText="1"/>
    </xf>
    <xf numFmtId="176" fontId="13" fillId="0" borderId="1" xfId="0" applyNumberFormat="1" applyFont="1" applyBorder="1" applyAlignment="1">
      <alignment horizontal="center" vertical="top" wrapText="1"/>
    </xf>
    <xf numFmtId="178" fontId="2" fillId="0" borderId="1" xfId="0" applyNumberFormat="1" applyFont="1" applyBorder="1" applyAlignment="1">
      <alignment horizontal="left" vertical="top" wrapText="1"/>
    </xf>
    <xf numFmtId="176" fontId="2" fillId="0" borderId="1" xfId="0" applyNumberFormat="1" applyFont="1" applyBorder="1" applyAlignment="1">
      <alignment horizontal="justify" vertical="top" wrapText="1"/>
    </xf>
    <xf numFmtId="176" fontId="2" fillId="0" borderId="1" xfId="0" applyNumberFormat="1" applyFont="1" applyBorder="1" applyAlignment="1">
      <alignment horizontal="left" vertical="center" wrapText="1"/>
    </xf>
    <xf numFmtId="176" fontId="6" fillId="0" borderId="0" xfId="0" applyNumberFormat="1" applyFo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76" fontId="13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1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176" fontId="15" fillId="0" borderId="1" xfId="0" applyNumberFormat="1" applyFont="1" applyBorder="1" applyAlignment="1">
      <alignment horizontal="center" vertical="top" wrapText="1"/>
    </xf>
    <xf numFmtId="176" fontId="15" fillId="0" borderId="4" xfId="0" applyNumberFormat="1" applyFont="1" applyBorder="1" applyAlignment="1">
      <alignment horizontal="center" vertical="top" wrapText="1"/>
    </xf>
    <xf numFmtId="176" fontId="16" fillId="0" borderId="1" xfId="0" applyNumberFormat="1" applyFont="1" applyBorder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top" wrapText="1"/>
    </xf>
    <xf numFmtId="0" fontId="19" fillId="0" borderId="0" xfId="0" applyNumberFormat="1" applyFont="1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176" fontId="14" fillId="0" borderId="2" xfId="0" applyNumberFormat="1" applyFont="1" applyBorder="1" applyAlignment="1">
      <alignment horizontal="center" vertical="top" wrapText="1"/>
    </xf>
    <xf numFmtId="176" fontId="10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176" fontId="22" fillId="0" borderId="1" xfId="0" applyNumberFormat="1" applyFont="1" applyBorder="1" applyAlignment="1">
      <alignment horizontal="center" vertical="top" wrapText="1"/>
    </xf>
    <xf numFmtId="176" fontId="14" fillId="0" borderId="1" xfId="0" applyNumberFormat="1" applyFont="1" applyBorder="1" applyAlignment="1">
      <alignment horizontal="center" vertical="top" wrapText="1"/>
    </xf>
    <xf numFmtId="176" fontId="23" fillId="0" borderId="1" xfId="0" applyNumberFormat="1" applyFont="1" applyBorder="1" applyAlignment="1">
      <alignment horizontal="center" vertical="top" wrapText="1"/>
    </xf>
    <xf numFmtId="10" fontId="23" fillId="0" borderId="1" xfId="0" applyNumberFormat="1" applyFont="1" applyBorder="1" applyAlignment="1">
      <alignment horizontal="center" vertical="top" wrapText="1"/>
    </xf>
    <xf numFmtId="10" fontId="15" fillId="0" borderId="1" xfId="0" applyNumberFormat="1" applyFont="1" applyBorder="1" applyAlignment="1">
      <alignment horizontal="center" vertical="top" wrapText="1"/>
    </xf>
    <xf numFmtId="10" fontId="2" fillId="0" borderId="1" xfId="0" applyNumberFormat="1" applyFont="1" applyBorder="1" applyAlignment="1">
      <alignment horizontal="center" vertical="top" wrapText="1"/>
    </xf>
    <xf numFmtId="10" fontId="24" fillId="0" borderId="1" xfId="0" applyNumberFormat="1" applyFont="1" applyBorder="1" applyAlignment="1">
      <alignment horizontal="center" vertical="top" wrapText="1"/>
    </xf>
    <xf numFmtId="176" fontId="24" fillId="0" borderId="1" xfId="0" applyNumberFormat="1" applyFont="1" applyBorder="1" applyAlignment="1">
      <alignment horizontal="center" vertical="top" wrapText="1"/>
    </xf>
    <xf numFmtId="177" fontId="14" fillId="0" borderId="1" xfId="0" applyNumberFormat="1" applyFont="1" applyBorder="1" applyAlignment="1">
      <alignment horizontal="center" vertical="top" wrapText="1"/>
    </xf>
    <xf numFmtId="177" fontId="2" fillId="0" borderId="1" xfId="0" applyNumberFormat="1" applyFont="1" applyBorder="1" applyAlignment="1">
      <alignment horizontal="center" vertical="top" wrapText="1"/>
    </xf>
    <xf numFmtId="177" fontId="15" fillId="0" borderId="1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9" fontId="25" fillId="0" borderId="1" xfId="0" applyNumberFormat="1" applyFont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top" wrapText="1"/>
    </xf>
    <xf numFmtId="9" fontId="15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top" wrapText="1"/>
    </xf>
    <xf numFmtId="176" fontId="13" fillId="0" borderId="1" xfId="0" applyNumberFormat="1" applyFont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left" vertical="top" wrapText="1"/>
    </xf>
    <xf numFmtId="176" fontId="16" fillId="0" borderId="1" xfId="0" applyNumberFormat="1" applyFont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26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28" fillId="0" borderId="0" xfId="0" applyFont="1" applyAlignment="1">
      <alignment horizontal="right" vertical="top" wrapText="1"/>
    </xf>
    <xf numFmtId="0" fontId="29" fillId="0" borderId="0" xfId="0" applyFont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76" fontId="30" fillId="0" borderId="1" xfId="0" applyNumberFormat="1" applyFont="1" applyBorder="1" applyAlignment="1">
      <alignment horizontal="center" vertical="top" wrapText="1"/>
    </xf>
    <xf numFmtId="10" fontId="31" fillId="0" borderId="2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76" fontId="32" fillId="0" borderId="2" xfId="0" applyNumberFormat="1" applyFont="1" applyBorder="1" applyAlignment="1">
      <alignment horizontal="center" vertical="top" wrapText="1"/>
    </xf>
    <xf numFmtId="176" fontId="32" fillId="0" borderId="2" xfId="0" applyNumberFormat="1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top" wrapText="1"/>
    </xf>
    <xf numFmtId="176" fontId="33" fillId="0" borderId="2" xfId="0" applyNumberFormat="1" applyFont="1" applyBorder="1" applyAlignment="1">
      <alignment horizontal="center" vertical="top" wrapText="1"/>
    </xf>
    <xf numFmtId="176" fontId="34" fillId="0" borderId="0" xfId="0" applyNumberFormat="1" applyFont="1" applyAlignment="1">
      <alignment horizontal="center" vertical="top" wrapText="1"/>
    </xf>
    <xf numFmtId="176" fontId="0" fillId="0" borderId="0" xfId="0" applyNumberFormat="1" applyAlignment="1">
      <alignment horizontal="center" vertical="center"/>
    </xf>
    <xf numFmtId="176" fontId="26" fillId="0" borderId="0" xfId="0" applyNumberFormat="1" applyFont="1" applyAlignment="1">
      <alignment horizontal="center" vertical="top" wrapText="1"/>
    </xf>
    <xf numFmtId="176" fontId="28" fillId="0" borderId="0" xfId="0" applyNumberFormat="1" applyFont="1" applyAlignment="1">
      <alignment horizontal="right" vertical="top" wrapText="1"/>
    </xf>
    <xf numFmtId="176" fontId="12" fillId="0" borderId="1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10" fontId="31" fillId="0" borderId="7" xfId="0" applyNumberFormat="1" applyFont="1" applyBorder="1" applyAlignment="1">
      <alignment horizontal="center" vertical="top" wrapText="1"/>
    </xf>
    <xf numFmtId="176" fontId="31" fillId="0" borderId="8" xfId="0" applyNumberFormat="1" applyFont="1" applyBorder="1" applyAlignment="1">
      <alignment horizontal="center" vertical="top" wrapText="1"/>
    </xf>
    <xf numFmtId="0" fontId="7" fillId="0" borderId="0" xfId="0" applyFont="1">
      <alignment vertical="center"/>
    </xf>
    <xf numFmtId="0" fontId="35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79" fontId="12" fillId="0" borderId="0" xfId="0" applyNumberFormat="1" applyFont="1">
      <alignment vertical="center"/>
    </xf>
    <xf numFmtId="179" fontId="36" fillId="0" borderId="0" xfId="0" applyNumberFormat="1" applyFont="1">
      <alignment vertical="center"/>
    </xf>
    <xf numFmtId="176" fontId="33" fillId="0" borderId="7" xfId="0" applyNumberFormat="1" applyFont="1" applyBorder="1" applyAlignment="1">
      <alignment horizontal="center" vertical="top" wrapText="1"/>
    </xf>
    <xf numFmtId="176" fontId="33" fillId="0" borderId="8" xfId="0" applyNumberFormat="1" applyFont="1" applyBorder="1" applyAlignment="1">
      <alignment horizontal="center" vertical="top" wrapText="1"/>
    </xf>
    <xf numFmtId="179" fontId="13" fillId="0" borderId="0" xfId="0" applyNumberFormat="1" applyFont="1">
      <alignment vertical="center"/>
    </xf>
    <xf numFmtId="179" fontId="17" fillId="0" borderId="0" xfId="0" applyNumberFormat="1" applyFont="1">
      <alignment vertical="center"/>
    </xf>
    <xf numFmtId="176" fontId="32" fillId="0" borderId="7" xfId="0" applyNumberFormat="1" applyFont="1" applyBorder="1" applyAlignment="1">
      <alignment horizontal="center" vertical="center" wrapText="1"/>
    </xf>
    <xf numFmtId="176" fontId="32" fillId="0" borderId="8" xfId="0" applyNumberFormat="1" applyFont="1" applyBorder="1" applyAlignment="1">
      <alignment horizontal="left" vertical="center" wrapText="1"/>
    </xf>
    <xf numFmtId="176" fontId="32" fillId="0" borderId="8" xfId="0" applyNumberFormat="1" applyFont="1" applyBorder="1" applyAlignment="1">
      <alignment horizontal="center" vertical="center" wrapText="1"/>
    </xf>
    <xf numFmtId="176" fontId="32" fillId="0" borderId="7" xfId="0" applyNumberFormat="1" applyFont="1" applyBorder="1" applyAlignment="1">
      <alignment horizontal="center" vertical="top" wrapText="1"/>
    </xf>
    <xf numFmtId="176" fontId="32" fillId="0" borderId="8" xfId="0" applyNumberFormat="1" applyFont="1" applyBorder="1" applyAlignment="1">
      <alignment horizontal="left" vertical="top" wrapText="1"/>
    </xf>
    <xf numFmtId="176" fontId="32" fillId="0" borderId="8" xfId="0" applyNumberFormat="1" applyFont="1" applyBorder="1" applyAlignment="1">
      <alignment horizontal="center" vertical="top" wrapText="1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zoomScale="120" zoomScaleNormal="120" workbookViewId="0">
      <pane xSplit="1" ySplit="3" topLeftCell="B37" activePane="bottomRight" state="frozen"/>
      <selection/>
      <selection pane="topRight"/>
      <selection pane="bottomLeft"/>
      <selection pane="bottomRight" activeCell="M24" sqref="M24"/>
    </sheetView>
  </sheetViews>
  <sheetFormatPr defaultColWidth="8.62727272727273" defaultRowHeight="14"/>
  <cols>
    <col min="1" max="1" width="4.37272727272727" style="53" customWidth="1"/>
    <col min="2" max="2" width="18.7545454545455" style="53" customWidth="1"/>
    <col min="3" max="3" width="10.5" style="53" customWidth="1"/>
    <col min="4" max="6" width="9.25454545454545" style="53" customWidth="1"/>
    <col min="7" max="7" width="10.5" style="53" customWidth="1"/>
    <col min="8" max="8" width="5.5" style="106" customWidth="1"/>
    <col min="9" max="9" width="9.87272727272727" style="53" customWidth="1"/>
    <col min="10" max="10" width="10.3727272727273" style="107" customWidth="1"/>
    <col min="11" max="11" width="13.6272727272727" style="71" customWidth="1"/>
    <col min="12" max="12" width="12.8909090909091" style="98"/>
    <col min="13" max="13" width="8.62727272727273" style="98"/>
    <col min="14" max="26" width="8.62727272727273" style="71"/>
  </cols>
  <sheetData>
    <row r="1" ht="23.25" customHeight="1" spans="1:10">
      <c r="A1" s="108" t="s">
        <v>0</v>
      </c>
      <c r="B1" s="108"/>
      <c r="C1" s="108"/>
      <c r="D1" s="108"/>
      <c r="E1" s="108"/>
      <c r="F1" s="108"/>
      <c r="G1" s="108"/>
      <c r="H1" s="109"/>
      <c r="I1" s="108"/>
      <c r="J1" s="126"/>
    </row>
    <row r="2" ht="20.1" customHeight="1" spans="1:10">
      <c r="A2" s="110" t="s">
        <v>1</v>
      </c>
      <c r="B2" s="110"/>
      <c r="C2" s="110"/>
      <c r="D2" s="110"/>
      <c r="E2" s="110"/>
      <c r="F2" s="110"/>
      <c r="G2" s="110"/>
      <c r="H2" s="111"/>
      <c r="I2" s="110"/>
      <c r="J2" s="127"/>
    </row>
    <row r="3" s="105" customFormat="1" ht="27.4" customHeight="1" spans="1:13">
      <c r="A3" s="112" t="s">
        <v>2</v>
      </c>
      <c r="B3" s="112" t="s">
        <v>3</v>
      </c>
      <c r="C3" s="112" t="s">
        <v>4</v>
      </c>
      <c r="D3" s="112" t="s">
        <v>5</v>
      </c>
      <c r="E3" s="112" t="s">
        <v>6</v>
      </c>
      <c r="F3" s="112" t="s">
        <v>7</v>
      </c>
      <c r="G3" s="112" t="s">
        <v>8</v>
      </c>
      <c r="H3" s="112" t="s">
        <v>9</v>
      </c>
      <c r="I3" s="112" t="s">
        <v>10</v>
      </c>
      <c r="J3" s="128" t="s">
        <v>11</v>
      </c>
      <c r="L3" s="129"/>
      <c r="M3" s="129"/>
    </row>
    <row r="4" ht="12" customHeight="1" spans="1:10">
      <c r="A4" s="45" t="s">
        <v>12</v>
      </c>
      <c r="B4" s="113" t="s">
        <v>13</v>
      </c>
      <c r="C4" s="114">
        <f>C5+C31</f>
        <v>134.532</v>
      </c>
      <c r="D4" s="114">
        <f>D5+D31</f>
        <v>304.307</v>
      </c>
      <c r="E4" s="114">
        <f>E5+E31</f>
        <v>2972.53006</v>
      </c>
      <c r="F4" s="114"/>
      <c r="G4" s="114">
        <f>C4+D4+E4+F4</f>
        <v>3411.36906</v>
      </c>
      <c r="H4" s="115">
        <f>G4/G54</f>
        <v>0.89322753519977</v>
      </c>
      <c r="I4" s="130"/>
      <c r="J4" s="131"/>
    </row>
    <row r="5" s="66" customFormat="1" spans="1:13">
      <c r="A5" s="113">
        <v>2</v>
      </c>
      <c r="B5" s="113" t="s">
        <v>14</v>
      </c>
      <c r="C5" s="114">
        <f>C6+C22</f>
        <v>80.25</v>
      </c>
      <c r="D5" s="114">
        <f>D6+D22</f>
        <v>285.65</v>
      </c>
      <c r="E5" s="114">
        <f>E6+E22</f>
        <v>2814.24506</v>
      </c>
      <c r="F5" s="114"/>
      <c r="G5" s="59">
        <f>C5+D5+E5+F5</f>
        <v>3180.14506</v>
      </c>
      <c r="H5" s="115">
        <f>G5/G54</f>
        <v>0.832684204951289</v>
      </c>
      <c r="I5" s="130"/>
      <c r="J5" s="131"/>
      <c r="L5" s="132"/>
      <c r="M5" s="133"/>
    </row>
    <row r="6" s="66" customFormat="1" spans="1:13">
      <c r="A6" s="116">
        <v>1</v>
      </c>
      <c r="B6" s="116" t="s">
        <v>15</v>
      </c>
      <c r="C6" s="116">
        <f>SUM(C7:C21)</f>
        <v>80.25</v>
      </c>
      <c r="D6" s="80">
        <f>SUM(D7:D21)</f>
        <v>160.65</v>
      </c>
      <c r="E6" s="80">
        <f>SUM(E7:E21)</f>
        <v>1538.34506</v>
      </c>
      <c r="F6" s="116" t="s">
        <v>16</v>
      </c>
      <c r="G6" s="80">
        <f t="shared" ref="G6:G35" si="0">SUM(C6:F6)</f>
        <v>1779.24506</v>
      </c>
      <c r="H6" s="117" t="s">
        <v>17</v>
      </c>
      <c r="I6" s="134">
        <v>5950</v>
      </c>
      <c r="J6" s="135">
        <f>G6/I6</f>
        <v>0.299032783193277</v>
      </c>
      <c r="L6" s="133"/>
      <c r="M6" s="133"/>
    </row>
    <row r="7" s="66" customFormat="1" spans="1:13">
      <c r="A7" s="118"/>
      <c r="B7" s="118" t="s">
        <v>18</v>
      </c>
      <c r="C7" s="82" t="s">
        <v>16</v>
      </c>
      <c r="D7" s="82" t="s">
        <v>16</v>
      </c>
      <c r="E7" s="82">
        <f t="shared" ref="E7:E19" si="1">I7*J7</f>
        <v>948.996</v>
      </c>
      <c r="F7" s="82" t="s">
        <v>16</v>
      </c>
      <c r="G7" s="82">
        <f t="shared" si="0"/>
        <v>948.996</v>
      </c>
      <c r="H7" s="43" t="s">
        <v>19</v>
      </c>
      <c r="I7" s="136">
        <v>10908</v>
      </c>
      <c r="J7" s="136">
        <v>0.087</v>
      </c>
      <c r="L7" s="132"/>
      <c r="M7" s="133"/>
    </row>
    <row r="8" s="66" customFormat="1" spans="1:13">
      <c r="A8" s="118"/>
      <c r="B8" s="118" t="s">
        <v>20</v>
      </c>
      <c r="C8" s="82" t="s">
        <v>16</v>
      </c>
      <c r="D8" s="82" t="s">
        <v>16</v>
      </c>
      <c r="E8" s="82">
        <f t="shared" si="1"/>
        <v>122.5</v>
      </c>
      <c r="F8" s="82" t="s">
        <v>16</v>
      </c>
      <c r="G8" s="82">
        <f t="shared" si="0"/>
        <v>122.5</v>
      </c>
      <c r="H8" s="43" t="s">
        <v>21</v>
      </c>
      <c r="I8" s="136">
        <v>49</v>
      </c>
      <c r="J8" s="136">
        <v>2.5</v>
      </c>
      <c r="L8" s="132"/>
      <c r="M8" s="133"/>
    </row>
    <row r="9" s="66" customFormat="1" spans="1:13">
      <c r="A9" s="118"/>
      <c r="B9" s="118" t="s">
        <v>22</v>
      </c>
      <c r="C9" s="82" t="s">
        <v>16</v>
      </c>
      <c r="D9" s="82" t="s">
        <v>16</v>
      </c>
      <c r="E9" s="82">
        <f t="shared" si="1"/>
        <v>10.224</v>
      </c>
      <c r="F9" s="82" t="s">
        <v>16</v>
      </c>
      <c r="G9" s="82">
        <f t="shared" si="0"/>
        <v>10.224</v>
      </c>
      <c r="H9" s="43" t="s">
        <v>21</v>
      </c>
      <c r="I9" s="136">
        <v>9</v>
      </c>
      <c r="J9" s="136">
        <v>1.136</v>
      </c>
      <c r="L9" s="132"/>
      <c r="M9" s="133"/>
    </row>
    <row r="10" s="66" customFormat="1" spans="1:13">
      <c r="A10" s="118"/>
      <c r="B10" s="118" t="s">
        <v>23</v>
      </c>
      <c r="C10" s="82" t="s">
        <v>16</v>
      </c>
      <c r="D10" s="82" t="s">
        <v>16</v>
      </c>
      <c r="E10" s="82">
        <f t="shared" si="1"/>
        <v>148.30571</v>
      </c>
      <c r="F10" s="82" t="s">
        <v>16</v>
      </c>
      <c r="G10" s="82">
        <f t="shared" si="0"/>
        <v>148.30571</v>
      </c>
      <c r="H10" s="43" t="s">
        <v>24</v>
      </c>
      <c r="I10" s="136">
        <v>87.29</v>
      </c>
      <c r="J10" s="136">
        <v>1.699</v>
      </c>
      <c r="L10" s="132"/>
      <c r="M10" s="133"/>
    </row>
    <row r="11" s="66" customFormat="1" spans="1:13">
      <c r="A11" s="118"/>
      <c r="B11" s="118" t="s">
        <v>25</v>
      </c>
      <c r="C11" s="82" t="s">
        <v>16</v>
      </c>
      <c r="D11" s="82" t="s">
        <v>16</v>
      </c>
      <c r="E11" s="82">
        <f t="shared" si="1"/>
        <v>48.762</v>
      </c>
      <c r="F11" s="82" t="s">
        <v>16</v>
      </c>
      <c r="G11" s="82">
        <f t="shared" si="0"/>
        <v>48.762</v>
      </c>
      <c r="H11" s="43" t="s">
        <v>24</v>
      </c>
      <c r="I11" s="136">
        <v>126</v>
      </c>
      <c r="J11" s="136">
        <v>0.387</v>
      </c>
      <c r="L11" s="132"/>
      <c r="M11" s="133"/>
    </row>
    <row r="12" s="66" customFormat="1" spans="1:13">
      <c r="A12" s="118"/>
      <c r="B12" s="118" t="s">
        <v>26</v>
      </c>
      <c r="C12" s="82" t="s">
        <v>16</v>
      </c>
      <c r="D12" s="82" t="s">
        <v>16</v>
      </c>
      <c r="E12" s="82">
        <f t="shared" si="1"/>
        <v>1.37885</v>
      </c>
      <c r="F12" s="82" t="s">
        <v>16</v>
      </c>
      <c r="G12" s="82">
        <f t="shared" si="0"/>
        <v>1.37885</v>
      </c>
      <c r="H12" s="43" t="s">
        <v>27</v>
      </c>
      <c r="I12" s="136">
        <v>2.3</v>
      </c>
      <c r="J12" s="136">
        <v>0.5995</v>
      </c>
      <c r="L12" s="132"/>
      <c r="M12" s="133"/>
    </row>
    <row r="13" s="66" customFormat="1" spans="1:13">
      <c r="A13" s="118"/>
      <c r="B13" s="118" t="s">
        <v>28</v>
      </c>
      <c r="C13" s="82" t="s">
        <v>16</v>
      </c>
      <c r="D13" s="82" t="s">
        <v>16</v>
      </c>
      <c r="E13" s="82">
        <f t="shared" si="1"/>
        <v>147.6225</v>
      </c>
      <c r="F13" s="82" t="s">
        <v>16</v>
      </c>
      <c r="G13" s="82">
        <f t="shared" si="0"/>
        <v>147.6225</v>
      </c>
      <c r="H13" s="43" t="s">
        <v>24</v>
      </c>
      <c r="I13" s="136">
        <v>8.1</v>
      </c>
      <c r="J13" s="136">
        <v>18.225</v>
      </c>
      <c r="L13" s="132"/>
      <c r="M13" s="133"/>
    </row>
    <row r="14" s="66" customFormat="1" spans="1:13">
      <c r="A14" s="118"/>
      <c r="B14" s="118" t="s">
        <v>29</v>
      </c>
      <c r="C14" s="82" t="s">
        <v>16</v>
      </c>
      <c r="D14" s="82" t="s">
        <v>16</v>
      </c>
      <c r="E14" s="82">
        <f t="shared" si="1"/>
        <v>20.256</v>
      </c>
      <c r="F14" s="82" t="s">
        <v>16</v>
      </c>
      <c r="G14" s="82">
        <f t="shared" si="0"/>
        <v>20.256</v>
      </c>
      <c r="H14" s="43" t="s">
        <v>21</v>
      </c>
      <c r="I14" s="136">
        <v>1</v>
      </c>
      <c r="J14" s="136">
        <v>20.256</v>
      </c>
      <c r="L14" s="132"/>
      <c r="M14" s="133"/>
    </row>
    <row r="15" s="66" customFormat="1" spans="1:13">
      <c r="A15" s="118"/>
      <c r="B15" s="118" t="s">
        <v>30</v>
      </c>
      <c r="C15" s="82" t="s">
        <v>16</v>
      </c>
      <c r="D15" s="82" t="s">
        <v>16</v>
      </c>
      <c r="E15" s="82">
        <f t="shared" si="1"/>
        <v>4.63</v>
      </c>
      <c r="F15" s="82" t="s">
        <v>16</v>
      </c>
      <c r="G15" s="82">
        <f t="shared" si="0"/>
        <v>4.63</v>
      </c>
      <c r="H15" s="43" t="s">
        <v>21</v>
      </c>
      <c r="I15" s="136">
        <v>1</v>
      </c>
      <c r="J15" s="136">
        <v>4.63</v>
      </c>
      <c r="L15" s="132"/>
      <c r="M15" s="133"/>
    </row>
    <row r="16" s="66" customFormat="1" spans="1:13">
      <c r="A16" s="118"/>
      <c r="B16" s="118" t="s">
        <v>31</v>
      </c>
      <c r="C16" s="82" t="s">
        <v>16</v>
      </c>
      <c r="D16" s="82" t="s">
        <v>16</v>
      </c>
      <c r="E16" s="82">
        <f t="shared" si="1"/>
        <v>5</v>
      </c>
      <c r="F16" s="82" t="s">
        <v>16</v>
      </c>
      <c r="G16" s="82">
        <f t="shared" si="0"/>
        <v>5</v>
      </c>
      <c r="H16" s="43" t="s">
        <v>21</v>
      </c>
      <c r="I16" s="136">
        <v>1</v>
      </c>
      <c r="J16" s="136">
        <v>5</v>
      </c>
      <c r="L16" s="132"/>
      <c r="M16" s="133"/>
    </row>
    <row r="17" s="66" customFormat="1" spans="1:13">
      <c r="A17" s="118"/>
      <c r="B17" s="118" t="s">
        <v>32</v>
      </c>
      <c r="C17" s="82" t="s">
        <v>16</v>
      </c>
      <c r="D17" s="82" t="s">
        <v>16</v>
      </c>
      <c r="E17" s="82">
        <f t="shared" si="1"/>
        <v>3.5</v>
      </c>
      <c r="F17" s="82" t="s">
        <v>16</v>
      </c>
      <c r="G17" s="82">
        <f t="shared" si="0"/>
        <v>3.5</v>
      </c>
      <c r="H17" s="43" t="s">
        <v>21</v>
      </c>
      <c r="I17" s="136">
        <v>1</v>
      </c>
      <c r="J17" s="136">
        <v>3.5</v>
      </c>
      <c r="L17" s="132"/>
      <c r="M17" s="133"/>
    </row>
    <row r="18" s="66" customFormat="1" spans="1:13">
      <c r="A18" s="118"/>
      <c r="B18" s="118" t="s">
        <v>33</v>
      </c>
      <c r="C18" s="82" t="s">
        <v>16</v>
      </c>
      <c r="D18" s="82" t="s">
        <v>16</v>
      </c>
      <c r="E18" s="82">
        <f t="shared" si="1"/>
        <v>31</v>
      </c>
      <c r="F18" s="82" t="s">
        <v>16</v>
      </c>
      <c r="G18" s="82">
        <f t="shared" si="0"/>
        <v>31</v>
      </c>
      <c r="H18" s="43" t="s">
        <v>21</v>
      </c>
      <c r="I18" s="136">
        <v>1</v>
      </c>
      <c r="J18" s="136">
        <v>31</v>
      </c>
      <c r="L18" s="132"/>
      <c r="M18" s="133"/>
    </row>
    <row r="19" s="66" customFormat="1" spans="1:13">
      <c r="A19" s="118"/>
      <c r="B19" s="118" t="s">
        <v>34</v>
      </c>
      <c r="C19" s="82" t="s">
        <v>16</v>
      </c>
      <c r="D19" s="82" t="s">
        <v>16</v>
      </c>
      <c r="E19" s="82">
        <f t="shared" si="1"/>
        <v>46.17</v>
      </c>
      <c r="F19" s="82" t="s">
        <v>16</v>
      </c>
      <c r="G19" s="82">
        <f t="shared" si="0"/>
        <v>46.17</v>
      </c>
      <c r="H19" s="43" t="s">
        <v>35</v>
      </c>
      <c r="I19" s="136">
        <v>810</v>
      </c>
      <c r="J19" s="136">
        <v>0.057</v>
      </c>
      <c r="L19" s="132"/>
      <c r="M19" s="133"/>
    </row>
    <row r="20" s="66" customFormat="1" spans="1:13">
      <c r="A20" s="118"/>
      <c r="B20" s="118" t="s">
        <v>36</v>
      </c>
      <c r="C20" s="82">
        <f>I20*J20</f>
        <v>80.25</v>
      </c>
      <c r="D20" s="82" t="s">
        <v>16</v>
      </c>
      <c r="E20" s="82" t="s">
        <v>16</v>
      </c>
      <c r="F20" s="82" t="s">
        <v>16</v>
      </c>
      <c r="G20" s="82">
        <f t="shared" si="0"/>
        <v>80.25</v>
      </c>
      <c r="H20" s="43" t="s">
        <v>37</v>
      </c>
      <c r="I20" s="136">
        <v>1</v>
      </c>
      <c r="J20" s="136">
        <v>80.25</v>
      </c>
      <c r="L20" s="132"/>
      <c r="M20" s="133"/>
    </row>
    <row r="21" s="66" customFormat="1" spans="1:13">
      <c r="A21" s="118"/>
      <c r="B21" s="118" t="s">
        <v>38</v>
      </c>
      <c r="C21" s="82" t="s">
        <v>16</v>
      </c>
      <c r="D21" s="82">
        <f>I21*J21</f>
        <v>160.65</v>
      </c>
      <c r="E21" s="82" t="s">
        <v>16</v>
      </c>
      <c r="F21" s="82" t="s">
        <v>16</v>
      </c>
      <c r="G21" s="82">
        <f t="shared" si="0"/>
        <v>160.65</v>
      </c>
      <c r="H21" s="43" t="s">
        <v>17</v>
      </c>
      <c r="I21" s="136">
        <v>5950</v>
      </c>
      <c r="J21" s="136">
        <v>0.027</v>
      </c>
      <c r="L21" s="132"/>
      <c r="M21" s="133"/>
    </row>
    <row r="22" s="66" customFormat="1" ht="19" spans="1:13">
      <c r="A22" s="116">
        <v>2</v>
      </c>
      <c r="B22" s="116" t="s">
        <v>39</v>
      </c>
      <c r="C22" s="116"/>
      <c r="D22" s="116">
        <f>SUM(D23:D30)</f>
        <v>125</v>
      </c>
      <c r="E22" s="116">
        <f>SUM(E23:E30)</f>
        <v>1275.9</v>
      </c>
      <c r="F22" s="116"/>
      <c r="G22" s="116">
        <f t="shared" si="0"/>
        <v>1400.9</v>
      </c>
      <c r="H22" s="117" t="s">
        <v>40</v>
      </c>
      <c r="I22" s="137">
        <v>10000</v>
      </c>
      <c r="J22" s="138">
        <f>G22/I22</f>
        <v>0.14009</v>
      </c>
      <c r="L22" s="133"/>
      <c r="M22" s="133"/>
    </row>
    <row r="23" s="66" customFormat="1" spans="1:13">
      <c r="A23" s="118"/>
      <c r="B23" s="118" t="s">
        <v>41</v>
      </c>
      <c r="C23" s="118" t="s">
        <v>16</v>
      </c>
      <c r="D23" s="118" t="s">
        <v>16</v>
      </c>
      <c r="E23" s="118">
        <f t="shared" ref="E23:E29" si="2">I23*J23</f>
        <v>873.4</v>
      </c>
      <c r="F23" s="118" t="s">
        <v>16</v>
      </c>
      <c r="G23" s="118">
        <f t="shared" si="0"/>
        <v>873.4</v>
      </c>
      <c r="H23" s="95" t="s">
        <v>42</v>
      </c>
      <c r="I23" s="139">
        <v>5</v>
      </c>
      <c r="J23" s="136">
        <v>174.68</v>
      </c>
      <c r="L23" s="132"/>
      <c r="M23" s="133"/>
    </row>
    <row r="24" s="66" customFormat="1" spans="1:13">
      <c r="A24" s="118"/>
      <c r="B24" s="118" t="s">
        <v>43</v>
      </c>
      <c r="C24" s="118" t="s">
        <v>16</v>
      </c>
      <c r="D24" s="118" t="s">
        <v>16</v>
      </c>
      <c r="E24" s="118">
        <f t="shared" si="2"/>
        <v>125</v>
      </c>
      <c r="F24" s="118" t="s">
        <v>16</v>
      </c>
      <c r="G24" s="118">
        <f t="shared" si="0"/>
        <v>125</v>
      </c>
      <c r="H24" s="95" t="s">
        <v>42</v>
      </c>
      <c r="I24" s="139">
        <v>5</v>
      </c>
      <c r="J24" s="136">
        <v>25</v>
      </c>
      <c r="L24" s="132"/>
      <c r="M24" s="133"/>
    </row>
    <row r="25" s="66" customFormat="1" spans="1:13">
      <c r="A25" s="118"/>
      <c r="B25" s="118" t="s">
        <v>44</v>
      </c>
      <c r="C25" s="118" t="s">
        <v>16</v>
      </c>
      <c r="D25" s="118" t="s">
        <v>16</v>
      </c>
      <c r="E25" s="118">
        <f t="shared" si="2"/>
        <v>62.5</v>
      </c>
      <c r="F25" s="118" t="s">
        <v>16</v>
      </c>
      <c r="G25" s="118">
        <f t="shared" si="0"/>
        <v>62.5</v>
      </c>
      <c r="H25" s="95" t="s">
        <v>42</v>
      </c>
      <c r="I25" s="139">
        <v>5</v>
      </c>
      <c r="J25" s="136">
        <v>12.5</v>
      </c>
      <c r="L25" s="132"/>
      <c r="M25" s="133"/>
    </row>
    <row r="26" s="66" customFormat="1" spans="1:13">
      <c r="A26" s="118"/>
      <c r="B26" s="118" t="s">
        <v>45</v>
      </c>
      <c r="C26" s="118" t="s">
        <v>16</v>
      </c>
      <c r="D26" s="118" t="s">
        <v>16</v>
      </c>
      <c r="E26" s="118">
        <f t="shared" si="2"/>
        <v>70</v>
      </c>
      <c r="F26" s="118" t="s">
        <v>16</v>
      </c>
      <c r="G26" s="118">
        <f t="shared" si="0"/>
        <v>70</v>
      </c>
      <c r="H26" s="95" t="s">
        <v>42</v>
      </c>
      <c r="I26" s="139">
        <v>5</v>
      </c>
      <c r="J26" s="136">
        <v>14</v>
      </c>
      <c r="L26" s="132"/>
      <c r="M26" s="133"/>
    </row>
    <row r="27" s="66" customFormat="1" spans="1:13">
      <c r="A27" s="118"/>
      <c r="B27" s="118" t="s">
        <v>46</v>
      </c>
      <c r="C27" s="118" t="s">
        <v>16</v>
      </c>
      <c r="D27" s="118" t="s">
        <v>16</v>
      </c>
      <c r="E27" s="118">
        <f t="shared" si="2"/>
        <v>62.5</v>
      </c>
      <c r="F27" s="118" t="s">
        <v>16</v>
      </c>
      <c r="G27" s="118">
        <f t="shared" si="0"/>
        <v>62.5</v>
      </c>
      <c r="H27" s="95" t="s">
        <v>42</v>
      </c>
      <c r="I27" s="139">
        <v>5</v>
      </c>
      <c r="J27" s="136">
        <v>12.5</v>
      </c>
      <c r="L27" s="132"/>
      <c r="M27" s="133"/>
    </row>
    <row r="28" s="66" customFormat="1" spans="1:13">
      <c r="A28" s="118"/>
      <c r="B28" s="118" t="s">
        <v>47</v>
      </c>
      <c r="C28" s="118" t="s">
        <v>16</v>
      </c>
      <c r="D28" s="118" t="s">
        <v>16</v>
      </c>
      <c r="E28" s="118">
        <f t="shared" si="2"/>
        <v>50</v>
      </c>
      <c r="F28" s="118" t="s">
        <v>16</v>
      </c>
      <c r="G28" s="118">
        <f t="shared" si="0"/>
        <v>50</v>
      </c>
      <c r="H28" s="95" t="s">
        <v>42</v>
      </c>
      <c r="I28" s="139">
        <v>5</v>
      </c>
      <c r="J28" s="136">
        <v>10</v>
      </c>
      <c r="L28" s="132"/>
      <c r="M28" s="133"/>
    </row>
    <row r="29" s="66" customFormat="1" spans="1:13">
      <c r="A29" s="118"/>
      <c r="B29" s="118" t="s">
        <v>48</v>
      </c>
      <c r="C29" s="118" t="s">
        <v>16</v>
      </c>
      <c r="D29" s="118" t="s">
        <v>16</v>
      </c>
      <c r="E29" s="118">
        <f t="shared" si="2"/>
        <v>32.5</v>
      </c>
      <c r="F29" s="118" t="s">
        <v>16</v>
      </c>
      <c r="G29" s="118">
        <f t="shared" si="0"/>
        <v>32.5</v>
      </c>
      <c r="H29" s="95" t="s">
        <v>42</v>
      </c>
      <c r="I29" s="139">
        <v>5</v>
      </c>
      <c r="J29" s="136">
        <v>6.5</v>
      </c>
      <c r="L29" s="132"/>
      <c r="M29" s="133"/>
    </row>
    <row r="30" s="66" customFormat="1" spans="1:13">
      <c r="A30" s="118"/>
      <c r="B30" s="118" t="s">
        <v>49</v>
      </c>
      <c r="C30" s="118" t="s">
        <v>16</v>
      </c>
      <c r="D30" s="118">
        <f>I30*J30</f>
        <v>125</v>
      </c>
      <c r="E30" s="118" t="s">
        <v>16</v>
      </c>
      <c r="F30" s="118" t="s">
        <v>16</v>
      </c>
      <c r="G30" s="118">
        <f t="shared" si="0"/>
        <v>125</v>
      </c>
      <c r="H30" s="95" t="s">
        <v>42</v>
      </c>
      <c r="I30" s="139">
        <v>5</v>
      </c>
      <c r="J30" s="136">
        <v>25</v>
      </c>
      <c r="L30" s="132"/>
      <c r="M30" s="133"/>
    </row>
    <row r="31" s="66" customFormat="1" spans="1:13">
      <c r="A31" s="116"/>
      <c r="B31" s="116" t="s">
        <v>50</v>
      </c>
      <c r="C31" s="80">
        <f>SUM(C32:C35)</f>
        <v>54.282</v>
      </c>
      <c r="D31" s="80">
        <f>SUM(D32:D35)</f>
        <v>18.657</v>
      </c>
      <c r="E31" s="80">
        <f>SUM(E32:E35)</f>
        <v>158.285</v>
      </c>
      <c r="F31" s="80">
        <f>SUM(F32:F35)</f>
        <v>0</v>
      </c>
      <c r="G31" s="80">
        <f t="shared" si="0"/>
        <v>231.224</v>
      </c>
      <c r="H31" s="95" t="s">
        <v>51</v>
      </c>
      <c r="I31" s="119">
        <v>5551.3</v>
      </c>
      <c r="J31" s="119">
        <v>0.227</v>
      </c>
      <c r="L31" s="133"/>
      <c r="M31" s="133"/>
    </row>
    <row r="32" s="66" customFormat="1" spans="1:13">
      <c r="A32" s="118"/>
      <c r="B32" s="118" t="s">
        <v>52</v>
      </c>
      <c r="C32" s="82">
        <f>I32*J32</f>
        <v>41.844</v>
      </c>
      <c r="D32" s="118"/>
      <c r="E32" s="118"/>
      <c r="F32" s="118"/>
      <c r="G32" s="82">
        <f t="shared" si="0"/>
        <v>41.844</v>
      </c>
      <c r="H32" s="95" t="s">
        <v>51</v>
      </c>
      <c r="I32" s="119">
        <v>132</v>
      </c>
      <c r="J32" s="119">
        <v>0.317</v>
      </c>
      <c r="L32" s="132"/>
      <c r="M32" s="133"/>
    </row>
    <row r="33" s="66" customFormat="1" spans="1:13">
      <c r="A33" s="118"/>
      <c r="B33" s="118" t="s">
        <v>53</v>
      </c>
      <c r="C33" s="82">
        <f>I33*J33*0.1</f>
        <v>12.438</v>
      </c>
      <c r="D33" s="82">
        <f>I33*J33*0.15</f>
        <v>18.657</v>
      </c>
      <c r="E33" s="82">
        <f>I33*J33*0.75</f>
        <v>93.285</v>
      </c>
      <c r="F33" s="82"/>
      <c r="G33" s="82">
        <f t="shared" si="0"/>
        <v>124.38</v>
      </c>
      <c r="H33" s="119" t="s">
        <v>51</v>
      </c>
      <c r="I33" s="119">
        <v>90</v>
      </c>
      <c r="J33" s="119">
        <v>1.382</v>
      </c>
      <c r="L33" s="132"/>
      <c r="M33" s="133"/>
    </row>
    <row r="34" s="66" customFormat="1" ht="14.1" customHeight="1" spans="1:13">
      <c r="A34" s="118">
        <v>2.3</v>
      </c>
      <c r="B34" s="118" t="s">
        <v>54</v>
      </c>
      <c r="C34" s="118" t="s">
        <v>16</v>
      </c>
      <c r="D34" s="118" t="s">
        <v>16</v>
      </c>
      <c r="E34" s="118">
        <v>25</v>
      </c>
      <c r="F34" s="118" t="s">
        <v>16</v>
      </c>
      <c r="G34" s="118">
        <f t="shared" si="0"/>
        <v>25</v>
      </c>
      <c r="H34" s="119" t="s">
        <v>21</v>
      </c>
      <c r="I34" s="119">
        <v>1</v>
      </c>
      <c r="J34" s="119">
        <v>25</v>
      </c>
      <c r="K34" s="140"/>
      <c r="L34" s="141"/>
      <c r="M34" s="133"/>
    </row>
    <row r="35" s="66" customFormat="1" ht="14.1" customHeight="1" spans="1:13">
      <c r="A35" s="118">
        <v>2.4</v>
      </c>
      <c r="B35" s="118" t="s">
        <v>55</v>
      </c>
      <c r="C35" s="118" t="s">
        <v>16</v>
      </c>
      <c r="D35" s="118" t="s">
        <v>16</v>
      </c>
      <c r="E35" s="118">
        <f>I35*J35</f>
        <v>40</v>
      </c>
      <c r="F35" s="118" t="s">
        <v>16</v>
      </c>
      <c r="G35" s="118">
        <f t="shared" si="0"/>
        <v>40</v>
      </c>
      <c r="H35" s="119" t="s">
        <v>42</v>
      </c>
      <c r="I35" s="119">
        <v>5</v>
      </c>
      <c r="J35" s="119">
        <v>8</v>
      </c>
      <c r="K35" s="140"/>
      <c r="L35" s="141"/>
      <c r="M35" s="133"/>
    </row>
    <row r="36" s="66" customFormat="1" ht="14.1" customHeight="1" spans="1:13">
      <c r="A36" s="113" t="s">
        <v>56</v>
      </c>
      <c r="B36" s="113" t="s">
        <v>57</v>
      </c>
      <c r="C36" s="114"/>
      <c r="D36" s="114"/>
      <c r="E36" s="114"/>
      <c r="F36" s="114">
        <f>SUM(F37:F46)</f>
        <v>189.91571488</v>
      </c>
      <c r="G36" s="114">
        <f t="shared" ref="G36:G46" si="3">C36+D36+E36+F36</f>
        <v>189.91571488</v>
      </c>
      <c r="H36" s="115">
        <f>G36/G54</f>
        <v>0.0497272335283374</v>
      </c>
      <c r="I36" s="130"/>
      <c r="J36" s="131"/>
      <c r="K36" s="140"/>
      <c r="L36" s="141"/>
      <c r="M36" s="133"/>
    </row>
    <row r="37" ht="14.1" customHeight="1" spans="1:12">
      <c r="A37" s="45">
        <v>2</v>
      </c>
      <c r="B37" s="118" t="s">
        <v>58</v>
      </c>
      <c r="C37" s="59"/>
      <c r="D37" s="59"/>
      <c r="E37" s="59"/>
      <c r="F37" s="82">
        <f>G4*0.008</f>
        <v>27.29095248</v>
      </c>
      <c r="G37" s="59">
        <f t="shared" si="3"/>
        <v>27.29095248</v>
      </c>
      <c r="H37" s="120"/>
      <c r="I37" s="142"/>
      <c r="J37" s="143"/>
      <c r="K37" s="144"/>
      <c r="L37" s="145"/>
    </row>
    <row r="38" ht="14.1" customHeight="1" spans="1:10">
      <c r="A38" s="45">
        <v>3</v>
      </c>
      <c r="B38" s="118" t="s">
        <v>59</v>
      </c>
      <c r="C38" s="59"/>
      <c r="D38" s="59"/>
      <c r="E38" s="59"/>
      <c r="F38" s="82">
        <f>G4*0.006</f>
        <v>20.46821436</v>
      </c>
      <c r="G38" s="59">
        <f t="shared" si="3"/>
        <v>20.46821436</v>
      </c>
      <c r="H38" s="121"/>
      <c r="I38" s="146"/>
      <c r="J38" s="147"/>
    </row>
    <row r="39" ht="14.1" customHeight="1" spans="1:10">
      <c r="A39" s="45">
        <v>4</v>
      </c>
      <c r="B39" s="118" t="s">
        <v>60</v>
      </c>
      <c r="C39" s="59"/>
      <c r="D39" s="59"/>
      <c r="E39" s="59"/>
      <c r="F39" s="82">
        <f>G4*0.005</f>
        <v>17.0568453</v>
      </c>
      <c r="G39" s="59">
        <f t="shared" si="3"/>
        <v>17.0568453</v>
      </c>
      <c r="H39" s="121"/>
      <c r="I39" s="146"/>
      <c r="J39" s="147"/>
    </row>
    <row r="40" ht="14.1" customHeight="1" spans="1:13">
      <c r="A40" s="45">
        <v>5</v>
      </c>
      <c r="B40" s="118" t="s">
        <v>61</v>
      </c>
      <c r="C40" s="59"/>
      <c r="D40" s="59"/>
      <c r="E40" s="59"/>
      <c r="F40" s="82">
        <v>26.17</v>
      </c>
      <c r="G40" s="59">
        <f t="shared" si="3"/>
        <v>26.17</v>
      </c>
      <c r="H40" s="121"/>
      <c r="I40" s="146"/>
      <c r="J40" s="148"/>
      <c r="L40" s="12"/>
      <c r="M40" s="12"/>
    </row>
    <row r="41" ht="14.1" customHeight="1" spans="1:10">
      <c r="A41" s="45">
        <v>6</v>
      </c>
      <c r="B41" s="118" t="s">
        <v>62</v>
      </c>
      <c r="C41" s="59"/>
      <c r="D41" s="59"/>
      <c r="E41" s="59"/>
      <c r="F41" s="82">
        <f>G4*0.01</f>
        <v>34.1136906</v>
      </c>
      <c r="G41" s="59">
        <f t="shared" si="3"/>
        <v>34.1136906</v>
      </c>
      <c r="H41" s="121"/>
      <c r="I41" s="146"/>
      <c r="J41" s="147"/>
    </row>
    <row r="42" ht="17.1" customHeight="1" spans="1:10">
      <c r="A42" s="45">
        <v>7</v>
      </c>
      <c r="B42" s="118" t="s">
        <v>63</v>
      </c>
      <c r="C42" s="59"/>
      <c r="D42" s="59"/>
      <c r="E42" s="59"/>
      <c r="F42" s="82">
        <f>G4*0.002</f>
        <v>6.82273812</v>
      </c>
      <c r="G42" s="59">
        <f t="shared" si="3"/>
        <v>6.82273812</v>
      </c>
      <c r="H42" s="120"/>
      <c r="I42" s="149"/>
      <c r="J42" s="150"/>
    </row>
    <row r="43" ht="20.1" customHeight="1" spans="1:10">
      <c r="A43" s="45">
        <v>8</v>
      </c>
      <c r="B43" s="118" t="s">
        <v>64</v>
      </c>
      <c r="C43" s="59"/>
      <c r="D43" s="59"/>
      <c r="E43" s="59"/>
      <c r="F43" s="82">
        <f>G4*0.007</f>
        <v>23.87958342</v>
      </c>
      <c r="G43" s="59">
        <f t="shared" si="3"/>
        <v>23.87958342</v>
      </c>
      <c r="H43" s="120"/>
      <c r="I43" s="149"/>
      <c r="J43" s="150"/>
    </row>
    <row r="44" ht="18.95" customHeight="1" spans="1:10">
      <c r="A44" s="45">
        <v>9</v>
      </c>
      <c r="B44" s="118" t="s">
        <v>65</v>
      </c>
      <c r="C44" s="59"/>
      <c r="D44" s="59"/>
      <c r="E44" s="59"/>
      <c r="F44" s="82">
        <f>G4*0.005</f>
        <v>17.0568453</v>
      </c>
      <c r="G44" s="59">
        <f t="shared" si="3"/>
        <v>17.0568453</v>
      </c>
      <c r="H44" s="120"/>
      <c r="I44" s="149"/>
      <c r="J44" s="150"/>
    </row>
    <row r="45" ht="18.95" customHeight="1" spans="1:10">
      <c r="A45" s="45">
        <v>10</v>
      </c>
      <c r="B45" s="118" t="s">
        <v>66</v>
      </c>
      <c r="C45" s="59"/>
      <c r="D45" s="59"/>
      <c r="E45" s="59"/>
      <c r="F45" s="82">
        <f>G4*0.002</f>
        <v>6.82273812</v>
      </c>
      <c r="G45" s="59">
        <f t="shared" si="3"/>
        <v>6.82273812</v>
      </c>
      <c r="H45" s="120"/>
      <c r="I45" s="149"/>
      <c r="J45" s="150"/>
    </row>
    <row r="46" s="66" customFormat="1" ht="14.1" customHeight="1" spans="1:13">
      <c r="A46" s="45">
        <v>11</v>
      </c>
      <c r="B46" s="118" t="s">
        <v>67</v>
      </c>
      <c r="C46" s="114"/>
      <c r="D46" s="114"/>
      <c r="E46" s="114"/>
      <c r="F46" s="59">
        <f>G4*0.003</f>
        <v>10.23410718</v>
      </c>
      <c r="G46" s="59">
        <f t="shared" si="3"/>
        <v>10.23410718</v>
      </c>
      <c r="H46" s="115"/>
      <c r="I46" s="130"/>
      <c r="J46" s="131"/>
      <c r="L46" s="133"/>
      <c r="M46" s="133"/>
    </row>
    <row r="47" s="66" customFormat="1" ht="14.1" customHeight="1" spans="1:13">
      <c r="A47" s="113" t="s">
        <v>68</v>
      </c>
      <c r="B47" s="113" t="s">
        <v>69</v>
      </c>
      <c r="C47" s="114"/>
      <c r="D47" s="114"/>
      <c r="E47" s="114"/>
      <c r="F47" s="114">
        <f>F48+F49</f>
        <v>180.064238744</v>
      </c>
      <c r="G47" s="114">
        <f>G48+G49</f>
        <v>180.064238744</v>
      </c>
      <c r="H47" s="115">
        <f>G47/G54</f>
        <v>0.0471477384364054</v>
      </c>
      <c r="I47" s="130"/>
      <c r="J47" s="131"/>
      <c r="L47" s="133"/>
      <c r="M47" s="133"/>
    </row>
    <row r="48" ht="14.1" customHeight="1" spans="1:10">
      <c r="A48" s="45">
        <v>3.1</v>
      </c>
      <c r="B48" s="45" t="s">
        <v>70</v>
      </c>
      <c r="C48" s="59"/>
      <c r="D48" s="59"/>
      <c r="E48" s="59"/>
      <c r="F48" s="59">
        <f>(G4+G36)*0.05</f>
        <v>180.064238744</v>
      </c>
      <c r="G48" s="59">
        <f>F48</f>
        <v>180.064238744</v>
      </c>
      <c r="H48" s="120" t="s">
        <v>71</v>
      </c>
      <c r="I48" s="149"/>
      <c r="J48" s="151"/>
    </row>
    <row r="49" ht="14.1" customHeight="1" spans="1:10">
      <c r="A49" s="45">
        <v>3.2</v>
      </c>
      <c r="B49" s="45" t="s">
        <v>72</v>
      </c>
      <c r="C49" s="59"/>
      <c r="D49" s="59"/>
      <c r="E49" s="59"/>
      <c r="F49" s="59"/>
      <c r="G49" s="59"/>
      <c r="H49" s="120"/>
      <c r="I49" s="149"/>
      <c r="J49" s="151"/>
    </row>
    <row r="50" s="66" customFormat="1" ht="14.1" customHeight="1" spans="1:13">
      <c r="A50" s="113" t="s">
        <v>73</v>
      </c>
      <c r="B50" s="113" t="s">
        <v>74</v>
      </c>
      <c r="C50" s="114">
        <f>C47+C36+C4</f>
        <v>134.532</v>
      </c>
      <c r="D50" s="114">
        <f>D47+D36+D4</f>
        <v>304.307</v>
      </c>
      <c r="E50" s="114">
        <f>E47+E36+E4</f>
        <v>2972.53006</v>
      </c>
      <c r="F50" s="114">
        <f>F47+F36+F4</f>
        <v>369.979953624</v>
      </c>
      <c r="G50" s="114">
        <f>G4+G36+G47</f>
        <v>3781.349013624</v>
      </c>
      <c r="H50" s="115">
        <f>G50/G54</f>
        <v>0.990102507164513</v>
      </c>
      <c r="I50" s="130"/>
      <c r="J50" s="131"/>
      <c r="L50" s="133"/>
      <c r="M50" s="133"/>
    </row>
    <row r="51" ht="14.1" customHeight="1" spans="1:10">
      <c r="A51" s="45"/>
      <c r="B51" s="45" t="s">
        <v>75</v>
      </c>
      <c r="C51" s="122">
        <f>C50/G50</f>
        <v>0.0355777791246691</v>
      </c>
      <c r="D51" s="122">
        <f>D50/G50</f>
        <v>0.0804757770054015</v>
      </c>
      <c r="E51" s="122">
        <f>E50/G50</f>
        <v>0.78610306779145</v>
      </c>
      <c r="F51" s="122">
        <f>F50/G50</f>
        <v>0.0978433760784794</v>
      </c>
      <c r="G51" s="122">
        <v>1</v>
      </c>
      <c r="H51" s="123"/>
      <c r="I51" s="142"/>
      <c r="J51" s="143"/>
    </row>
    <row r="52" s="66" customFormat="1" ht="14.1" customHeight="1" spans="1:13">
      <c r="A52" s="113" t="s">
        <v>76</v>
      </c>
      <c r="B52" s="113" t="s">
        <v>77</v>
      </c>
      <c r="C52" s="114"/>
      <c r="D52" s="114"/>
      <c r="E52" s="114"/>
      <c r="F52" s="114"/>
      <c r="G52" s="114">
        <f>还本付息表!D7</f>
        <v>37.8</v>
      </c>
      <c r="H52" s="115">
        <f>G52/G54</f>
        <v>0.0098974928354868</v>
      </c>
      <c r="I52" s="130"/>
      <c r="J52" s="131"/>
      <c r="L52" s="133"/>
      <c r="M52" s="133"/>
    </row>
    <row r="53" s="66" customFormat="1" ht="14.1" customHeight="1" spans="1:13">
      <c r="A53" s="113" t="s">
        <v>78</v>
      </c>
      <c r="B53" s="113" t="s">
        <v>79</v>
      </c>
      <c r="C53" s="114"/>
      <c r="D53" s="114"/>
      <c r="E53" s="114"/>
      <c r="F53" s="114"/>
      <c r="G53" s="114">
        <f>G50+G52</f>
        <v>3819.149013624</v>
      </c>
      <c r="H53" s="115">
        <f>G53/G54</f>
        <v>1</v>
      </c>
      <c r="I53" s="130"/>
      <c r="J53" s="131"/>
      <c r="L53" s="133"/>
      <c r="M53" s="133"/>
    </row>
    <row r="54" s="66" customFormat="1" ht="14.1" customHeight="1" spans="1:13">
      <c r="A54" s="113" t="s">
        <v>80</v>
      </c>
      <c r="B54" s="113" t="s">
        <v>81</v>
      </c>
      <c r="C54" s="114"/>
      <c r="D54" s="114"/>
      <c r="E54" s="114"/>
      <c r="F54" s="114"/>
      <c r="G54" s="114">
        <f>G53</f>
        <v>3819.149013624</v>
      </c>
      <c r="H54" s="115">
        <v>1</v>
      </c>
      <c r="I54" s="130"/>
      <c r="J54" s="131"/>
      <c r="L54" s="133"/>
      <c r="M54" s="133"/>
    </row>
    <row r="55" s="71" customFormat="1" spans="1:13">
      <c r="A55" s="72"/>
      <c r="B55" s="72"/>
      <c r="C55" s="72"/>
      <c r="D55" s="72"/>
      <c r="E55" s="72"/>
      <c r="F55" s="72"/>
      <c r="G55" s="124"/>
      <c r="H55" s="99"/>
      <c r="I55" s="72"/>
      <c r="J55" s="152"/>
      <c r="L55" s="132"/>
      <c r="M55" s="132"/>
    </row>
    <row r="56" spans="7:7">
      <c r="G56" s="72">
        <f>G54*0.8</f>
        <v>3055.3192108992</v>
      </c>
    </row>
    <row r="57" spans="7:7">
      <c r="G57" s="125"/>
    </row>
  </sheetData>
  <mergeCells count="22">
    <mergeCell ref="A1:J1"/>
    <mergeCell ref="A2:J2"/>
    <mergeCell ref="H4:J4"/>
    <mergeCell ref="H5:J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H47:J47"/>
    <mergeCell ref="H48:J48"/>
    <mergeCell ref="H49:J49"/>
    <mergeCell ref="H50:J50"/>
    <mergeCell ref="H51:J51"/>
    <mergeCell ref="H52:J52"/>
    <mergeCell ref="H53:J53"/>
    <mergeCell ref="H54:J5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20" zoomScaleNormal="120" workbookViewId="0">
      <selection activeCell="A1" sqref="A1:O1"/>
    </sheetView>
  </sheetViews>
  <sheetFormatPr defaultColWidth="9" defaultRowHeight="14"/>
  <cols>
    <col min="1" max="1" width="4.5" customWidth="1"/>
    <col min="2" max="2" width="11.8545454545455" customWidth="1"/>
    <col min="3" max="3" width="6.5" customWidth="1"/>
    <col min="4" max="5" width="6.59090909090909" customWidth="1"/>
    <col min="6" max="6" width="8.7" customWidth="1"/>
    <col min="7" max="15" width="8.11818181818182" style="98" customWidth="1"/>
  </cols>
  <sheetData>
    <row r="1" ht="17.5" spans="1:15">
      <c r="A1" s="32" t="s">
        <v>82</v>
      </c>
      <c r="B1" s="33"/>
      <c r="C1" s="33"/>
      <c r="D1" s="33"/>
      <c r="E1" s="33"/>
      <c r="F1" s="33"/>
      <c r="G1" s="99"/>
      <c r="H1" s="99"/>
      <c r="I1" s="99"/>
      <c r="J1" s="99"/>
      <c r="K1" s="99"/>
      <c r="L1" s="99"/>
      <c r="M1" s="99"/>
      <c r="N1" s="99"/>
      <c r="O1" s="99"/>
    </row>
    <row r="2" spans="7:15">
      <c r="G2" s="12"/>
      <c r="H2" s="12"/>
      <c r="I2" s="12"/>
      <c r="J2" s="12"/>
      <c r="K2" s="12"/>
      <c r="L2" s="12"/>
      <c r="M2" s="12"/>
      <c r="N2" s="12" t="s">
        <v>1</v>
      </c>
      <c r="O2" s="12"/>
    </row>
    <row r="3" spans="1:20">
      <c r="A3" s="100" t="s">
        <v>2</v>
      </c>
      <c r="B3" s="100" t="s">
        <v>83</v>
      </c>
      <c r="C3" s="100" t="s">
        <v>8</v>
      </c>
      <c r="D3" s="100" t="s">
        <v>84</v>
      </c>
      <c r="E3" s="100" t="s">
        <v>85</v>
      </c>
      <c r="F3" s="101" t="s">
        <v>86</v>
      </c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1:20">
      <c r="A4" s="102"/>
      <c r="B4" s="102"/>
      <c r="C4" s="102"/>
      <c r="D4" s="102"/>
      <c r="E4" s="102"/>
      <c r="F4" s="65">
        <v>0.5</v>
      </c>
      <c r="G4" s="96">
        <v>2</v>
      </c>
      <c r="H4" s="96">
        <v>3</v>
      </c>
      <c r="I4" s="96">
        <v>4</v>
      </c>
      <c r="J4" s="96">
        <v>5</v>
      </c>
      <c r="K4" s="96">
        <v>6</v>
      </c>
      <c r="L4" s="96">
        <v>7</v>
      </c>
      <c r="M4" s="96">
        <v>8</v>
      </c>
      <c r="N4" s="96">
        <v>9</v>
      </c>
      <c r="O4" s="96">
        <v>10</v>
      </c>
      <c r="P4" s="96">
        <v>11</v>
      </c>
      <c r="Q4" s="96">
        <v>12</v>
      </c>
      <c r="R4" s="96">
        <v>13</v>
      </c>
      <c r="S4" s="96">
        <v>14</v>
      </c>
      <c r="T4" s="96">
        <v>15</v>
      </c>
    </row>
    <row r="5" ht="19" spans="1:20">
      <c r="A5" s="48">
        <v>1</v>
      </c>
      <c r="B5" s="48" t="s">
        <v>87</v>
      </c>
      <c r="C5" s="103"/>
      <c r="D5" s="57">
        <v>0.05</v>
      </c>
      <c r="E5" s="90">
        <v>20</v>
      </c>
      <c r="F5" s="90"/>
      <c r="G5" s="97"/>
      <c r="H5" s="97"/>
      <c r="I5" s="97"/>
      <c r="J5" s="97"/>
      <c r="K5" s="97"/>
      <c r="L5" s="97"/>
      <c r="M5" s="97"/>
      <c r="N5" s="97"/>
      <c r="O5" s="104"/>
      <c r="P5" s="104"/>
      <c r="Q5" s="104"/>
      <c r="R5" s="104"/>
      <c r="S5" s="104"/>
      <c r="T5" s="104"/>
    </row>
    <row r="6" spans="1:20">
      <c r="A6" s="48">
        <v>1.1</v>
      </c>
      <c r="B6" s="48" t="s">
        <v>88</v>
      </c>
      <c r="C6" s="103"/>
      <c r="D6" s="103"/>
      <c r="E6" s="103"/>
      <c r="F6" s="97">
        <f>总投资!G50*0.91</f>
        <v>3441.02760239784</v>
      </c>
      <c r="G6" s="97">
        <f t="shared" ref="G6:T6" si="0">F8</f>
        <v>3359.30319684089</v>
      </c>
      <c r="H6" s="97">
        <f t="shared" si="0"/>
        <v>3195.85438572699</v>
      </c>
      <c r="I6" s="97">
        <f t="shared" si="0"/>
        <v>3032.4055746131</v>
      </c>
      <c r="J6" s="97">
        <f t="shared" si="0"/>
        <v>2868.9567634992</v>
      </c>
      <c r="K6" s="97">
        <f t="shared" si="0"/>
        <v>2705.5079523853</v>
      </c>
      <c r="L6" s="97">
        <f t="shared" si="0"/>
        <v>2542.0591412714</v>
      </c>
      <c r="M6" s="97">
        <f t="shared" si="0"/>
        <v>2378.61033015751</v>
      </c>
      <c r="N6" s="97">
        <f t="shared" si="0"/>
        <v>2215.16151904361</v>
      </c>
      <c r="O6" s="97">
        <f t="shared" si="0"/>
        <v>2051.71270792971</v>
      </c>
      <c r="P6" s="97">
        <f t="shared" si="0"/>
        <v>1888.26389681581</v>
      </c>
      <c r="Q6" s="97">
        <f t="shared" si="0"/>
        <v>1724.81508570192</v>
      </c>
      <c r="R6" s="97">
        <f t="shared" si="0"/>
        <v>1561.36627458802</v>
      </c>
      <c r="S6" s="97">
        <f t="shared" si="0"/>
        <v>1397.91746347412</v>
      </c>
      <c r="T6" s="97">
        <f t="shared" si="0"/>
        <v>1234.46865236022</v>
      </c>
    </row>
    <row r="7" ht="16.9" customHeight="1" spans="1:20">
      <c r="A7" s="48">
        <v>1.2</v>
      </c>
      <c r="B7" s="48" t="s">
        <v>89</v>
      </c>
      <c r="C7" s="103">
        <f>SUM(F7:T7)</f>
        <v>2370.00776115151</v>
      </c>
      <c r="D7" s="103"/>
      <c r="E7" s="103"/>
      <c r="F7" s="97">
        <f>F6*0.95*0.5/20</f>
        <v>81.7244055569487</v>
      </c>
      <c r="G7" s="97">
        <f>F6*0.95/20</f>
        <v>163.448811113897</v>
      </c>
      <c r="H7" s="97">
        <f t="shared" ref="H7:T7" si="1">G7</f>
        <v>163.448811113897</v>
      </c>
      <c r="I7" s="97">
        <f t="shared" si="1"/>
        <v>163.448811113897</v>
      </c>
      <c r="J7" s="97">
        <f t="shared" si="1"/>
        <v>163.448811113897</v>
      </c>
      <c r="K7" s="97">
        <f t="shared" si="1"/>
        <v>163.448811113897</v>
      </c>
      <c r="L7" s="97">
        <f t="shared" si="1"/>
        <v>163.448811113897</v>
      </c>
      <c r="M7" s="97">
        <f t="shared" si="1"/>
        <v>163.448811113897</v>
      </c>
      <c r="N7" s="97">
        <f t="shared" si="1"/>
        <v>163.448811113897</v>
      </c>
      <c r="O7" s="97">
        <f t="shared" si="1"/>
        <v>163.448811113897</v>
      </c>
      <c r="P7" s="97">
        <f t="shared" si="1"/>
        <v>163.448811113897</v>
      </c>
      <c r="Q7" s="97">
        <f t="shared" si="1"/>
        <v>163.448811113897</v>
      </c>
      <c r="R7" s="97">
        <f t="shared" si="1"/>
        <v>163.448811113897</v>
      </c>
      <c r="S7" s="97">
        <f t="shared" si="1"/>
        <v>163.448811113897</v>
      </c>
      <c r="T7" s="97">
        <f t="shared" si="1"/>
        <v>163.448811113897</v>
      </c>
    </row>
    <row r="8" spans="1:20">
      <c r="A8" s="48">
        <v>1.3</v>
      </c>
      <c r="B8" s="48" t="s">
        <v>90</v>
      </c>
      <c r="C8" s="103"/>
      <c r="D8" s="103"/>
      <c r="E8" s="103"/>
      <c r="F8" s="97">
        <f t="shared" ref="F8:T8" si="2">F6-F7</f>
        <v>3359.30319684089</v>
      </c>
      <c r="G8" s="97">
        <f t="shared" si="2"/>
        <v>3195.85438572699</v>
      </c>
      <c r="H8" s="97">
        <f t="shared" si="2"/>
        <v>3032.4055746131</v>
      </c>
      <c r="I8" s="97">
        <f t="shared" si="2"/>
        <v>2868.9567634992</v>
      </c>
      <c r="J8" s="97">
        <f t="shared" si="2"/>
        <v>2705.5079523853</v>
      </c>
      <c r="K8" s="97">
        <f t="shared" si="2"/>
        <v>2542.0591412714</v>
      </c>
      <c r="L8" s="97">
        <f t="shared" si="2"/>
        <v>2378.61033015751</v>
      </c>
      <c r="M8" s="97">
        <f t="shared" si="2"/>
        <v>2215.16151904361</v>
      </c>
      <c r="N8" s="97">
        <f t="shared" si="2"/>
        <v>2051.71270792971</v>
      </c>
      <c r="O8" s="97">
        <f t="shared" si="2"/>
        <v>1888.26389681581</v>
      </c>
      <c r="P8" s="97">
        <f t="shared" si="2"/>
        <v>1724.81508570192</v>
      </c>
      <c r="Q8" s="97">
        <f t="shared" si="2"/>
        <v>1561.36627458802</v>
      </c>
      <c r="R8" s="97">
        <f t="shared" si="2"/>
        <v>1397.91746347412</v>
      </c>
      <c r="S8" s="97">
        <f t="shared" si="2"/>
        <v>1234.46865236022</v>
      </c>
      <c r="T8" s="97">
        <f t="shared" si="2"/>
        <v>1071.01984124633</v>
      </c>
    </row>
    <row r="9" spans="1:20">
      <c r="A9" s="48">
        <v>2</v>
      </c>
      <c r="B9" s="48" t="s">
        <v>91</v>
      </c>
      <c r="C9" s="103">
        <f>SUM(F9:T9)</f>
        <v>2370.00776115151</v>
      </c>
      <c r="D9" s="103"/>
      <c r="E9" s="103"/>
      <c r="F9" s="97">
        <f t="shared" ref="F9:T9" si="3">F7</f>
        <v>81.7244055569487</v>
      </c>
      <c r="G9" s="97">
        <f t="shared" si="3"/>
        <v>163.448811113897</v>
      </c>
      <c r="H9" s="97">
        <f t="shared" si="3"/>
        <v>163.448811113897</v>
      </c>
      <c r="I9" s="97">
        <f t="shared" si="3"/>
        <v>163.448811113897</v>
      </c>
      <c r="J9" s="97">
        <f t="shared" si="3"/>
        <v>163.448811113897</v>
      </c>
      <c r="K9" s="97">
        <f t="shared" si="3"/>
        <v>163.448811113897</v>
      </c>
      <c r="L9" s="97">
        <f t="shared" si="3"/>
        <v>163.448811113897</v>
      </c>
      <c r="M9" s="97">
        <f t="shared" si="3"/>
        <v>163.448811113897</v>
      </c>
      <c r="N9" s="97">
        <f t="shared" si="3"/>
        <v>163.448811113897</v>
      </c>
      <c r="O9" s="97">
        <f t="shared" si="3"/>
        <v>163.448811113897</v>
      </c>
      <c r="P9" s="97">
        <f t="shared" si="3"/>
        <v>163.448811113897</v>
      </c>
      <c r="Q9" s="97">
        <f t="shared" si="3"/>
        <v>163.448811113897</v>
      </c>
      <c r="R9" s="97">
        <f t="shared" si="3"/>
        <v>163.448811113897</v>
      </c>
      <c r="S9" s="97">
        <f t="shared" si="3"/>
        <v>163.448811113897</v>
      </c>
      <c r="T9" s="97">
        <f t="shared" si="3"/>
        <v>163.448811113897</v>
      </c>
    </row>
    <row r="10" spans="1:20">
      <c r="A10" s="48">
        <v>3</v>
      </c>
      <c r="B10" s="48" t="s">
        <v>92</v>
      </c>
      <c r="C10" s="103"/>
      <c r="D10" s="103"/>
      <c r="E10" s="103"/>
      <c r="F10" s="103"/>
      <c r="G10" s="97"/>
      <c r="H10" s="97"/>
      <c r="I10" s="97"/>
      <c r="J10" s="97"/>
      <c r="K10" s="97"/>
      <c r="L10" s="97"/>
      <c r="M10" s="97"/>
      <c r="N10" s="97"/>
      <c r="O10" s="104"/>
      <c r="P10" s="104"/>
      <c r="Q10" s="104"/>
      <c r="R10" s="104"/>
      <c r="S10" s="104"/>
      <c r="T10" s="104"/>
    </row>
    <row r="11" spans="1:20">
      <c r="A11" s="48">
        <v>3.1</v>
      </c>
      <c r="B11" s="48" t="s">
        <v>88</v>
      </c>
      <c r="C11" s="103"/>
      <c r="D11" s="103"/>
      <c r="E11" s="103"/>
      <c r="F11" s="103"/>
      <c r="G11" s="97"/>
      <c r="H11" s="97"/>
      <c r="I11" s="97"/>
      <c r="J11" s="97"/>
      <c r="K11" s="97"/>
      <c r="L11" s="97"/>
      <c r="M11" s="97"/>
      <c r="N11" s="97"/>
      <c r="O11" s="104"/>
      <c r="P11" s="104"/>
      <c r="Q11" s="104"/>
      <c r="R11" s="104"/>
      <c r="S11" s="104"/>
      <c r="T11" s="104"/>
    </row>
    <row r="12" spans="1:20">
      <c r="A12" s="48">
        <v>3.2</v>
      </c>
      <c r="B12" s="48" t="s">
        <v>89</v>
      </c>
      <c r="C12" s="103"/>
      <c r="D12" s="103"/>
      <c r="E12" s="103"/>
      <c r="F12" s="103"/>
      <c r="G12" s="97"/>
      <c r="H12" s="97"/>
      <c r="I12" s="97"/>
      <c r="J12" s="97"/>
      <c r="K12" s="97"/>
      <c r="L12" s="97"/>
      <c r="M12" s="97"/>
      <c r="N12" s="97"/>
      <c r="O12" s="104"/>
      <c r="P12" s="104"/>
      <c r="Q12" s="104"/>
      <c r="R12" s="104"/>
      <c r="S12" s="104"/>
      <c r="T12" s="104"/>
    </row>
    <row r="13" spans="1:20">
      <c r="A13" s="48">
        <v>3.3</v>
      </c>
      <c r="B13" s="48" t="s">
        <v>90</v>
      </c>
      <c r="C13" s="103"/>
      <c r="D13" s="103"/>
      <c r="E13" s="103"/>
      <c r="F13" s="103"/>
      <c r="G13" s="97"/>
      <c r="H13" s="97"/>
      <c r="I13" s="97"/>
      <c r="J13" s="97"/>
      <c r="K13" s="97"/>
      <c r="L13" s="97"/>
      <c r="M13" s="97"/>
      <c r="N13" s="97"/>
      <c r="O13" s="104"/>
      <c r="P13" s="104"/>
      <c r="Q13" s="104"/>
      <c r="R13" s="104"/>
      <c r="S13" s="104"/>
      <c r="T13" s="104"/>
    </row>
  </sheetData>
  <mergeCells count="7">
    <mergeCell ref="A1:O1"/>
    <mergeCell ref="F3:T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zoomScale="110" zoomScaleNormal="110" workbookViewId="0">
      <selection activeCell="D15" sqref="D15"/>
    </sheetView>
  </sheetViews>
  <sheetFormatPr defaultColWidth="9" defaultRowHeight="14"/>
  <cols>
    <col min="1" max="1" width="5.25454545454545" style="53" customWidth="1"/>
    <col min="2" max="2" width="16.1272727272727" style="53" customWidth="1"/>
    <col min="3" max="4" width="8.25454545454545" style="70" customWidth="1"/>
    <col min="5" max="9" width="9.85454545454546" customWidth="1"/>
    <col min="10" max="10" width="9.85454545454546" style="71" customWidth="1"/>
    <col min="11" max="12" width="9.85454545454546" customWidth="1"/>
    <col min="13" max="13" width="8.11818181818182" customWidth="1"/>
  </cols>
  <sheetData>
    <row r="1" ht="17.45" customHeight="1" spans="1:12">
      <c r="A1" s="32" t="s">
        <v>93</v>
      </c>
      <c r="B1" s="32"/>
      <c r="C1" s="15"/>
      <c r="D1" s="15"/>
      <c r="E1" s="32"/>
      <c r="F1" s="32"/>
      <c r="G1" s="32"/>
      <c r="H1" s="32"/>
      <c r="I1" s="32"/>
      <c r="J1" s="1"/>
      <c r="K1" s="32"/>
      <c r="L1" s="32"/>
    </row>
    <row r="2" spans="2:12">
      <c r="B2" s="72">
        <f>E7*E9*E10</f>
        <v>7137690.21</v>
      </c>
      <c r="L2" t="s">
        <v>1</v>
      </c>
    </row>
    <row r="3" ht="16.15" customHeight="1" spans="1:18">
      <c r="A3" s="36" t="s">
        <v>2</v>
      </c>
      <c r="B3" s="35" t="s">
        <v>83</v>
      </c>
      <c r="C3" s="73" t="s">
        <v>8</v>
      </c>
      <c r="D3" s="36" t="s">
        <v>86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>
      <c r="A4" s="36"/>
      <c r="B4" s="74"/>
      <c r="C4" s="75"/>
      <c r="D4" s="76">
        <v>0.5</v>
      </c>
      <c r="E4" s="76">
        <v>2</v>
      </c>
      <c r="F4" s="76">
        <v>3</v>
      </c>
      <c r="G4" s="76">
        <v>4</v>
      </c>
      <c r="H4" s="76">
        <v>5</v>
      </c>
      <c r="I4" s="76">
        <v>6</v>
      </c>
      <c r="J4" s="76">
        <v>7</v>
      </c>
      <c r="K4" s="76">
        <v>8</v>
      </c>
      <c r="L4" s="76">
        <v>9</v>
      </c>
      <c r="M4" s="76">
        <v>10</v>
      </c>
      <c r="N4" s="76">
        <v>11</v>
      </c>
      <c r="O4" s="76">
        <v>12</v>
      </c>
      <c r="P4" s="76">
        <v>13</v>
      </c>
      <c r="Q4" s="76">
        <v>14</v>
      </c>
      <c r="R4" s="76">
        <v>15</v>
      </c>
    </row>
    <row r="5" s="66" customFormat="1" ht="17" customHeight="1" spans="1:18">
      <c r="A5" s="76">
        <v>1</v>
      </c>
      <c r="B5" s="36" t="s">
        <v>94</v>
      </c>
      <c r="C5" s="77">
        <f>SUM((E5:R5))</f>
        <v>6394.28010228</v>
      </c>
      <c r="D5" s="78">
        <f t="shared" ref="D5:R5" si="0">D6+D12+D17</f>
        <v>220.20519204</v>
      </c>
      <c r="E5" s="78">
        <f t="shared" si="0"/>
        <v>449.53879302</v>
      </c>
      <c r="F5" s="78">
        <f t="shared" si="0"/>
        <v>451.99579302</v>
      </c>
      <c r="G5" s="78">
        <f t="shared" si="0"/>
        <v>454.45279302</v>
      </c>
      <c r="H5" s="78">
        <f t="shared" si="0"/>
        <v>456.90979302</v>
      </c>
      <c r="I5" s="78">
        <f t="shared" si="0"/>
        <v>458.13829302</v>
      </c>
      <c r="J5" s="78">
        <f t="shared" si="0"/>
        <v>458.13829302</v>
      </c>
      <c r="K5" s="78">
        <f t="shared" si="0"/>
        <v>458.13829302</v>
      </c>
      <c r="L5" s="78">
        <f t="shared" si="0"/>
        <v>458.13829302</v>
      </c>
      <c r="M5" s="78">
        <f t="shared" si="0"/>
        <v>458.13829302</v>
      </c>
      <c r="N5" s="78">
        <f t="shared" si="0"/>
        <v>458.13829302</v>
      </c>
      <c r="O5" s="78">
        <f t="shared" si="0"/>
        <v>458.13829302</v>
      </c>
      <c r="P5" s="78">
        <f t="shared" si="0"/>
        <v>458.13829302</v>
      </c>
      <c r="Q5" s="78">
        <f t="shared" si="0"/>
        <v>458.13829302</v>
      </c>
      <c r="R5" s="78">
        <f t="shared" si="0"/>
        <v>458.13829302</v>
      </c>
    </row>
    <row r="6" s="66" customFormat="1" ht="11" customHeight="1" spans="1:18">
      <c r="A6" s="79">
        <v>1.1</v>
      </c>
      <c r="B6" s="80" t="s">
        <v>95</v>
      </c>
      <c r="C6" s="81">
        <f>SUM(D6:R6)</f>
        <v>3177.04779432</v>
      </c>
      <c r="D6" s="78">
        <f>(D7*D9*D10-10000*180)*D11/10000</f>
        <v>106.33269204</v>
      </c>
      <c r="E6" s="78">
        <f t="shared" ref="E6:R6" si="1">(E7*E9*E10-10000*E10)*E11/10000</f>
        <v>219.33679302</v>
      </c>
      <c r="F6" s="78">
        <f t="shared" si="1"/>
        <v>219.33679302</v>
      </c>
      <c r="G6" s="78">
        <f t="shared" si="1"/>
        <v>219.33679302</v>
      </c>
      <c r="H6" s="78">
        <f t="shared" si="1"/>
        <v>219.33679302</v>
      </c>
      <c r="I6" s="78">
        <f t="shared" si="1"/>
        <v>219.33679302</v>
      </c>
      <c r="J6" s="78">
        <f t="shared" si="1"/>
        <v>219.33679302</v>
      </c>
      <c r="K6" s="78">
        <f t="shared" si="1"/>
        <v>219.33679302</v>
      </c>
      <c r="L6" s="78">
        <f t="shared" si="1"/>
        <v>219.33679302</v>
      </c>
      <c r="M6" s="78">
        <f t="shared" si="1"/>
        <v>219.33679302</v>
      </c>
      <c r="N6" s="78">
        <f t="shared" si="1"/>
        <v>219.33679302</v>
      </c>
      <c r="O6" s="78">
        <f t="shared" si="1"/>
        <v>219.33679302</v>
      </c>
      <c r="P6" s="78">
        <f t="shared" si="1"/>
        <v>219.33679302</v>
      </c>
      <c r="Q6" s="78">
        <f t="shared" si="1"/>
        <v>219.33679302</v>
      </c>
      <c r="R6" s="78">
        <f t="shared" si="1"/>
        <v>219.33679302</v>
      </c>
    </row>
    <row r="7" customFormat="1" ht="12" customHeight="1" spans="1:18">
      <c r="A7" s="40" t="s">
        <v>96</v>
      </c>
      <c r="B7" s="82" t="s">
        <v>97</v>
      </c>
      <c r="C7" s="57"/>
      <c r="D7" s="23">
        <f>5950*(1-D8)</f>
        <v>5831</v>
      </c>
      <c r="E7" s="23">
        <f>5950*(1-E8)</f>
        <v>5920.25</v>
      </c>
      <c r="F7" s="23">
        <f t="shared" ref="F7:R7" si="2">5950*(1-F8)</f>
        <v>5920.25</v>
      </c>
      <c r="G7" s="23">
        <f t="shared" si="2"/>
        <v>5920.25</v>
      </c>
      <c r="H7" s="23">
        <f t="shared" si="2"/>
        <v>5920.25</v>
      </c>
      <c r="I7" s="23">
        <f t="shared" si="2"/>
        <v>5920.25</v>
      </c>
      <c r="J7" s="23">
        <f t="shared" si="2"/>
        <v>5920.25</v>
      </c>
      <c r="K7" s="23">
        <f t="shared" si="2"/>
        <v>5920.25</v>
      </c>
      <c r="L7" s="23">
        <f t="shared" si="2"/>
        <v>5920.25</v>
      </c>
      <c r="M7" s="23">
        <f t="shared" si="2"/>
        <v>5920.25</v>
      </c>
      <c r="N7" s="23">
        <f t="shared" si="2"/>
        <v>5920.25</v>
      </c>
      <c r="O7" s="23">
        <f t="shared" si="2"/>
        <v>5920.25</v>
      </c>
      <c r="P7" s="23">
        <f t="shared" si="2"/>
        <v>5920.25</v>
      </c>
      <c r="Q7" s="23">
        <f t="shared" si="2"/>
        <v>5920.25</v>
      </c>
      <c r="R7" s="23">
        <f t="shared" si="2"/>
        <v>5920.25</v>
      </c>
    </row>
    <row r="8" s="67" customFormat="1" ht="12" customHeight="1" spans="1:18">
      <c r="A8" s="40" t="s">
        <v>98</v>
      </c>
      <c r="B8" s="83" t="s">
        <v>99</v>
      </c>
      <c r="C8" s="84"/>
      <c r="D8" s="85">
        <v>0.02</v>
      </c>
      <c r="E8" s="86">
        <v>0.005</v>
      </c>
      <c r="F8" s="85">
        <v>0.005</v>
      </c>
      <c r="G8" s="85">
        <f>F8</f>
        <v>0.005</v>
      </c>
      <c r="H8" s="85">
        <v>0.005</v>
      </c>
      <c r="I8" s="85">
        <v>0.005</v>
      </c>
      <c r="J8" s="85">
        <v>0.005</v>
      </c>
      <c r="K8" s="85">
        <v>0.005</v>
      </c>
      <c r="L8" s="85">
        <v>0.005</v>
      </c>
      <c r="M8" s="85">
        <f t="shared" ref="M8:R8" si="3">L8</f>
        <v>0.005</v>
      </c>
      <c r="N8" s="85">
        <f t="shared" si="3"/>
        <v>0.005</v>
      </c>
      <c r="O8" s="85">
        <f t="shared" si="3"/>
        <v>0.005</v>
      </c>
      <c r="P8" s="85">
        <f t="shared" si="3"/>
        <v>0.005</v>
      </c>
      <c r="Q8" s="85">
        <f t="shared" si="3"/>
        <v>0.005</v>
      </c>
      <c r="R8" s="85">
        <f t="shared" si="3"/>
        <v>0.005</v>
      </c>
    </row>
    <row r="9" customFormat="1" ht="12" customHeight="1" spans="1:18">
      <c r="A9" s="40" t="s">
        <v>100</v>
      </c>
      <c r="B9" s="82" t="s">
        <v>101</v>
      </c>
      <c r="C9" s="57"/>
      <c r="D9" s="23">
        <v>3.349</v>
      </c>
      <c r="E9" s="23">
        <f t="shared" ref="E9:R9" si="4">D9</f>
        <v>3.349</v>
      </c>
      <c r="F9" s="23">
        <f t="shared" si="4"/>
        <v>3.349</v>
      </c>
      <c r="G9" s="23">
        <f t="shared" si="4"/>
        <v>3.349</v>
      </c>
      <c r="H9" s="23">
        <f t="shared" si="4"/>
        <v>3.349</v>
      </c>
      <c r="I9" s="23">
        <f t="shared" si="4"/>
        <v>3.349</v>
      </c>
      <c r="J9" s="23">
        <f t="shared" si="4"/>
        <v>3.349</v>
      </c>
      <c r="K9" s="23">
        <f t="shared" si="4"/>
        <v>3.349</v>
      </c>
      <c r="L9" s="23">
        <f t="shared" si="4"/>
        <v>3.349</v>
      </c>
      <c r="M9" s="23">
        <f t="shared" si="4"/>
        <v>3.349</v>
      </c>
      <c r="N9" s="23">
        <f t="shared" si="4"/>
        <v>3.349</v>
      </c>
      <c r="O9" s="23">
        <f t="shared" si="4"/>
        <v>3.349</v>
      </c>
      <c r="P9" s="23">
        <f t="shared" si="4"/>
        <v>3.349</v>
      </c>
      <c r="Q9" s="23">
        <f t="shared" si="4"/>
        <v>3.349</v>
      </c>
      <c r="R9" s="23">
        <f t="shared" si="4"/>
        <v>3.349</v>
      </c>
    </row>
    <row r="10" customFormat="1" ht="12" customHeight="1" spans="1:18">
      <c r="A10" s="40" t="s">
        <v>102</v>
      </c>
      <c r="B10" s="82" t="s">
        <v>103</v>
      </c>
      <c r="C10" s="57"/>
      <c r="D10" s="23">
        <v>180</v>
      </c>
      <c r="E10" s="87">
        <v>360</v>
      </c>
      <c r="F10" s="23">
        <f t="shared" ref="F10:R10" si="5">E10</f>
        <v>360</v>
      </c>
      <c r="G10" s="23">
        <f t="shared" si="5"/>
        <v>360</v>
      </c>
      <c r="H10" s="23">
        <f t="shared" si="5"/>
        <v>360</v>
      </c>
      <c r="I10" s="23">
        <f t="shared" si="5"/>
        <v>360</v>
      </c>
      <c r="J10" s="23">
        <f t="shared" si="5"/>
        <v>360</v>
      </c>
      <c r="K10" s="23">
        <f t="shared" si="5"/>
        <v>360</v>
      </c>
      <c r="L10" s="23">
        <f t="shared" si="5"/>
        <v>360</v>
      </c>
      <c r="M10" s="23">
        <f t="shared" si="5"/>
        <v>360</v>
      </c>
      <c r="N10" s="23">
        <f t="shared" si="5"/>
        <v>360</v>
      </c>
      <c r="O10" s="23">
        <f t="shared" si="5"/>
        <v>360</v>
      </c>
      <c r="P10" s="23">
        <f t="shared" si="5"/>
        <v>360</v>
      </c>
      <c r="Q10" s="23">
        <f t="shared" si="5"/>
        <v>360</v>
      </c>
      <c r="R10" s="23">
        <f t="shared" si="5"/>
        <v>360</v>
      </c>
    </row>
    <row r="11" customFormat="1" ht="12" customHeight="1" spans="1:18">
      <c r="A11" s="40" t="s">
        <v>104</v>
      </c>
      <c r="B11" s="82" t="s">
        <v>105</v>
      </c>
      <c r="C11" s="57"/>
      <c r="D11" s="23">
        <v>0.62</v>
      </c>
      <c r="E11" s="87">
        <f t="shared" ref="E11:R11" si="6">D11</f>
        <v>0.62</v>
      </c>
      <c r="F11" s="87">
        <f t="shared" si="6"/>
        <v>0.62</v>
      </c>
      <c r="G11" s="87">
        <f t="shared" si="6"/>
        <v>0.62</v>
      </c>
      <c r="H11" s="87">
        <f t="shared" si="6"/>
        <v>0.62</v>
      </c>
      <c r="I11" s="87">
        <f t="shared" si="6"/>
        <v>0.62</v>
      </c>
      <c r="J11" s="87">
        <f t="shared" si="6"/>
        <v>0.62</v>
      </c>
      <c r="K11" s="87">
        <f t="shared" si="6"/>
        <v>0.62</v>
      </c>
      <c r="L11" s="87">
        <f t="shared" si="6"/>
        <v>0.62</v>
      </c>
      <c r="M11" s="87">
        <f t="shared" si="6"/>
        <v>0.62</v>
      </c>
      <c r="N11" s="87">
        <f t="shared" si="6"/>
        <v>0.62</v>
      </c>
      <c r="O11" s="87">
        <f t="shared" si="6"/>
        <v>0.62</v>
      </c>
      <c r="P11" s="87">
        <f t="shared" si="6"/>
        <v>0.62</v>
      </c>
      <c r="Q11" s="87">
        <f t="shared" si="6"/>
        <v>0.62</v>
      </c>
      <c r="R11" s="87">
        <f t="shared" si="6"/>
        <v>0.62</v>
      </c>
    </row>
    <row r="12" s="66" customFormat="1" ht="16" customHeight="1" spans="1:18">
      <c r="A12" s="79">
        <v>1.2</v>
      </c>
      <c r="B12" s="36" t="s">
        <v>106</v>
      </c>
      <c r="C12" s="81">
        <f>SUM((D12:R12))</f>
        <v>3124.17</v>
      </c>
      <c r="D12" s="78">
        <f>(D13*D14+D16*D15)*180/10000</f>
        <v>107.73</v>
      </c>
      <c r="E12" s="78">
        <f t="shared" ref="E12:R12" si="7">(E13*E14+E16*E15)*360/10000</f>
        <v>215.46</v>
      </c>
      <c r="F12" s="78">
        <f t="shared" si="7"/>
        <v>215.46</v>
      </c>
      <c r="G12" s="78">
        <f t="shared" si="7"/>
        <v>215.46</v>
      </c>
      <c r="H12" s="78">
        <f t="shared" si="7"/>
        <v>215.46</v>
      </c>
      <c r="I12" s="78">
        <f t="shared" si="7"/>
        <v>215.46</v>
      </c>
      <c r="J12" s="78">
        <f t="shared" si="7"/>
        <v>215.46</v>
      </c>
      <c r="K12" s="78">
        <f t="shared" si="7"/>
        <v>215.46</v>
      </c>
      <c r="L12" s="78">
        <f t="shared" si="7"/>
        <v>215.46</v>
      </c>
      <c r="M12" s="78">
        <f t="shared" si="7"/>
        <v>215.46</v>
      </c>
      <c r="N12" s="78">
        <f t="shared" si="7"/>
        <v>215.46</v>
      </c>
      <c r="O12" s="78">
        <f t="shared" si="7"/>
        <v>215.46</v>
      </c>
      <c r="P12" s="78">
        <f t="shared" si="7"/>
        <v>215.46</v>
      </c>
      <c r="Q12" s="78">
        <f t="shared" si="7"/>
        <v>215.46</v>
      </c>
      <c r="R12" s="78">
        <f t="shared" si="7"/>
        <v>215.46</v>
      </c>
    </row>
    <row r="13" ht="12" customHeight="1" spans="1:18">
      <c r="A13" s="81" t="s">
        <v>107</v>
      </c>
      <c r="B13" s="41" t="s">
        <v>108</v>
      </c>
      <c r="C13" s="57"/>
      <c r="D13" s="23">
        <v>0.63</v>
      </c>
      <c r="E13" s="41">
        <f t="shared" ref="E13:R13" si="8">D13</f>
        <v>0.63</v>
      </c>
      <c r="F13" s="41">
        <f t="shared" si="8"/>
        <v>0.63</v>
      </c>
      <c r="G13" s="41">
        <f t="shared" si="8"/>
        <v>0.63</v>
      </c>
      <c r="H13" s="41">
        <f t="shared" si="8"/>
        <v>0.63</v>
      </c>
      <c r="I13" s="41">
        <f t="shared" si="8"/>
        <v>0.63</v>
      </c>
      <c r="J13" s="45">
        <f t="shared" si="8"/>
        <v>0.63</v>
      </c>
      <c r="K13" s="41">
        <f t="shared" si="8"/>
        <v>0.63</v>
      </c>
      <c r="L13" s="41">
        <f t="shared" si="8"/>
        <v>0.63</v>
      </c>
      <c r="M13" s="41">
        <f t="shared" si="8"/>
        <v>0.63</v>
      </c>
      <c r="N13" s="41">
        <f t="shared" si="8"/>
        <v>0.63</v>
      </c>
      <c r="O13" s="41">
        <f t="shared" si="8"/>
        <v>0.63</v>
      </c>
      <c r="P13" s="41">
        <f t="shared" si="8"/>
        <v>0.63</v>
      </c>
      <c r="Q13" s="41">
        <f t="shared" si="8"/>
        <v>0.63</v>
      </c>
      <c r="R13" s="41">
        <f t="shared" si="8"/>
        <v>0.63</v>
      </c>
    </row>
    <row r="14" s="68" customFormat="1" ht="19" customHeight="1" spans="1:18">
      <c r="A14" s="88" t="s">
        <v>109</v>
      </c>
      <c r="B14" s="89" t="s">
        <v>110</v>
      </c>
      <c r="C14" s="90"/>
      <c r="D14" s="23">
        <f>10000*0.95</f>
        <v>9500</v>
      </c>
      <c r="E14" s="89">
        <f t="shared" ref="E14:R14" si="9">D14</f>
        <v>9500</v>
      </c>
      <c r="F14" s="89">
        <f t="shared" si="9"/>
        <v>9500</v>
      </c>
      <c r="G14" s="89">
        <f t="shared" si="9"/>
        <v>9500</v>
      </c>
      <c r="H14" s="89">
        <f t="shared" si="9"/>
        <v>9500</v>
      </c>
      <c r="I14" s="89">
        <f t="shared" si="9"/>
        <v>9500</v>
      </c>
      <c r="J14" s="96">
        <f t="shared" si="9"/>
        <v>9500</v>
      </c>
      <c r="K14" s="96">
        <f t="shared" si="9"/>
        <v>9500</v>
      </c>
      <c r="L14" s="96">
        <f t="shared" si="9"/>
        <v>9500</v>
      </c>
      <c r="M14" s="96">
        <f t="shared" si="9"/>
        <v>9500</v>
      </c>
      <c r="N14" s="96">
        <f t="shared" si="9"/>
        <v>9500</v>
      </c>
      <c r="O14" s="96">
        <f t="shared" si="9"/>
        <v>9500</v>
      </c>
      <c r="P14" s="96">
        <f t="shared" si="9"/>
        <v>9500</v>
      </c>
      <c r="Q14" s="96">
        <f t="shared" si="9"/>
        <v>9500</v>
      </c>
      <c r="R14" s="96">
        <f t="shared" si="9"/>
        <v>9500</v>
      </c>
    </row>
    <row r="15" s="66" customFormat="1" ht="18" customHeight="1" spans="1:18">
      <c r="A15" s="76" t="s">
        <v>111</v>
      </c>
      <c r="B15" s="41" t="s">
        <v>108</v>
      </c>
      <c r="C15" s="57"/>
      <c r="D15" s="23">
        <v>0</v>
      </c>
      <c r="E15" s="41">
        <f t="shared" ref="E15:R15" si="10">D15</f>
        <v>0</v>
      </c>
      <c r="F15" s="41">
        <f t="shared" si="10"/>
        <v>0</v>
      </c>
      <c r="G15" s="41">
        <f t="shared" si="10"/>
        <v>0</v>
      </c>
      <c r="H15" s="41">
        <f t="shared" si="10"/>
        <v>0</v>
      </c>
      <c r="I15" s="41">
        <f t="shared" si="10"/>
        <v>0</v>
      </c>
      <c r="J15" s="45">
        <f t="shared" si="10"/>
        <v>0</v>
      </c>
      <c r="K15" s="41">
        <f t="shared" si="10"/>
        <v>0</v>
      </c>
      <c r="L15" s="41">
        <f t="shared" si="10"/>
        <v>0</v>
      </c>
      <c r="M15" s="41">
        <f t="shared" si="10"/>
        <v>0</v>
      </c>
      <c r="N15" s="41">
        <f t="shared" si="10"/>
        <v>0</v>
      </c>
      <c r="O15" s="41">
        <f t="shared" si="10"/>
        <v>0</v>
      </c>
      <c r="P15" s="41">
        <f t="shared" si="10"/>
        <v>0</v>
      </c>
      <c r="Q15" s="41">
        <f t="shared" si="10"/>
        <v>0</v>
      </c>
      <c r="R15" s="41">
        <f t="shared" si="10"/>
        <v>0</v>
      </c>
    </row>
    <row r="16" s="66" customFormat="1" ht="18" customHeight="1" spans="1:18">
      <c r="A16" s="76" t="s">
        <v>112</v>
      </c>
      <c r="B16" s="89" t="s">
        <v>110</v>
      </c>
      <c r="C16" s="90"/>
      <c r="D16" s="23">
        <v>0</v>
      </c>
      <c r="E16" s="89">
        <f t="shared" ref="E16:R16" si="11">D16</f>
        <v>0</v>
      </c>
      <c r="F16" s="89">
        <f t="shared" si="11"/>
        <v>0</v>
      </c>
      <c r="G16" s="89">
        <f t="shared" si="11"/>
        <v>0</v>
      </c>
      <c r="H16" s="89">
        <f t="shared" si="11"/>
        <v>0</v>
      </c>
      <c r="I16" s="89">
        <f t="shared" si="11"/>
        <v>0</v>
      </c>
      <c r="J16" s="96">
        <f t="shared" si="11"/>
        <v>0</v>
      </c>
      <c r="K16" s="96">
        <f t="shared" si="11"/>
        <v>0</v>
      </c>
      <c r="L16" s="96">
        <f t="shared" si="11"/>
        <v>0</v>
      </c>
      <c r="M16" s="96">
        <f t="shared" si="11"/>
        <v>0</v>
      </c>
      <c r="N16" s="96">
        <f t="shared" si="11"/>
        <v>0</v>
      </c>
      <c r="O16" s="96">
        <f t="shared" si="11"/>
        <v>0</v>
      </c>
      <c r="P16" s="96">
        <f t="shared" si="11"/>
        <v>0</v>
      </c>
      <c r="Q16" s="96">
        <f t="shared" si="11"/>
        <v>0</v>
      </c>
      <c r="R16" s="96">
        <f t="shared" si="11"/>
        <v>0</v>
      </c>
    </row>
    <row r="17" s="66" customFormat="1" ht="18" customHeight="1" spans="1:18">
      <c r="A17" s="76">
        <v>1.4</v>
      </c>
      <c r="B17" s="36" t="s">
        <v>113</v>
      </c>
      <c r="C17" s="81">
        <f>SUM(D17:R18)</f>
        <v>388.2675</v>
      </c>
      <c r="D17" s="78">
        <f t="shared" ref="D17:R17" si="12">D18*D19*D20*D21*D22*D23/10000</f>
        <v>6.1425</v>
      </c>
      <c r="E17" s="78">
        <f t="shared" si="12"/>
        <v>14.742</v>
      </c>
      <c r="F17" s="78">
        <f t="shared" si="12"/>
        <v>17.199</v>
      </c>
      <c r="G17" s="78">
        <f t="shared" si="12"/>
        <v>19.656</v>
      </c>
      <c r="H17" s="78">
        <f t="shared" si="12"/>
        <v>22.113</v>
      </c>
      <c r="I17" s="78">
        <f t="shared" si="12"/>
        <v>23.3415</v>
      </c>
      <c r="J17" s="78">
        <f t="shared" si="12"/>
        <v>23.3415</v>
      </c>
      <c r="K17" s="78">
        <f t="shared" si="12"/>
        <v>23.3415</v>
      </c>
      <c r="L17" s="78">
        <f t="shared" si="12"/>
        <v>23.3415</v>
      </c>
      <c r="M17" s="78">
        <f t="shared" si="12"/>
        <v>23.3415</v>
      </c>
      <c r="N17" s="78">
        <f t="shared" si="12"/>
        <v>23.3415</v>
      </c>
      <c r="O17" s="78">
        <f t="shared" si="12"/>
        <v>23.3415</v>
      </c>
      <c r="P17" s="78">
        <f t="shared" si="12"/>
        <v>23.3415</v>
      </c>
      <c r="Q17" s="78">
        <f t="shared" si="12"/>
        <v>23.3415</v>
      </c>
      <c r="R17" s="78">
        <f t="shared" si="12"/>
        <v>23.3415</v>
      </c>
    </row>
    <row r="18" customFormat="1" ht="12" customHeight="1" spans="1:18">
      <c r="A18" s="91" t="s">
        <v>114</v>
      </c>
      <c r="B18" s="89" t="s">
        <v>115</v>
      </c>
      <c r="C18" s="57"/>
      <c r="D18" s="23">
        <v>5</v>
      </c>
      <c r="E18" s="23">
        <f t="shared" ref="E18:R18" si="13">D18</f>
        <v>5</v>
      </c>
      <c r="F18" s="23">
        <f t="shared" si="13"/>
        <v>5</v>
      </c>
      <c r="G18" s="23">
        <f t="shared" si="13"/>
        <v>5</v>
      </c>
      <c r="H18" s="23">
        <f t="shared" si="13"/>
        <v>5</v>
      </c>
      <c r="I18" s="23">
        <f t="shared" si="13"/>
        <v>5</v>
      </c>
      <c r="J18" s="23">
        <f t="shared" si="13"/>
        <v>5</v>
      </c>
      <c r="K18" s="23">
        <f t="shared" si="13"/>
        <v>5</v>
      </c>
      <c r="L18" s="23">
        <f t="shared" si="13"/>
        <v>5</v>
      </c>
      <c r="M18" s="23">
        <f t="shared" si="13"/>
        <v>5</v>
      </c>
      <c r="N18" s="23">
        <f t="shared" si="13"/>
        <v>5</v>
      </c>
      <c r="O18" s="23">
        <f t="shared" si="13"/>
        <v>5</v>
      </c>
      <c r="P18" s="23">
        <f t="shared" si="13"/>
        <v>5</v>
      </c>
      <c r="Q18" s="23">
        <f t="shared" si="13"/>
        <v>5</v>
      </c>
      <c r="R18" s="23">
        <f t="shared" si="13"/>
        <v>5</v>
      </c>
    </row>
    <row r="19" s="69" customFormat="1" ht="12" customHeight="1" spans="1:18">
      <c r="A19" s="92" t="s">
        <v>116</v>
      </c>
      <c r="B19" s="93" t="s">
        <v>117</v>
      </c>
      <c r="C19" s="94"/>
      <c r="D19" s="93">
        <v>0.5</v>
      </c>
      <c r="E19" s="93">
        <v>0.6</v>
      </c>
      <c r="F19" s="93">
        <v>0.7</v>
      </c>
      <c r="G19" s="93">
        <v>0.8</v>
      </c>
      <c r="H19" s="93">
        <v>0.9</v>
      </c>
      <c r="I19" s="93">
        <v>0.95</v>
      </c>
      <c r="J19" s="93">
        <v>0.95</v>
      </c>
      <c r="K19" s="93">
        <v>0.95</v>
      </c>
      <c r="L19" s="93">
        <v>0.95</v>
      </c>
      <c r="M19" s="23">
        <f t="shared" ref="M19:R19" si="14">L19</f>
        <v>0.95</v>
      </c>
      <c r="N19" s="23">
        <f t="shared" si="14"/>
        <v>0.95</v>
      </c>
      <c r="O19" s="23">
        <f t="shared" si="14"/>
        <v>0.95</v>
      </c>
      <c r="P19" s="23">
        <f t="shared" si="14"/>
        <v>0.95</v>
      </c>
      <c r="Q19" s="23">
        <f t="shared" si="14"/>
        <v>0.95</v>
      </c>
      <c r="R19" s="23">
        <f t="shared" si="14"/>
        <v>0.95</v>
      </c>
    </row>
    <row r="20" customFormat="1" ht="12" customHeight="1" spans="1:18">
      <c r="A20" s="91" t="s">
        <v>118</v>
      </c>
      <c r="B20" s="89" t="s">
        <v>119</v>
      </c>
      <c r="C20" s="57"/>
      <c r="D20" s="23">
        <v>0.65</v>
      </c>
      <c r="E20" s="23">
        <f t="shared" ref="E20:R20" si="15">D20</f>
        <v>0.65</v>
      </c>
      <c r="F20" s="23">
        <f t="shared" si="15"/>
        <v>0.65</v>
      </c>
      <c r="G20" s="23">
        <f t="shared" si="15"/>
        <v>0.65</v>
      </c>
      <c r="H20" s="23">
        <f t="shared" si="15"/>
        <v>0.65</v>
      </c>
      <c r="I20" s="23">
        <f t="shared" si="15"/>
        <v>0.65</v>
      </c>
      <c r="J20" s="23">
        <f t="shared" si="15"/>
        <v>0.65</v>
      </c>
      <c r="K20" s="23">
        <f t="shared" si="15"/>
        <v>0.65</v>
      </c>
      <c r="L20" s="23">
        <f t="shared" si="15"/>
        <v>0.65</v>
      </c>
      <c r="M20" s="23">
        <f t="shared" si="15"/>
        <v>0.65</v>
      </c>
      <c r="N20" s="23">
        <f t="shared" si="15"/>
        <v>0.65</v>
      </c>
      <c r="O20" s="23">
        <f t="shared" si="15"/>
        <v>0.65</v>
      </c>
      <c r="P20" s="23">
        <f t="shared" si="15"/>
        <v>0.65</v>
      </c>
      <c r="Q20" s="23">
        <f t="shared" si="15"/>
        <v>0.65</v>
      </c>
      <c r="R20" s="23">
        <f t="shared" si="15"/>
        <v>0.65</v>
      </c>
    </row>
    <row r="21" customFormat="1" ht="12" customHeight="1" spans="1:18">
      <c r="A21" s="91" t="s">
        <v>120</v>
      </c>
      <c r="B21" s="89" t="s">
        <v>121</v>
      </c>
      <c r="C21" s="57"/>
      <c r="D21" s="23">
        <v>60</v>
      </c>
      <c r="E21" s="23">
        <v>60</v>
      </c>
      <c r="F21" s="23">
        <v>60</v>
      </c>
      <c r="G21" s="23">
        <v>60</v>
      </c>
      <c r="H21" s="23">
        <v>60</v>
      </c>
      <c r="I21" s="23">
        <v>60</v>
      </c>
      <c r="J21" s="23">
        <v>60</v>
      </c>
      <c r="K21" s="23">
        <v>60</v>
      </c>
      <c r="L21" s="23">
        <v>60</v>
      </c>
      <c r="M21" s="23">
        <f t="shared" ref="M21:R21" si="16">L21</f>
        <v>60</v>
      </c>
      <c r="N21" s="23">
        <f t="shared" si="16"/>
        <v>60</v>
      </c>
      <c r="O21" s="23">
        <f t="shared" si="16"/>
        <v>60</v>
      </c>
      <c r="P21" s="23">
        <f t="shared" si="16"/>
        <v>60</v>
      </c>
      <c r="Q21" s="23">
        <f t="shared" si="16"/>
        <v>60</v>
      </c>
      <c r="R21" s="23">
        <f t="shared" si="16"/>
        <v>60</v>
      </c>
    </row>
    <row r="22" customFormat="1" ht="12" customHeight="1" spans="1:18">
      <c r="A22" s="91" t="s">
        <v>122</v>
      </c>
      <c r="B22" s="89" t="s">
        <v>123</v>
      </c>
      <c r="C22" s="57"/>
      <c r="D22" s="23">
        <v>3.5</v>
      </c>
      <c r="E22" s="23">
        <f t="shared" ref="E22:R22" si="17">D22</f>
        <v>3.5</v>
      </c>
      <c r="F22" s="23">
        <f t="shared" si="17"/>
        <v>3.5</v>
      </c>
      <c r="G22" s="23">
        <f t="shared" si="17"/>
        <v>3.5</v>
      </c>
      <c r="H22" s="23">
        <f t="shared" si="17"/>
        <v>3.5</v>
      </c>
      <c r="I22" s="23">
        <f t="shared" si="17"/>
        <v>3.5</v>
      </c>
      <c r="J22" s="23">
        <f t="shared" si="17"/>
        <v>3.5</v>
      </c>
      <c r="K22" s="23">
        <f t="shared" si="17"/>
        <v>3.5</v>
      </c>
      <c r="L22" s="23">
        <f t="shared" si="17"/>
        <v>3.5</v>
      </c>
      <c r="M22" s="23">
        <f t="shared" si="17"/>
        <v>3.5</v>
      </c>
      <c r="N22" s="23">
        <f t="shared" si="17"/>
        <v>3.5</v>
      </c>
      <c r="O22" s="23">
        <f t="shared" si="17"/>
        <v>3.5</v>
      </c>
      <c r="P22" s="23">
        <f t="shared" si="17"/>
        <v>3.5</v>
      </c>
      <c r="Q22" s="23">
        <f t="shared" si="17"/>
        <v>3.5</v>
      </c>
      <c r="R22" s="23">
        <f t="shared" si="17"/>
        <v>3.5</v>
      </c>
    </row>
    <row r="23" customFormat="1" ht="12" customHeight="1" spans="1:18">
      <c r="A23" s="91" t="s">
        <v>124</v>
      </c>
      <c r="B23" s="89" t="s">
        <v>125</v>
      </c>
      <c r="C23" s="57"/>
      <c r="D23" s="23">
        <v>180</v>
      </c>
      <c r="E23" s="23">
        <v>360</v>
      </c>
      <c r="F23" s="23">
        <f t="shared" ref="F23:R23" si="18">E23</f>
        <v>360</v>
      </c>
      <c r="G23" s="23">
        <f t="shared" si="18"/>
        <v>360</v>
      </c>
      <c r="H23" s="23">
        <f t="shared" si="18"/>
        <v>360</v>
      </c>
      <c r="I23" s="23">
        <f t="shared" si="18"/>
        <v>360</v>
      </c>
      <c r="J23" s="23">
        <f t="shared" si="18"/>
        <v>360</v>
      </c>
      <c r="K23" s="23">
        <f t="shared" si="18"/>
        <v>360</v>
      </c>
      <c r="L23" s="23">
        <f t="shared" si="18"/>
        <v>360</v>
      </c>
      <c r="M23" s="23">
        <f t="shared" si="18"/>
        <v>360</v>
      </c>
      <c r="N23" s="23">
        <f t="shared" si="18"/>
        <v>360</v>
      </c>
      <c r="O23" s="23">
        <f t="shared" si="18"/>
        <v>360</v>
      </c>
      <c r="P23" s="23">
        <f t="shared" si="18"/>
        <v>360</v>
      </c>
      <c r="Q23" s="23">
        <f t="shared" si="18"/>
        <v>360</v>
      </c>
      <c r="R23" s="23">
        <f t="shared" si="18"/>
        <v>360</v>
      </c>
    </row>
    <row r="24" s="66" customFormat="1" ht="12" customHeight="1" spans="1:18">
      <c r="A24" s="76">
        <v>2</v>
      </c>
      <c r="B24" s="36" t="s">
        <v>126</v>
      </c>
      <c r="C24" s="81">
        <f>SUM((D24:R24))</f>
        <v>82.48116132616</v>
      </c>
      <c r="D24" s="78">
        <f t="shared" ref="D24:R24" si="19">D25+D26+D27+D28</f>
        <v>2.77576999652</v>
      </c>
      <c r="E24" s="78">
        <f t="shared" si="19"/>
        <v>5.65301030926</v>
      </c>
      <c r="F24" s="78">
        <f t="shared" si="19"/>
        <v>5.66775230926</v>
      </c>
      <c r="G24" s="78">
        <f t="shared" si="19"/>
        <v>5.68249430926</v>
      </c>
      <c r="H24" s="78">
        <f t="shared" si="19"/>
        <v>5.69723630926</v>
      </c>
      <c r="I24" s="78">
        <f t="shared" si="19"/>
        <v>5.70190730926</v>
      </c>
      <c r="J24" s="19">
        <f t="shared" si="19"/>
        <v>5.70190730926</v>
      </c>
      <c r="K24" s="78">
        <f t="shared" si="19"/>
        <v>5.70190730926</v>
      </c>
      <c r="L24" s="78">
        <f t="shared" si="19"/>
        <v>5.70190730926</v>
      </c>
      <c r="M24" s="78">
        <f t="shared" si="19"/>
        <v>5.70190730926</v>
      </c>
      <c r="N24" s="78">
        <f t="shared" si="19"/>
        <v>5.69907230926</v>
      </c>
      <c r="O24" s="78">
        <f t="shared" si="19"/>
        <v>5.69907230926</v>
      </c>
      <c r="P24" s="78">
        <f t="shared" si="19"/>
        <v>5.69907230926</v>
      </c>
      <c r="Q24" s="78">
        <f t="shared" si="19"/>
        <v>5.69907230926</v>
      </c>
      <c r="R24" s="78">
        <f t="shared" si="19"/>
        <v>5.69907230926</v>
      </c>
    </row>
    <row r="25" ht="12" customHeight="1" spans="1:18">
      <c r="A25" s="91">
        <v>2.1</v>
      </c>
      <c r="B25" s="41" t="s">
        <v>127</v>
      </c>
      <c r="C25" s="57"/>
      <c r="D25" s="57"/>
      <c r="E25" s="24"/>
      <c r="F25" s="24"/>
      <c r="G25" s="24"/>
      <c r="H25" s="24"/>
      <c r="I25" s="24"/>
      <c r="J25" s="97"/>
      <c r="K25" s="24"/>
      <c r="L25" s="24"/>
      <c r="M25" s="24"/>
      <c r="N25" s="24"/>
      <c r="O25" s="24"/>
      <c r="P25" s="24"/>
      <c r="Q25" s="24"/>
      <c r="R25" s="24"/>
    </row>
    <row r="26" ht="12" customHeight="1" spans="1:18">
      <c r="A26" s="91">
        <v>2.2</v>
      </c>
      <c r="B26" s="41" t="s">
        <v>128</v>
      </c>
      <c r="C26" s="57"/>
      <c r="D26" s="57"/>
      <c r="E26" s="24"/>
      <c r="F26" s="24"/>
      <c r="G26" s="24"/>
      <c r="H26" s="24"/>
      <c r="I26" s="24"/>
      <c r="J26" s="97"/>
      <c r="K26" s="24"/>
      <c r="L26" s="24"/>
      <c r="M26" s="24"/>
      <c r="N26" s="24"/>
      <c r="O26" s="24"/>
      <c r="P26" s="24"/>
      <c r="Q26" s="24"/>
      <c r="R26" s="24"/>
    </row>
    <row r="27" ht="12" customHeight="1" spans="1:18">
      <c r="A27" s="91">
        <v>2.3</v>
      </c>
      <c r="B27" s="95" t="s">
        <v>129</v>
      </c>
      <c r="C27" s="57">
        <f>SUM((D27:M27))</f>
        <v>37.790059845902</v>
      </c>
      <c r="D27" s="23">
        <f t="shared" ref="D27:R27" si="20">D29*0.07</f>
        <v>1.943038997564</v>
      </c>
      <c r="E27" s="23">
        <f t="shared" si="20"/>
        <v>3.957107216482</v>
      </c>
      <c r="F27" s="23">
        <f t="shared" si="20"/>
        <v>3.967426616482</v>
      </c>
      <c r="G27" s="23">
        <f t="shared" si="20"/>
        <v>3.977746016482</v>
      </c>
      <c r="H27" s="23">
        <f t="shared" si="20"/>
        <v>3.988065416482</v>
      </c>
      <c r="I27" s="23">
        <f t="shared" si="20"/>
        <v>3.991335116482</v>
      </c>
      <c r="J27" s="25">
        <f t="shared" si="20"/>
        <v>3.991335116482</v>
      </c>
      <c r="K27" s="23">
        <f t="shared" si="20"/>
        <v>3.991335116482</v>
      </c>
      <c r="L27" s="23">
        <f t="shared" si="20"/>
        <v>3.991335116482</v>
      </c>
      <c r="M27" s="23">
        <f t="shared" si="20"/>
        <v>3.991335116482</v>
      </c>
      <c r="N27" s="23">
        <f t="shared" si="20"/>
        <v>3.989350616482</v>
      </c>
      <c r="O27" s="23">
        <f t="shared" si="20"/>
        <v>3.989350616482</v>
      </c>
      <c r="P27" s="23">
        <f t="shared" si="20"/>
        <v>3.989350616482</v>
      </c>
      <c r="Q27" s="23">
        <f t="shared" si="20"/>
        <v>3.989350616482</v>
      </c>
      <c r="R27" s="23">
        <f t="shared" si="20"/>
        <v>3.989350616482</v>
      </c>
    </row>
    <row r="28" ht="12" customHeight="1" spans="1:18">
      <c r="A28" s="91">
        <v>2.4</v>
      </c>
      <c r="B28" s="41" t="s">
        <v>130</v>
      </c>
      <c r="C28" s="57">
        <f>SUM((D28:M28))</f>
        <v>16.195739933958</v>
      </c>
      <c r="D28" s="23">
        <f t="shared" ref="D28:R28" si="21">D29*0.03</f>
        <v>0.832730998956</v>
      </c>
      <c r="E28" s="23">
        <f t="shared" si="21"/>
        <v>1.695903092778</v>
      </c>
      <c r="F28" s="23">
        <f t="shared" si="21"/>
        <v>1.700325692778</v>
      </c>
      <c r="G28" s="23">
        <f t="shared" si="21"/>
        <v>1.704748292778</v>
      </c>
      <c r="H28" s="23">
        <f t="shared" si="21"/>
        <v>1.709170892778</v>
      </c>
      <c r="I28" s="23">
        <f t="shared" si="21"/>
        <v>1.710572192778</v>
      </c>
      <c r="J28" s="25">
        <f t="shared" si="21"/>
        <v>1.710572192778</v>
      </c>
      <c r="K28" s="23">
        <f t="shared" si="21"/>
        <v>1.710572192778</v>
      </c>
      <c r="L28" s="23">
        <f t="shared" si="21"/>
        <v>1.710572192778</v>
      </c>
      <c r="M28" s="23">
        <f t="shared" si="21"/>
        <v>1.710572192778</v>
      </c>
      <c r="N28" s="23">
        <f t="shared" si="21"/>
        <v>1.709721692778</v>
      </c>
      <c r="O28" s="23">
        <f t="shared" si="21"/>
        <v>1.709721692778</v>
      </c>
      <c r="P28" s="23">
        <f t="shared" si="21"/>
        <v>1.709721692778</v>
      </c>
      <c r="Q28" s="23">
        <f t="shared" si="21"/>
        <v>1.709721692778</v>
      </c>
      <c r="R28" s="23">
        <f t="shared" si="21"/>
        <v>1.709721692778</v>
      </c>
    </row>
    <row r="29" ht="12" customHeight="1" spans="1:18">
      <c r="A29" s="91">
        <v>3</v>
      </c>
      <c r="B29" s="41" t="s">
        <v>131</v>
      </c>
      <c r="C29" s="57">
        <f>SUM((D29:M29))</f>
        <v>539.8579977986</v>
      </c>
      <c r="D29" s="23">
        <f t="shared" ref="D29:R29" si="22">D30-D31</f>
        <v>27.7576999652</v>
      </c>
      <c r="E29" s="23">
        <f t="shared" si="22"/>
        <v>56.5301030926</v>
      </c>
      <c r="F29" s="23">
        <f t="shared" si="22"/>
        <v>56.6775230926</v>
      </c>
      <c r="G29" s="23">
        <f t="shared" si="22"/>
        <v>56.8249430926</v>
      </c>
      <c r="H29" s="23">
        <f t="shared" si="22"/>
        <v>56.9723630926</v>
      </c>
      <c r="I29" s="23">
        <f t="shared" si="22"/>
        <v>57.0190730926</v>
      </c>
      <c r="J29" s="23">
        <f t="shared" si="22"/>
        <v>57.0190730926</v>
      </c>
      <c r="K29" s="23">
        <f t="shared" si="22"/>
        <v>57.0190730926</v>
      </c>
      <c r="L29" s="23">
        <f t="shared" si="22"/>
        <v>57.0190730926</v>
      </c>
      <c r="M29" s="23">
        <f t="shared" si="22"/>
        <v>57.0190730926</v>
      </c>
      <c r="N29" s="23">
        <f t="shared" si="22"/>
        <v>56.9907230926</v>
      </c>
      <c r="O29" s="23">
        <f t="shared" si="22"/>
        <v>56.9907230926</v>
      </c>
      <c r="P29" s="23">
        <f t="shared" si="22"/>
        <v>56.9907230926</v>
      </c>
      <c r="Q29" s="23">
        <f t="shared" si="22"/>
        <v>56.9907230926</v>
      </c>
      <c r="R29" s="23">
        <f t="shared" si="22"/>
        <v>56.9907230926</v>
      </c>
    </row>
    <row r="30" ht="12" customHeight="1" spans="1:18">
      <c r="A30" s="91">
        <v>3.1</v>
      </c>
      <c r="B30" s="41" t="s">
        <v>132</v>
      </c>
      <c r="C30" s="57">
        <f>SUM((D30:M30))</f>
        <v>548.3339977986</v>
      </c>
      <c r="D30" s="23">
        <f t="shared" ref="D30:R30" si="23">(D6+D12)*0.13+D17*0.06</f>
        <v>28.1966999652</v>
      </c>
      <c r="E30" s="23">
        <f t="shared" si="23"/>
        <v>57.4081030926</v>
      </c>
      <c r="F30" s="23">
        <f t="shared" si="23"/>
        <v>57.5555230926</v>
      </c>
      <c r="G30" s="23">
        <f t="shared" si="23"/>
        <v>57.7029430926</v>
      </c>
      <c r="H30" s="23">
        <f t="shared" si="23"/>
        <v>57.8503630926</v>
      </c>
      <c r="I30" s="23">
        <f t="shared" si="23"/>
        <v>57.9240730926</v>
      </c>
      <c r="J30" s="23">
        <f t="shared" si="23"/>
        <v>57.9240730926</v>
      </c>
      <c r="K30" s="23">
        <f t="shared" si="23"/>
        <v>57.9240730926</v>
      </c>
      <c r="L30" s="23">
        <f t="shared" si="23"/>
        <v>57.9240730926</v>
      </c>
      <c r="M30" s="23">
        <f t="shared" si="23"/>
        <v>57.9240730926</v>
      </c>
      <c r="N30" s="23">
        <f t="shared" si="23"/>
        <v>57.9240730926</v>
      </c>
      <c r="O30" s="23">
        <f t="shared" si="23"/>
        <v>57.9240730926</v>
      </c>
      <c r="P30" s="23">
        <f t="shared" si="23"/>
        <v>57.9240730926</v>
      </c>
      <c r="Q30" s="23">
        <f t="shared" si="23"/>
        <v>57.9240730926</v>
      </c>
      <c r="R30" s="23">
        <f t="shared" si="23"/>
        <v>57.9240730926</v>
      </c>
    </row>
    <row r="31" ht="12" customHeight="1" spans="1:18">
      <c r="A31" s="91">
        <v>3.2</v>
      </c>
      <c r="B31" s="41" t="s">
        <v>133</v>
      </c>
      <c r="C31" s="57">
        <f>SUM((D31:M31))</f>
        <v>8.476</v>
      </c>
      <c r="D31" s="23">
        <f>总成本费用表!D5*0.13+总成本费用表!D9*0.09</f>
        <v>0.439</v>
      </c>
      <c r="E31" s="23">
        <f>总成本费用表!E5*0.13+总成本费用表!E9*0.09</f>
        <v>0.878</v>
      </c>
      <c r="F31" s="23">
        <f>总成本费用表!F5*0.13+总成本费用表!F9*0.09</f>
        <v>0.878</v>
      </c>
      <c r="G31" s="23">
        <f>总成本费用表!G5*0.13+总成本费用表!G9*0.09</f>
        <v>0.878</v>
      </c>
      <c r="H31" s="23">
        <f>总成本费用表!H5*0.13+总成本费用表!H9*0.09</f>
        <v>0.878</v>
      </c>
      <c r="I31" s="23">
        <f>总成本费用表!I5*0.13+总成本费用表!I9*0.09</f>
        <v>0.905</v>
      </c>
      <c r="J31" s="23">
        <f>总成本费用表!J5*0.13+总成本费用表!J9*0.09</f>
        <v>0.905</v>
      </c>
      <c r="K31" s="23">
        <f>总成本费用表!K5*0.13+总成本费用表!K9*0.09</f>
        <v>0.905</v>
      </c>
      <c r="L31" s="23">
        <f>总成本费用表!L5*0.13+总成本费用表!L9*0.09</f>
        <v>0.905</v>
      </c>
      <c r="M31" s="23">
        <f>总成本费用表!M5*0.13+总成本费用表!M9*0.09</f>
        <v>0.905</v>
      </c>
      <c r="N31" s="23">
        <f>总成本费用表!N5*0.13+总成本费用表!N9*0.09</f>
        <v>0.93335</v>
      </c>
      <c r="O31" s="23">
        <f>总成本费用表!O5*0.13+总成本费用表!O9*0.09</f>
        <v>0.93335</v>
      </c>
      <c r="P31" s="23">
        <f>总成本费用表!P5*0.13+总成本费用表!P9*0.09</f>
        <v>0.93335</v>
      </c>
      <c r="Q31" s="23">
        <f>总成本费用表!Q5*0.13+总成本费用表!Q9*0.09</f>
        <v>0.93335</v>
      </c>
      <c r="R31" s="23">
        <f>总成本费用表!R5*0.13+总成本费用表!R9*0.09</f>
        <v>0.93335</v>
      </c>
    </row>
  </sheetData>
  <mergeCells count="5">
    <mergeCell ref="A1:L1"/>
    <mergeCell ref="D3:R3"/>
    <mergeCell ref="A3:A4"/>
    <mergeCell ref="B3:B4"/>
    <mergeCell ref="C3:C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zoomScale="120" zoomScaleNormal="120" workbookViewId="0">
      <selection activeCell="C33" sqref="C33"/>
    </sheetView>
  </sheetViews>
  <sheetFormatPr defaultColWidth="9" defaultRowHeight="14"/>
  <cols>
    <col min="1" max="1" width="3.37272727272727" style="53" customWidth="1"/>
    <col min="2" max="2" width="14.1272727272727" style="53" customWidth="1"/>
    <col min="3" max="3" width="13.3272727272727" customWidth="1"/>
    <col min="4" max="15" width="7.87272727272727" customWidth="1"/>
  </cols>
  <sheetData>
    <row r="1" spans="1:13">
      <c r="A1" s="60" t="s">
        <v>134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ht="15.4" customHeight="1" spans="12:12">
      <c r="L2" t="s">
        <v>1</v>
      </c>
    </row>
    <row r="3" s="30" customFormat="1" ht="14.1" customHeight="1" spans="1:18">
      <c r="A3" s="61" t="s">
        <v>2</v>
      </c>
      <c r="B3" s="61" t="s">
        <v>83</v>
      </c>
      <c r="C3" s="61" t="s">
        <v>8</v>
      </c>
      <c r="D3" s="36" t="s">
        <v>86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="30" customFormat="1" ht="12" customHeight="1" spans="1:18">
      <c r="A4" s="62"/>
      <c r="B4" s="62"/>
      <c r="C4" s="62"/>
      <c r="D4" s="63">
        <v>0.5</v>
      </c>
      <c r="E4" s="39">
        <v>2</v>
      </c>
      <c r="F4" s="39">
        <v>3</v>
      </c>
      <c r="G4" s="39">
        <v>4</v>
      </c>
      <c r="H4" s="39">
        <v>5</v>
      </c>
      <c r="I4" s="39">
        <v>6</v>
      </c>
      <c r="J4" s="39">
        <v>7</v>
      </c>
      <c r="K4" s="39">
        <v>8</v>
      </c>
      <c r="L4" s="39">
        <v>9</v>
      </c>
      <c r="M4" s="39">
        <v>10</v>
      </c>
      <c r="N4" s="39">
        <v>11</v>
      </c>
      <c r="O4" s="39">
        <v>12</v>
      </c>
      <c r="P4" s="39">
        <v>13</v>
      </c>
      <c r="Q4" s="39">
        <v>14</v>
      </c>
      <c r="R4" s="39">
        <v>15</v>
      </c>
    </row>
    <row r="5" s="31" customFormat="1" ht="15" customHeight="1" spans="1:18">
      <c r="A5" s="44">
        <v>1</v>
      </c>
      <c r="B5" s="45" t="s">
        <v>135</v>
      </c>
      <c r="C5" s="59">
        <f t="shared" ref="C5:C16" si="0">SUM(D5:R5)</f>
        <v>37.7</v>
      </c>
      <c r="D5" s="59">
        <f>2.6*0.5</f>
        <v>1.3</v>
      </c>
      <c r="E5" s="59">
        <f>2.6</f>
        <v>2.6</v>
      </c>
      <c r="F5" s="59">
        <f t="shared" ref="F5:R5" si="1">E5</f>
        <v>2.6</v>
      </c>
      <c r="G5" s="59">
        <f t="shared" si="1"/>
        <v>2.6</v>
      </c>
      <c r="H5" s="59">
        <f t="shared" si="1"/>
        <v>2.6</v>
      </c>
      <c r="I5" s="59">
        <f t="shared" si="1"/>
        <v>2.6</v>
      </c>
      <c r="J5" s="59">
        <f t="shared" si="1"/>
        <v>2.6</v>
      </c>
      <c r="K5" s="59">
        <f t="shared" si="1"/>
        <v>2.6</v>
      </c>
      <c r="L5" s="59">
        <f t="shared" si="1"/>
        <v>2.6</v>
      </c>
      <c r="M5" s="59">
        <f t="shared" si="1"/>
        <v>2.6</v>
      </c>
      <c r="N5" s="59">
        <f t="shared" si="1"/>
        <v>2.6</v>
      </c>
      <c r="O5" s="59">
        <f t="shared" si="1"/>
        <v>2.6</v>
      </c>
      <c r="P5" s="59">
        <f t="shared" si="1"/>
        <v>2.6</v>
      </c>
      <c r="Q5" s="59">
        <f t="shared" si="1"/>
        <v>2.6</v>
      </c>
      <c r="R5" s="59">
        <f t="shared" si="1"/>
        <v>2.6</v>
      </c>
    </row>
    <row r="6" s="31" customFormat="1" ht="15" customHeight="1" spans="1:18">
      <c r="A6" s="44">
        <v>2</v>
      </c>
      <c r="B6" s="45" t="s">
        <v>136</v>
      </c>
      <c r="C6" s="59">
        <f t="shared" si="0"/>
        <v>418.726</v>
      </c>
      <c r="D6" s="59">
        <f>4*7*0.5</f>
        <v>14</v>
      </c>
      <c r="E6" s="59">
        <f>4*7</f>
        <v>28</v>
      </c>
      <c r="F6" s="59">
        <f>E6</f>
        <v>28</v>
      </c>
      <c r="G6" s="59">
        <f>F6</f>
        <v>28</v>
      </c>
      <c r="H6" s="59">
        <f>G6</f>
        <v>28</v>
      </c>
      <c r="I6" s="59">
        <f>H6*1.03</f>
        <v>28.84</v>
      </c>
      <c r="J6" s="59">
        <f>I6</f>
        <v>28.84</v>
      </c>
      <c r="K6" s="59">
        <f>J6</f>
        <v>28.84</v>
      </c>
      <c r="L6" s="59">
        <f>K6</f>
        <v>28.84</v>
      </c>
      <c r="M6" s="59">
        <f>L6</f>
        <v>28.84</v>
      </c>
      <c r="N6" s="59">
        <f>M6*1.03</f>
        <v>29.7052</v>
      </c>
      <c r="O6" s="59">
        <f>N6</f>
        <v>29.7052</v>
      </c>
      <c r="P6" s="59">
        <f>O6</f>
        <v>29.7052</v>
      </c>
      <c r="Q6" s="59">
        <f>P6</f>
        <v>29.7052</v>
      </c>
      <c r="R6" s="59">
        <f>Q6</f>
        <v>29.7052</v>
      </c>
    </row>
    <row r="7" s="31" customFormat="1" ht="15" customHeight="1" spans="1:18">
      <c r="A7" s="44">
        <v>3</v>
      </c>
      <c r="B7" s="45" t="s">
        <v>137</v>
      </c>
      <c r="C7" s="59">
        <f t="shared" si="0"/>
        <v>213.3675</v>
      </c>
      <c r="D7" s="59">
        <v>7.3575</v>
      </c>
      <c r="E7" s="59">
        <v>14.715</v>
      </c>
      <c r="F7" s="59">
        <f t="shared" ref="F7:R7" si="2">E7</f>
        <v>14.715</v>
      </c>
      <c r="G7" s="59">
        <f t="shared" si="2"/>
        <v>14.715</v>
      </c>
      <c r="H7" s="59">
        <f t="shared" si="2"/>
        <v>14.715</v>
      </c>
      <c r="I7" s="59">
        <f t="shared" si="2"/>
        <v>14.715</v>
      </c>
      <c r="J7" s="59">
        <f t="shared" si="2"/>
        <v>14.715</v>
      </c>
      <c r="K7" s="59">
        <f t="shared" si="2"/>
        <v>14.715</v>
      </c>
      <c r="L7" s="59">
        <f t="shared" si="2"/>
        <v>14.715</v>
      </c>
      <c r="M7" s="59">
        <f t="shared" si="2"/>
        <v>14.715</v>
      </c>
      <c r="N7" s="59">
        <f t="shared" si="2"/>
        <v>14.715</v>
      </c>
      <c r="O7" s="59">
        <f t="shared" si="2"/>
        <v>14.715</v>
      </c>
      <c r="P7" s="59">
        <f t="shared" si="2"/>
        <v>14.715</v>
      </c>
      <c r="Q7" s="59">
        <f t="shared" si="2"/>
        <v>14.715</v>
      </c>
      <c r="R7" s="59">
        <f t="shared" si="2"/>
        <v>14.715</v>
      </c>
    </row>
    <row r="8" s="30" customFormat="1" ht="15" customHeight="1" spans="1:18">
      <c r="A8" s="44">
        <v>4</v>
      </c>
      <c r="B8" s="41" t="s">
        <v>138</v>
      </c>
      <c r="C8" s="59">
        <f t="shared" si="0"/>
        <v>491.1135318</v>
      </c>
      <c r="D8" s="57">
        <f>(营业收入及税金表!D7*营业收入及税金表!D9*营业收入及税金表!D10-1000*180)*0.05/10000</f>
        <v>16.6752171</v>
      </c>
      <c r="E8" s="57">
        <f>(营业收入及税金表!E7*营业收入及税金表!E9*营业收入及税金表!E10-1000*360)*0.05/10000</f>
        <v>33.88845105</v>
      </c>
      <c r="F8" s="57">
        <f>(营业收入及税金表!F7*营业收入及税金表!F9*营业收入及税金表!F10-1000*360)*0.05/10000</f>
        <v>33.88845105</v>
      </c>
      <c r="G8" s="57">
        <f>(营业收入及税金表!G7*营业收入及税金表!G9*营业收入及税金表!G10-1000*360)*0.05/10000</f>
        <v>33.88845105</v>
      </c>
      <c r="H8" s="57">
        <f>(营业收入及税金表!H7*营业收入及税金表!H9*营业收入及税金表!H10-1000*360)*0.05/10000</f>
        <v>33.88845105</v>
      </c>
      <c r="I8" s="57">
        <f>(营业收入及税金表!I7*营业收入及税金表!I9*营业收入及税金表!I10-1000*360)*0.05/10000</f>
        <v>33.88845105</v>
      </c>
      <c r="J8" s="57">
        <f>(营业收入及税金表!J7*营业收入及税金表!J9*营业收入及税金表!J10-1000*360)*0.05/10000</f>
        <v>33.88845105</v>
      </c>
      <c r="K8" s="57">
        <f>(营业收入及税金表!K7*营业收入及税金表!K9*营业收入及税金表!K10-1000*360)*0.05/10000</f>
        <v>33.88845105</v>
      </c>
      <c r="L8" s="57">
        <f>(营业收入及税金表!L7*营业收入及税金表!L9*营业收入及税金表!L10-1000*360)*0.05/10000</f>
        <v>33.88845105</v>
      </c>
      <c r="M8" s="57">
        <f>(营业收入及税金表!M7*营业收入及税金表!M9*营业收入及税金表!M10-1000*360)*0.05/10000</f>
        <v>33.88845105</v>
      </c>
      <c r="N8" s="57">
        <f>(营业收入及税金表!N7*营业收入及税金表!N9*营业收入及税金表!N10-1000*360)*0.05/10000</f>
        <v>33.88845105</v>
      </c>
      <c r="O8" s="57">
        <f>(营业收入及税金表!O7*营业收入及税金表!O9*营业收入及税金表!O10-1000*360)*0.05/10000</f>
        <v>33.88845105</v>
      </c>
      <c r="P8" s="57">
        <f>(营业收入及税金表!P7*营业收入及税金表!P9*营业收入及税金表!P10-1000*360)*0.05/10000</f>
        <v>33.88845105</v>
      </c>
      <c r="Q8" s="57">
        <f>(营业收入及税金表!Q7*营业收入及税金表!Q9*营业收入及税金表!Q10-1000*360)*0.05/10000</f>
        <v>33.88845105</v>
      </c>
      <c r="R8" s="57">
        <f>(营业收入及税金表!R7*营业收入及税金表!R9*营业收入及税金表!R10-1000*360)*0.05/10000</f>
        <v>33.88845105</v>
      </c>
    </row>
    <row r="9" s="30" customFormat="1" ht="15" customHeight="1" spans="1:18">
      <c r="A9" s="44">
        <v>6</v>
      </c>
      <c r="B9" s="41" t="s">
        <v>139</v>
      </c>
      <c r="C9" s="59">
        <f t="shared" si="0"/>
        <v>91.575</v>
      </c>
      <c r="D9" s="57">
        <f>6/2</f>
        <v>3</v>
      </c>
      <c r="E9" s="57">
        <v>6</v>
      </c>
      <c r="F9" s="57">
        <v>6</v>
      </c>
      <c r="G9" s="57">
        <v>6</v>
      </c>
      <c r="H9" s="57">
        <f>6</f>
        <v>6</v>
      </c>
      <c r="I9" s="57">
        <f>H9*1.05</f>
        <v>6.3</v>
      </c>
      <c r="J9" s="57">
        <f>I9</f>
        <v>6.3</v>
      </c>
      <c r="K9" s="57">
        <f>J9</f>
        <v>6.3</v>
      </c>
      <c r="L9" s="57">
        <f>K9</f>
        <v>6.3</v>
      </c>
      <c r="M9" s="57">
        <f>L9</f>
        <v>6.3</v>
      </c>
      <c r="N9" s="57">
        <f>M9*1.05</f>
        <v>6.615</v>
      </c>
      <c r="O9" s="57">
        <f>N9</f>
        <v>6.615</v>
      </c>
      <c r="P9" s="57">
        <f>O9</f>
        <v>6.615</v>
      </c>
      <c r="Q9" s="57">
        <f>P9</f>
        <v>6.615</v>
      </c>
      <c r="R9" s="57">
        <f>Q9</f>
        <v>6.615</v>
      </c>
    </row>
    <row r="10" s="30" customFormat="1" ht="21" customHeight="1" spans="1:18">
      <c r="A10" s="44">
        <v>7</v>
      </c>
      <c r="B10" s="41" t="s">
        <v>140</v>
      </c>
      <c r="C10" s="59">
        <f t="shared" si="0"/>
        <v>1252.4820318</v>
      </c>
      <c r="D10" s="64">
        <f t="shared" ref="D10:R10" si="3">SUM(D5:D9)</f>
        <v>42.3327171</v>
      </c>
      <c r="E10" s="64">
        <f t="shared" si="3"/>
        <v>85.20345105</v>
      </c>
      <c r="F10" s="64">
        <f t="shared" si="3"/>
        <v>85.20345105</v>
      </c>
      <c r="G10" s="64">
        <f t="shared" si="3"/>
        <v>85.20345105</v>
      </c>
      <c r="H10" s="64">
        <f t="shared" si="3"/>
        <v>85.20345105</v>
      </c>
      <c r="I10" s="64">
        <f t="shared" si="3"/>
        <v>86.34345105</v>
      </c>
      <c r="J10" s="64">
        <f t="shared" si="3"/>
        <v>86.34345105</v>
      </c>
      <c r="K10" s="64">
        <f t="shared" si="3"/>
        <v>86.34345105</v>
      </c>
      <c r="L10" s="64">
        <f t="shared" si="3"/>
        <v>86.34345105</v>
      </c>
      <c r="M10" s="64">
        <f t="shared" si="3"/>
        <v>86.34345105</v>
      </c>
      <c r="N10" s="64">
        <f t="shared" si="3"/>
        <v>87.52365105</v>
      </c>
      <c r="O10" s="64">
        <f t="shared" si="3"/>
        <v>87.52365105</v>
      </c>
      <c r="P10" s="64">
        <f t="shared" si="3"/>
        <v>87.52365105</v>
      </c>
      <c r="Q10" s="64">
        <f t="shared" si="3"/>
        <v>87.52365105</v>
      </c>
      <c r="R10" s="64">
        <f t="shared" si="3"/>
        <v>87.52365105</v>
      </c>
    </row>
    <row r="11" s="30" customFormat="1" ht="15" customHeight="1" spans="1:18">
      <c r="A11" s="44">
        <v>8</v>
      </c>
      <c r="B11" s="41" t="s">
        <v>91</v>
      </c>
      <c r="C11" s="59">
        <f t="shared" si="0"/>
        <v>2370.00776115151</v>
      </c>
      <c r="D11" s="57">
        <f>固定资产折旧!F9</f>
        <v>81.7244055569487</v>
      </c>
      <c r="E11" s="57">
        <f>固定资产折旧!G9</f>
        <v>163.448811113897</v>
      </c>
      <c r="F11" s="57">
        <f>固定资产折旧!H9</f>
        <v>163.448811113897</v>
      </c>
      <c r="G11" s="57">
        <f>固定资产折旧!I9</f>
        <v>163.448811113897</v>
      </c>
      <c r="H11" s="57">
        <f>固定资产折旧!J9</f>
        <v>163.448811113897</v>
      </c>
      <c r="I11" s="57">
        <f>固定资产折旧!K9</f>
        <v>163.448811113897</v>
      </c>
      <c r="J11" s="57">
        <f>固定资产折旧!L9</f>
        <v>163.448811113897</v>
      </c>
      <c r="K11" s="57">
        <f>固定资产折旧!M9</f>
        <v>163.448811113897</v>
      </c>
      <c r="L11" s="57">
        <f>固定资产折旧!N9</f>
        <v>163.448811113897</v>
      </c>
      <c r="M11" s="57">
        <f>固定资产折旧!O9</f>
        <v>163.448811113897</v>
      </c>
      <c r="N11" s="57">
        <f>固定资产折旧!P9</f>
        <v>163.448811113897</v>
      </c>
      <c r="O11" s="57">
        <f>固定资产折旧!Q9</f>
        <v>163.448811113897</v>
      </c>
      <c r="P11" s="57">
        <f>固定资产折旧!R9</f>
        <v>163.448811113897</v>
      </c>
      <c r="Q11" s="57">
        <f>固定资产折旧!S9</f>
        <v>163.448811113897</v>
      </c>
      <c r="R11" s="57">
        <f>固定资产折旧!T9</f>
        <v>163.448811113897</v>
      </c>
    </row>
    <row r="12" s="30" customFormat="1" ht="15" customHeight="1" spans="1:18">
      <c r="A12" s="40">
        <v>10</v>
      </c>
      <c r="B12" s="41" t="s">
        <v>141</v>
      </c>
      <c r="C12" s="59">
        <f t="shared" si="0"/>
        <v>0</v>
      </c>
      <c r="D12" s="57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</row>
    <row r="13" s="31" customFormat="1" ht="15" customHeight="1" spans="1:18">
      <c r="A13" s="44">
        <v>11</v>
      </c>
      <c r="B13" s="45" t="s">
        <v>142</v>
      </c>
      <c r="C13" s="59">
        <f t="shared" si="0"/>
        <v>1240.092</v>
      </c>
      <c r="D13" s="59">
        <f>还本付息表!E9</f>
        <v>74.844</v>
      </c>
      <c r="E13" s="59">
        <f>还本付息表!F9</f>
        <v>145.152</v>
      </c>
      <c r="F13" s="59">
        <f>还本付息表!G9</f>
        <v>138.6</v>
      </c>
      <c r="G13" s="59">
        <f>还本付息表!H9</f>
        <v>131.544</v>
      </c>
      <c r="H13" s="59">
        <f>还本付息表!I9</f>
        <v>123.48</v>
      </c>
      <c r="I13" s="59">
        <f>还本付息表!J9</f>
        <v>114.408</v>
      </c>
      <c r="J13" s="59">
        <f>还本付息表!K9</f>
        <v>105.336</v>
      </c>
      <c r="K13" s="59">
        <f>还本付息表!L9</f>
        <v>95.76</v>
      </c>
      <c r="L13" s="59">
        <f>还本付息表!M9</f>
        <v>85.68</v>
      </c>
      <c r="M13" s="59">
        <f>还本付息表!N9</f>
        <v>60.48</v>
      </c>
      <c r="N13" s="59">
        <f>还本付息表!O9</f>
        <v>51.408</v>
      </c>
      <c r="O13" s="59">
        <f>还本付息表!P9</f>
        <v>42.336</v>
      </c>
      <c r="P13" s="59">
        <f>还本付息表!Q9</f>
        <v>33.264</v>
      </c>
      <c r="Q13" s="59">
        <f>还本付息表!R9</f>
        <v>24.192</v>
      </c>
      <c r="R13" s="59">
        <f>还本付息表!S9</f>
        <v>13.608</v>
      </c>
    </row>
    <row r="14" s="30" customFormat="1" ht="18.95" customHeight="1" spans="1:18">
      <c r="A14" s="40">
        <v>12</v>
      </c>
      <c r="B14" s="41" t="s">
        <v>143</v>
      </c>
      <c r="C14" s="59">
        <f t="shared" si="0"/>
        <v>4862.58179295151</v>
      </c>
      <c r="D14" s="64">
        <f t="shared" ref="D14:R14" si="4">SUM(D10:D13)</f>
        <v>198.901122656949</v>
      </c>
      <c r="E14" s="64">
        <f t="shared" si="4"/>
        <v>393.804262163897</v>
      </c>
      <c r="F14" s="64">
        <f t="shared" si="4"/>
        <v>387.252262163897</v>
      </c>
      <c r="G14" s="64">
        <f t="shared" si="4"/>
        <v>380.196262163897</v>
      </c>
      <c r="H14" s="64">
        <f t="shared" si="4"/>
        <v>372.132262163897</v>
      </c>
      <c r="I14" s="64">
        <f t="shared" si="4"/>
        <v>364.200262163897</v>
      </c>
      <c r="J14" s="64">
        <f t="shared" si="4"/>
        <v>355.128262163897</v>
      </c>
      <c r="K14" s="64">
        <f t="shared" si="4"/>
        <v>345.552262163897</v>
      </c>
      <c r="L14" s="64">
        <f t="shared" si="4"/>
        <v>335.472262163897</v>
      </c>
      <c r="M14" s="64">
        <f t="shared" si="4"/>
        <v>310.272262163897</v>
      </c>
      <c r="N14" s="64">
        <f t="shared" si="4"/>
        <v>302.380462163897</v>
      </c>
      <c r="O14" s="64">
        <f t="shared" si="4"/>
        <v>293.308462163897</v>
      </c>
      <c r="P14" s="64">
        <f t="shared" si="4"/>
        <v>284.236462163897</v>
      </c>
      <c r="Q14" s="64">
        <f t="shared" si="4"/>
        <v>275.164462163897</v>
      </c>
      <c r="R14" s="64">
        <f t="shared" si="4"/>
        <v>264.580462163897</v>
      </c>
    </row>
    <row r="15" s="30" customFormat="1" ht="15" customHeight="1" spans="1:18">
      <c r="A15" s="65">
        <v>12.1</v>
      </c>
      <c r="B15" s="41" t="s">
        <v>144</v>
      </c>
      <c r="C15" s="59">
        <f t="shared" si="0"/>
        <v>3701.67476115151</v>
      </c>
      <c r="D15" s="64">
        <f t="shared" ref="D15:R15" si="5">D9+D11+D12+D13</f>
        <v>159.568405556949</v>
      </c>
      <c r="E15" s="64">
        <f t="shared" si="5"/>
        <v>314.600811113897</v>
      </c>
      <c r="F15" s="64">
        <f t="shared" si="5"/>
        <v>308.048811113897</v>
      </c>
      <c r="G15" s="64">
        <f t="shared" si="5"/>
        <v>300.992811113897</v>
      </c>
      <c r="H15" s="64">
        <f t="shared" si="5"/>
        <v>292.928811113897</v>
      </c>
      <c r="I15" s="64">
        <f t="shared" si="5"/>
        <v>284.156811113897</v>
      </c>
      <c r="J15" s="64">
        <f t="shared" si="5"/>
        <v>275.084811113897</v>
      </c>
      <c r="K15" s="64">
        <f t="shared" si="5"/>
        <v>265.508811113897</v>
      </c>
      <c r="L15" s="64">
        <f t="shared" si="5"/>
        <v>255.428811113897</v>
      </c>
      <c r="M15" s="64">
        <f t="shared" si="5"/>
        <v>230.228811113897</v>
      </c>
      <c r="N15" s="64">
        <f t="shared" si="5"/>
        <v>221.471811113897</v>
      </c>
      <c r="O15" s="64">
        <f t="shared" si="5"/>
        <v>212.399811113897</v>
      </c>
      <c r="P15" s="64">
        <f t="shared" si="5"/>
        <v>203.327811113897</v>
      </c>
      <c r="Q15" s="64">
        <f t="shared" si="5"/>
        <v>194.255811113897</v>
      </c>
      <c r="R15" s="64">
        <f t="shared" si="5"/>
        <v>183.671811113897</v>
      </c>
    </row>
    <row r="16" s="30" customFormat="1" ht="15" customHeight="1" spans="1:18">
      <c r="A16" s="65">
        <v>12.2</v>
      </c>
      <c r="B16" s="41" t="s">
        <v>145</v>
      </c>
      <c r="C16" s="59">
        <f t="shared" si="0"/>
        <v>669.7935</v>
      </c>
      <c r="D16" s="57">
        <f t="shared" ref="D16:R16" si="6">D5+D6+D7</f>
        <v>22.6575</v>
      </c>
      <c r="E16" s="57">
        <f t="shared" si="6"/>
        <v>45.315</v>
      </c>
      <c r="F16" s="57">
        <f t="shared" si="6"/>
        <v>45.315</v>
      </c>
      <c r="G16" s="57">
        <f t="shared" si="6"/>
        <v>45.315</v>
      </c>
      <c r="H16" s="57">
        <f t="shared" si="6"/>
        <v>45.315</v>
      </c>
      <c r="I16" s="57">
        <f t="shared" si="6"/>
        <v>46.155</v>
      </c>
      <c r="J16" s="57">
        <f t="shared" si="6"/>
        <v>46.155</v>
      </c>
      <c r="K16" s="57">
        <f t="shared" si="6"/>
        <v>46.155</v>
      </c>
      <c r="L16" s="57">
        <f t="shared" si="6"/>
        <v>46.155</v>
      </c>
      <c r="M16" s="57">
        <f t="shared" si="6"/>
        <v>46.155</v>
      </c>
      <c r="N16" s="57">
        <f t="shared" si="6"/>
        <v>47.0202</v>
      </c>
      <c r="O16" s="57">
        <f t="shared" si="6"/>
        <v>47.0202</v>
      </c>
      <c r="P16" s="57">
        <f t="shared" si="6"/>
        <v>47.0202</v>
      </c>
      <c r="Q16" s="57">
        <f t="shared" si="6"/>
        <v>47.0202</v>
      </c>
      <c r="R16" s="57">
        <f t="shared" si="6"/>
        <v>47.0202</v>
      </c>
    </row>
  </sheetData>
  <mergeCells count="5">
    <mergeCell ref="A1:M1"/>
    <mergeCell ref="D3:R3"/>
    <mergeCell ref="A3:A4"/>
    <mergeCell ref="B3:B4"/>
    <mergeCell ref="C3:C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zoomScale="120" zoomScaleNormal="120" topLeftCell="B1" workbookViewId="0">
      <selection activeCell="A1" sqref="A1:M1"/>
    </sheetView>
  </sheetViews>
  <sheetFormatPr defaultColWidth="9" defaultRowHeight="14"/>
  <cols>
    <col min="1" max="1" width="3.62727272727273" customWidth="1"/>
    <col min="2" max="2" width="26.5090909090909" customWidth="1"/>
    <col min="3" max="3" width="9.93636363636364" style="53" customWidth="1"/>
    <col min="4" max="4" width="7.5" style="53" customWidth="1"/>
    <col min="5" max="13" width="8.23636363636364" customWidth="1"/>
    <col min="14" max="14" width="9.07272727272727" customWidth="1"/>
  </cols>
  <sheetData>
    <row r="1" ht="27" customHeight="1" spans="1:13">
      <c r="A1" s="32" t="s">
        <v>146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1:11">
      <c r="K2" t="s">
        <v>1</v>
      </c>
    </row>
    <row r="3" spans="1:18">
      <c r="A3" s="48" t="s">
        <v>2</v>
      </c>
      <c r="B3" s="54"/>
      <c r="C3" s="55"/>
      <c r="D3" s="55" t="s">
        <v>86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>
      <c r="A4" s="48"/>
      <c r="B4" s="41" t="s">
        <v>147</v>
      </c>
      <c r="C4" s="41" t="s">
        <v>8</v>
      </c>
      <c r="D4" s="41">
        <v>0.5</v>
      </c>
      <c r="E4" s="40">
        <v>2</v>
      </c>
      <c r="F4" s="40">
        <v>3</v>
      </c>
      <c r="G4" s="40">
        <v>4</v>
      </c>
      <c r="H4" s="40">
        <v>5</v>
      </c>
      <c r="I4" s="40">
        <v>6</v>
      </c>
      <c r="J4" s="40">
        <v>7</v>
      </c>
      <c r="K4" s="40">
        <v>8</v>
      </c>
      <c r="L4" s="40">
        <v>9</v>
      </c>
      <c r="M4" s="40">
        <v>10</v>
      </c>
      <c r="N4" s="40">
        <v>11</v>
      </c>
      <c r="O4" s="40">
        <v>12</v>
      </c>
      <c r="P4" s="40">
        <v>13</v>
      </c>
      <c r="Q4" s="40">
        <v>14</v>
      </c>
      <c r="R4" s="40">
        <v>15</v>
      </c>
    </row>
    <row r="5" ht="12" customHeight="1" spans="1:18">
      <c r="A5" s="56">
        <v>1</v>
      </c>
      <c r="B5" s="41" t="s">
        <v>94</v>
      </c>
      <c r="C5" s="57">
        <f>SUM(D5:R5)</f>
        <v>6614.48529432</v>
      </c>
      <c r="D5" s="57">
        <f>营业收入及税金表!D5</f>
        <v>220.20519204</v>
      </c>
      <c r="E5" s="57">
        <f>营业收入及税金表!E5</f>
        <v>449.53879302</v>
      </c>
      <c r="F5" s="57">
        <f>营业收入及税金表!F5</f>
        <v>451.99579302</v>
      </c>
      <c r="G5" s="57">
        <f>营业收入及税金表!G5</f>
        <v>454.45279302</v>
      </c>
      <c r="H5" s="57">
        <f>营业收入及税金表!H5</f>
        <v>456.90979302</v>
      </c>
      <c r="I5" s="57">
        <f>营业收入及税金表!I5</f>
        <v>458.13829302</v>
      </c>
      <c r="J5" s="57">
        <f>营业收入及税金表!J5</f>
        <v>458.13829302</v>
      </c>
      <c r="K5" s="57">
        <f>营业收入及税金表!K5</f>
        <v>458.13829302</v>
      </c>
      <c r="L5" s="57">
        <f>营业收入及税金表!L5</f>
        <v>458.13829302</v>
      </c>
      <c r="M5" s="57">
        <f>营业收入及税金表!M5</f>
        <v>458.13829302</v>
      </c>
      <c r="N5" s="57">
        <f>营业收入及税金表!N5</f>
        <v>458.13829302</v>
      </c>
      <c r="O5" s="57">
        <f>营业收入及税金表!O5</f>
        <v>458.13829302</v>
      </c>
      <c r="P5" s="57">
        <f>营业收入及税金表!P5</f>
        <v>458.13829302</v>
      </c>
      <c r="Q5" s="57">
        <f>营业收入及税金表!Q5</f>
        <v>458.13829302</v>
      </c>
      <c r="R5" s="57">
        <f>营业收入及税金表!R5</f>
        <v>458.13829302</v>
      </c>
    </row>
    <row r="6" ht="12" customHeight="1" spans="1:18">
      <c r="A6" s="56">
        <v>2</v>
      </c>
      <c r="B6" s="41" t="s">
        <v>148</v>
      </c>
      <c r="C6" s="57">
        <f>SUM(D6:R6)</f>
        <v>82.48116132616</v>
      </c>
      <c r="D6" s="58">
        <f>营业收入及税金表!D24</f>
        <v>2.77576999652</v>
      </c>
      <c r="E6" s="58">
        <f>营业收入及税金表!E24</f>
        <v>5.65301030926</v>
      </c>
      <c r="F6" s="58">
        <f>营业收入及税金表!F24</f>
        <v>5.66775230926</v>
      </c>
      <c r="G6" s="58">
        <f>营业收入及税金表!G24</f>
        <v>5.68249430926</v>
      </c>
      <c r="H6" s="58">
        <f>营业收入及税金表!H24</f>
        <v>5.69723630926</v>
      </c>
      <c r="I6" s="58">
        <f>营业收入及税金表!I24</f>
        <v>5.70190730926</v>
      </c>
      <c r="J6" s="58">
        <f>营业收入及税金表!J24</f>
        <v>5.70190730926</v>
      </c>
      <c r="K6" s="58">
        <f>营业收入及税金表!K24</f>
        <v>5.70190730926</v>
      </c>
      <c r="L6" s="58">
        <f>营业收入及税金表!L24</f>
        <v>5.70190730926</v>
      </c>
      <c r="M6" s="58">
        <f>营业收入及税金表!M24</f>
        <v>5.70190730926</v>
      </c>
      <c r="N6" s="58">
        <f>营业收入及税金表!N24</f>
        <v>5.69907230926</v>
      </c>
      <c r="O6" s="58">
        <f>营业收入及税金表!O24</f>
        <v>5.69907230926</v>
      </c>
      <c r="P6" s="58">
        <f>营业收入及税金表!P24</f>
        <v>5.69907230926</v>
      </c>
      <c r="Q6" s="58">
        <f>营业收入及税金表!Q24</f>
        <v>5.69907230926</v>
      </c>
      <c r="R6" s="58">
        <f>营业收入及税金表!R24</f>
        <v>5.69907230926</v>
      </c>
    </row>
    <row r="7" ht="12" customHeight="1" spans="1:18">
      <c r="A7" s="56">
        <v>3</v>
      </c>
      <c r="B7" s="41" t="s">
        <v>131</v>
      </c>
      <c r="C7" s="57">
        <f>SUM(D7:R7)</f>
        <v>824.8116132616</v>
      </c>
      <c r="D7" s="57">
        <f>营业收入及税金表!D29</f>
        <v>27.7576999652</v>
      </c>
      <c r="E7" s="57">
        <f>营业收入及税金表!E29</f>
        <v>56.5301030926</v>
      </c>
      <c r="F7" s="57">
        <f>营业收入及税金表!F29</f>
        <v>56.6775230926</v>
      </c>
      <c r="G7" s="57">
        <f>营业收入及税金表!G29</f>
        <v>56.8249430926</v>
      </c>
      <c r="H7" s="57">
        <f>营业收入及税金表!H29</f>
        <v>56.9723630926</v>
      </c>
      <c r="I7" s="57">
        <f>营业收入及税金表!I29</f>
        <v>57.0190730926</v>
      </c>
      <c r="J7" s="57">
        <f>营业收入及税金表!J29</f>
        <v>57.0190730926</v>
      </c>
      <c r="K7" s="57">
        <f>营业收入及税金表!K29</f>
        <v>57.0190730926</v>
      </c>
      <c r="L7" s="57">
        <f>营业收入及税金表!L29</f>
        <v>57.0190730926</v>
      </c>
      <c r="M7" s="57">
        <f>营业收入及税金表!M29</f>
        <v>57.0190730926</v>
      </c>
      <c r="N7" s="57">
        <f>营业收入及税金表!N29</f>
        <v>56.9907230926</v>
      </c>
      <c r="O7" s="57">
        <f>营业收入及税金表!O29</f>
        <v>56.9907230926</v>
      </c>
      <c r="P7" s="57">
        <f>营业收入及税金表!P29</f>
        <v>56.9907230926</v>
      </c>
      <c r="Q7" s="57">
        <f>营业收入及税金表!Q29</f>
        <v>56.9907230926</v>
      </c>
      <c r="R7" s="57">
        <f>营业收入及税金表!R29</f>
        <v>56.9907230926</v>
      </c>
    </row>
    <row r="8" ht="12" customHeight="1" spans="1:18">
      <c r="A8" s="56">
        <v>4</v>
      </c>
      <c r="B8" s="41" t="s">
        <v>149</v>
      </c>
      <c r="C8" s="57">
        <f>SUM(D8:R8)</f>
        <v>4862.58179295151</v>
      </c>
      <c r="D8" s="57">
        <f>总成本费用表!D14</f>
        <v>198.901122656949</v>
      </c>
      <c r="E8" s="57">
        <f>总成本费用表!E14</f>
        <v>393.804262163897</v>
      </c>
      <c r="F8" s="57">
        <f>总成本费用表!F14</f>
        <v>387.252262163897</v>
      </c>
      <c r="G8" s="57">
        <f>总成本费用表!G14</f>
        <v>380.196262163897</v>
      </c>
      <c r="H8" s="57">
        <f>总成本费用表!H14</f>
        <v>372.132262163897</v>
      </c>
      <c r="I8" s="57">
        <f>总成本费用表!I14</f>
        <v>364.200262163897</v>
      </c>
      <c r="J8" s="57">
        <f>总成本费用表!J14</f>
        <v>355.128262163897</v>
      </c>
      <c r="K8" s="57">
        <f>总成本费用表!K14</f>
        <v>345.552262163897</v>
      </c>
      <c r="L8" s="57">
        <f>总成本费用表!L14</f>
        <v>335.472262163897</v>
      </c>
      <c r="M8" s="57">
        <f>总成本费用表!M14</f>
        <v>310.272262163897</v>
      </c>
      <c r="N8" s="57">
        <f>总成本费用表!N14</f>
        <v>302.380462163897</v>
      </c>
      <c r="O8" s="57">
        <f>总成本费用表!O14</f>
        <v>293.308462163897</v>
      </c>
      <c r="P8" s="57">
        <f>总成本费用表!P14</f>
        <v>284.236462163897</v>
      </c>
      <c r="Q8" s="57">
        <f>总成本费用表!Q14</f>
        <v>275.164462163897</v>
      </c>
      <c r="R8" s="57">
        <f>总成本费用表!R14</f>
        <v>264.580462163897</v>
      </c>
    </row>
    <row r="9" ht="12" customHeight="1" spans="1:18">
      <c r="A9" s="56">
        <v>5</v>
      </c>
      <c r="B9" s="41" t="s">
        <v>150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ht="12" customHeight="1" spans="1:18">
      <c r="A10" s="56">
        <v>6</v>
      </c>
      <c r="B10" s="48" t="s">
        <v>151</v>
      </c>
      <c r="C10" s="57">
        <f>SUM(D10:R10)</f>
        <v>844.610726780728</v>
      </c>
      <c r="D10" s="59">
        <f t="shared" ref="D10:R10" si="0">D5-D6-D7-D8+D9</f>
        <v>-9.2294005786687</v>
      </c>
      <c r="E10" s="59">
        <f t="shared" si="0"/>
        <v>-6.44858254575735</v>
      </c>
      <c r="F10" s="59">
        <f t="shared" si="0"/>
        <v>2.39825545424264</v>
      </c>
      <c r="G10" s="57">
        <f t="shared" si="0"/>
        <v>11.7490934542427</v>
      </c>
      <c r="H10" s="57">
        <f t="shared" si="0"/>
        <v>22.1079314542426</v>
      </c>
      <c r="I10" s="57">
        <f t="shared" si="0"/>
        <v>31.2170504542427</v>
      </c>
      <c r="J10" s="57">
        <f t="shared" si="0"/>
        <v>40.2890504542427</v>
      </c>
      <c r="K10" s="57">
        <f t="shared" si="0"/>
        <v>49.8650504542426</v>
      </c>
      <c r="L10" s="57">
        <f t="shared" si="0"/>
        <v>59.9450504542426</v>
      </c>
      <c r="M10" s="57">
        <f t="shared" si="0"/>
        <v>85.1450504542427</v>
      </c>
      <c r="N10" s="57">
        <f t="shared" si="0"/>
        <v>93.0680354542426</v>
      </c>
      <c r="O10" s="57">
        <f t="shared" si="0"/>
        <v>102.140035454243</v>
      </c>
      <c r="P10" s="57">
        <f t="shared" si="0"/>
        <v>111.212035454243</v>
      </c>
      <c r="Q10" s="57">
        <f t="shared" si="0"/>
        <v>120.284035454243</v>
      </c>
      <c r="R10" s="57">
        <f t="shared" si="0"/>
        <v>130.868035454243</v>
      </c>
    </row>
    <row r="11" ht="12" customHeight="1" spans="1:18">
      <c r="A11" s="56">
        <v>7</v>
      </c>
      <c r="B11" s="48" t="s">
        <v>152</v>
      </c>
      <c r="C11" s="57"/>
      <c r="D11" s="59"/>
      <c r="E11" s="59">
        <v>1.22</v>
      </c>
      <c r="F11" s="59">
        <v>4.9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</row>
    <row r="12" ht="12" customHeight="1" spans="1:18">
      <c r="A12" s="56">
        <v>8</v>
      </c>
      <c r="B12" s="48" t="s">
        <v>153</v>
      </c>
      <c r="C12" s="57">
        <f t="shared" ref="C12:C18" si="1">SUM(D12:R12)</f>
        <v>847.720127359397</v>
      </c>
      <c r="D12" s="57">
        <v>0</v>
      </c>
      <c r="E12" s="57">
        <f t="shared" ref="E12:R12" si="2">E10-E11</f>
        <v>-7.66858254575735</v>
      </c>
      <c r="F12" s="57">
        <f t="shared" si="2"/>
        <v>-2.50174454575736</v>
      </c>
      <c r="G12" s="57">
        <f t="shared" si="2"/>
        <v>11.7490934542427</v>
      </c>
      <c r="H12" s="57">
        <f t="shared" si="2"/>
        <v>22.1079314542426</v>
      </c>
      <c r="I12" s="57">
        <f t="shared" si="2"/>
        <v>31.2170504542427</v>
      </c>
      <c r="J12" s="57">
        <f t="shared" si="2"/>
        <v>40.2890504542427</v>
      </c>
      <c r="K12" s="57">
        <f t="shared" si="2"/>
        <v>49.8650504542426</v>
      </c>
      <c r="L12" s="57">
        <f t="shared" si="2"/>
        <v>59.9450504542426</v>
      </c>
      <c r="M12" s="57">
        <f t="shared" si="2"/>
        <v>85.1450504542427</v>
      </c>
      <c r="N12" s="57">
        <f t="shared" si="2"/>
        <v>93.0680354542426</v>
      </c>
      <c r="O12" s="57">
        <f t="shared" si="2"/>
        <v>102.140035454243</v>
      </c>
      <c r="P12" s="57">
        <f t="shared" si="2"/>
        <v>111.212035454243</v>
      </c>
      <c r="Q12" s="57">
        <f t="shared" si="2"/>
        <v>120.284035454243</v>
      </c>
      <c r="R12" s="57">
        <f t="shared" si="2"/>
        <v>130.868035454243</v>
      </c>
    </row>
    <row r="13" ht="12" customHeight="1" spans="1:18">
      <c r="A13" s="56">
        <v>9</v>
      </c>
      <c r="B13" s="41" t="s">
        <v>154</v>
      </c>
      <c r="C13" s="57">
        <f t="shared" si="1"/>
        <v>211.930031839849</v>
      </c>
      <c r="D13" s="59">
        <f t="shared" ref="D13:R13" si="3">D12*0.25</f>
        <v>0</v>
      </c>
      <c r="E13" s="59">
        <f t="shared" si="3"/>
        <v>-1.91714563643934</v>
      </c>
      <c r="F13" s="59">
        <f t="shared" si="3"/>
        <v>-0.625436136439339</v>
      </c>
      <c r="G13" s="59">
        <f t="shared" si="3"/>
        <v>2.93727336356066</v>
      </c>
      <c r="H13" s="59">
        <f t="shared" si="3"/>
        <v>5.52698286356065</v>
      </c>
      <c r="I13" s="57">
        <f t="shared" si="3"/>
        <v>7.80426261356067</v>
      </c>
      <c r="J13" s="57">
        <f t="shared" si="3"/>
        <v>10.0722626135607</v>
      </c>
      <c r="K13" s="57">
        <f t="shared" si="3"/>
        <v>12.4662626135607</v>
      </c>
      <c r="L13" s="57">
        <f t="shared" si="3"/>
        <v>14.9862626135607</v>
      </c>
      <c r="M13" s="57">
        <f t="shared" si="3"/>
        <v>21.2862626135607</v>
      </c>
      <c r="N13" s="57">
        <f t="shared" si="3"/>
        <v>23.2670088635607</v>
      </c>
      <c r="O13" s="57">
        <f t="shared" si="3"/>
        <v>25.5350088635607</v>
      </c>
      <c r="P13" s="57">
        <f t="shared" si="3"/>
        <v>27.8030088635607</v>
      </c>
      <c r="Q13" s="57">
        <f t="shared" si="3"/>
        <v>30.0710088635607</v>
      </c>
      <c r="R13" s="57">
        <f t="shared" si="3"/>
        <v>32.7170088635607</v>
      </c>
    </row>
    <row r="14" ht="12" customHeight="1" spans="1:18">
      <c r="A14" s="56">
        <v>10</v>
      </c>
      <c r="B14" s="48" t="s">
        <v>155</v>
      </c>
      <c r="C14" s="57">
        <f t="shared" si="1"/>
        <v>626.560694940879</v>
      </c>
      <c r="D14" s="59">
        <f t="shared" ref="D14:R14" si="4">D10-D11-D13</f>
        <v>-9.2294005786687</v>
      </c>
      <c r="E14" s="59">
        <f t="shared" si="4"/>
        <v>-5.75143690931801</v>
      </c>
      <c r="F14" s="59">
        <f t="shared" si="4"/>
        <v>-1.87630840931802</v>
      </c>
      <c r="G14" s="59">
        <f t="shared" si="4"/>
        <v>8.81182009068199</v>
      </c>
      <c r="H14" s="59">
        <f t="shared" si="4"/>
        <v>16.5809485906819</v>
      </c>
      <c r="I14" s="59">
        <f t="shared" si="4"/>
        <v>23.412787840682</v>
      </c>
      <c r="J14" s="59">
        <f t="shared" si="4"/>
        <v>30.216787840682</v>
      </c>
      <c r="K14" s="59">
        <f t="shared" si="4"/>
        <v>37.398787840682</v>
      </c>
      <c r="L14" s="59">
        <f t="shared" si="4"/>
        <v>44.958787840682</v>
      </c>
      <c r="M14" s="59">
        <f t="shared" si="4"/>
        <v>63.858787840682</v>
      </c>
      <c r="N14" s="59">
        <f t="shared" si="4"/>
        <v>69.801026590682</v>
      </c>
      <c r="O14" s="59">
        <f t="shared" si="4"/>
        <v>76.605026590682</v>
      </c>
      <c r="P14" s="59">
        <f t="shared" si="4"/>
        <v>83.409026590682</v>
      </c>
      <c r="Q14" s="59">
        <f t="shared" si="4"/>
        <v>90.213026590682</v>
      </c>
      <c r="R14" s="59">
        <f t="shared" si="4"/>
        <v>98.151026590682</v>
      </c>
    </row>
    <row r="15" ht="12" customHeight="1" spans="1:18">
      <c r="A15" s="56">
        <v>11</v>
      </c>
      <c r="B15" s="48" t="s">
        <v>156</v>
      </c>
      <c r="C15" s="57">
        <f t="shared" si="1"/>
        <v>1969.68322256063</v>
      </c>
      <c r="D15" s="59">
        <v>0</v>
      </c>
      <c r="E15" s="59">
        <f t="shared" ref="E15:R15" si="5">D24</f>
        <v>-8.30646052080183</v>
      </c>
      <c r="F15" s="59">
        <f t="shared" si="5"/>
        <v>-12.262753739188</v>
      </c>
      <c r="G15" s="59">
        <f t="shared" si="5"/>
        <v>-9.05143130757425</v>
      </c>
      <c r="H15" s="59">
        <f t="shared" si="5"/>
        <v>-1.12079322596046</v>
      </c>
      <c r="I15" s="59">
        <f t="shared" si="5"/>
        <v>13.8020605056533</v>
      </c>
      <c r="J15" s="59">
        <f t="shared" si="5"/>
        <v>34.8735695622671</v>
      </c>
      <c r="K15" s="59">
        <f t="shared" si="5"/>
        <v>62.0686786188809</v>
      </c>
      <c r="L15" s="59">
        <f t="shared" si="5"/>
        <v>95.7275876754947</v>
      </c>
      <c r="M15" s="59">
        <f t="shared" si="5"/>
        <v>136.190496732108</v>
      </c>
      <c r="N15" s="59">
        <f t="shared" si="5"/>
        <v>193.663405788722</v>
      </c>
      <c r="O15" s="59">
        <f t="shared" si="5"/>
        <v>256.484329720336</v>
      </c>
      <c r="P15" s="59">
        <f t="shared" si="5"/>
        <v>325.42885365195</v>
      </c>
      <c r="Q15" s="59">
        <f t="shared" si="5"/>
        <v>400.496977583564</v>
      </c>
      <c r="R15" s="59">
        <f t="shared" si="5"/>
        <v>481.688701515177</v>
      </c>
    </row>
    <row r="16" ht="12" customHeight="1" spans="1:18">
      <c r="A16" s="56">
        <v>12</v>
      </c>
      <c r="B16" s="48" t="s">
        <v>157</v>
      </c>
      <c r="C16" s="57">
        <f t="shared" si="1"/>
        <v>2602.36391750151</v>
      </c>
      <c r="D16" s="59">
        <f t="shared" ref="D16:R16" si="6">D14+D15+D11</f>
        <v>-9.2294005786687</v>
      </c>
      <c r="E16" s="59">
        <f t="shared" si="6"/>
        <v>-12.8378974301198</v>
      </c>
      <c r="F16" s="59">
        <f t="shared" si="6"/>
        <v>-9.23906214850606</v>
      </c>
      <c r="G16" s="59">
        <f t="shared" si="6"/>
        <v>-0.239611216892264</v>
      </c>
      <c r="H16" s="59">
        <f t="shared" si="6"/>
        <v>15.4601553647215</v>
      </c>
      <c r="I16" s="59">
        <f t="shared" si="6"/>
        <v>37.2148483463353</v>
      </c>
      <c r="J16" s="59">
        <f t="shared" si="6"/>
        <v>65.0903574029491</v>
      </c>
      <c r="K16" s="59">
        <f t="shared" si="6"/>
        <v>99.4674664595629</v>
      </c>
      <c r="L16" s="59">
        <f t="shared" si="6"/>
        <v>140.686375516177</v>
      </c>
      <c r="M16" s="59">
        <f t="shared" si="6"/>
        <v>200.04928457279</v>
      </c>
      <c r="N16" s="59">
        <f t="shared" si="6"/>
        <v>263.464432379404</v>
      </c>
      <c r="O16" s="59">
        <f t="shared" si="6"/>
        <v>333.089356311018</v>
      </c>
      <c r="P16" s="59">
        <f t="shared" si="6"/>
        <v>408.837880242632</v>
      </c>
      <c r="Q16" s="59">
        <f t="shared" si="6"/>
        <v>490.710004174246</v>
      </c>
      <c r="R16" s="59">
        <f t="shared" si="6"/>
        <v>579.839728105859</v>
      </c>
    </row>
    <row r="17" ht="12" customHeight="1" spans="1:18">
      <c r="A17" s="56">
        <v>13</v>
      </c>
      <c r="B17" s="48" t="s">
        <v>158</v>
      </c>
      <c r="C17" s="57">
        <f t="shared" si="1"/>
        <v>62.6560694940879</v>
      </c>
      <c r="D17" s="59">
        <f t="shared" ref="D17:R17" si="7">D14*0.1</f>
        <v>-0.92294005786687</v>
      </c>
      <c r="E17" s="59">
        <f t="shared" si="7"/>
        <v>-0.575143690931801</v>
      </c>
      <c r="F17" s="59">
        <f t="shared" si="7"/>
        <v>-0.187630840931802</v>
      </c>
      <c r="G17" s="59">
        <f t="shared" si="7"/>
        <v>0.881182009068199</v>
      </c>
      <c r="H17" s="59">
        <f t="shared" si="7"/>
        <v>1.65809485906819</v>
      </c>
      <c r="I17" s="59">
        <f t="shared" si="7"/>
        <v>2.3412787840682</v>
      </c>
      <c r="J17" s="59">
        <f t="shared" si="7"/>
        <v>3.0216787840682</v>
      </c>
      <c r="K17" s="59">
        <f t="shared" si="7"/>
        <v>3.7398787840682</v>
      </c>
      <c r="L17" s="59">
        <f t="shared" si="7"/>
        <v>4.4958787840682</v>
      </c>
      <c r="M17" s="59">
        <f t="shared" si="7"/>
        <v>6.3858787840682</v>
      </c>
      <c r="N17" s="59">
        <f t="shared" si="7"/>
        <v>6.9801026590682</v>
      </c>
      <c r="O17" s="59">
        <f t="shared" si="7"/>
        <v>7.6605026590682</v>
      </c>
      <c r="P17" s="59">
        <f t="shared" si="7"/>
        <v>8.3409026590682</v>
      </c>
      <c r="Q17" s="59">
        <f t="shared" si="7"/>
        <v>9.0213026590682</v>
      </c>
      <c r="R17" s="59">
        <f t="shared" si="7"/>
        <v>9.8151026590682</v>
      </c>
    </row>
    <row r="18" ht="12" customHeight="1" spans="1:18">
      <c r="A18" s="56">
        <v>14</v>
      </c>
      <c r="B18" s="41" t="s">
        <v>159</v>
      </c>
      <c r="C18" s="57">
        <f t="shared" si="1"/>
        <v>2539.70784800742</v>
      </c>
      <c r="D18" s="57">
        <f t="shared" ref="D18:R18" si="8">D16-D17</f>
        <v>-8.30646052080183</v>
      </c>
      <c r="E18" s="57">
        <f t="shared" si="8"/>
        <v>-12.262753739188</v>
      </c>
      <c r="F18" s="57">
        <f t="shared" si="8"/>
        <v>-9.05143130757425</v>
      </c>
      <c r="G18" s="57">
        <f t="shared" si="8"/>
        <v>-1.12079322596046</v>
      </c>
      <c r="H18" s="57">
        <f t="shared" si="8"/>
        <v>13.8020605056533</v>
      </c>
      <c r="I18" s="57">
        <f t="shared" si="8"/>
        <v>34.8735695622671</v>
      </c>
      <c r="J18" s="57">
        <f t="shared" si="8"/>
        <v>62.0686786188809</v>
      </c>
      <c r="K18" s="57">
        <f t="shared" si="8"/>
        <v>95.7275876754947</v>
      </c>
      <c r="L18" s="57">
        <f t="shared" si="8"/>
        <v>136.190496732108</v>
      </c>
      <c r="M18" s="57">
        <f t="shared" si="8"/>
        <v>193.663405788722</v>
      </c>
      <c r="N18" s="57">
        <f t="shared" si="8"/>
        <v>256.484329720336</v>
      </c>
      <c r="O18" s="57">
        <f t="shared" si="8"/>
        <v>325.42885365195</v>
      </c>
      <c r="P18" s="57">
        <f t="shared" si="8"/>
        <v>400.496977583564</v>
      </c>
      <c r="Q18" s="57">
        <f t="shared" si="8"/>
        <v>481.688701515177</v>
      </c>
      <c r="R18" s="57">
        <f t="shared" si="8"/>
        <v>570.024625446791</v>
      </c>
    </row>
    <row r="19" ht="12" customHeight="1" spans="1:18">
      <c r="A19" s="56">
        <v>15</v>
      </c>
      <c r="B19" s="48" t="s">
        <v>160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ht="12" customHeight="1" spans="1:18">
      <c r="A20" s="56">
        <v>16</v>
      </c>
      <c r="B20" s="48" t="s">
        <v>161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ht="12" customHeight="1" spans="1:18">
      <c r="A21" s="56">
        <v>17</v>
      </c>
      <c r="B21" s="48" t="s">
        <v>162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ht="12" customHeight="1" spans="1:18">
      <c r="A22" s="56">
        <v>18</v>
      </c>
      <c r="B22" s="48" t="s">
        <v>163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ht="12" customHeight="1" spans="1:18">
      <c r="A23" s="56"/>
      <c r="B23" s="48" t="s">
        <v>164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</row>
    <row r="24" ht="12" customHeight="1" spans="1:18">
      <c r="A24" s="56">
        <v>19</v>
      </c>
      <c r="B24" s="41" t="s">
        <v>165</v>
      </c>
      <c r="C24" s="57">
        <f>SUM(D24:R24)</f>
        <v>2539.70784800742</v>
      </c>
      <c r="D24" s="57">
        <f t="shared" ref="D24:R24" si="9">D18-D19-D20-D21-D22</f>
        <v>-8.30646052080183</v>
      </c>
      <c r="E24" s="57">
        <f t="shared" si="9"/>
        <v>-12.262753739188</v>
      </c>
      <c r="F24" s="57">
        <f t="shared" si="9"/>
        <v>-9.05143130757425</v>
      </c>
      <c r="G24" s="57">
        <f t="shared" si="9"/>
        <v>-1.12079322596046</v>
      </c>
      <c r="H24" s="57">
        <f t="shared" si="9"/>
        <v>13.8020605056533</v>
      </c>
      <c r="I24" s="57">
        <f t="shared" si="9"/>
        <v>34.8735695622671</v>
      </c>
      <c r="J24" s="57">
        <f t="shared" si="9"/>
        <v>62.0686786188809</v>
      </c>
      <c r="K24" s="57">
        <f t="shared" si="9"/>
        <v>95.7275876754947</v>
      </c>
      <c r="L24" s="57">
        <f t="shared" si="9"/>
        <v>136.190496732108</v>
      </c>
      <c r="M24" s="57">
        <f t="shared" si="9"/>
        <v>193.663405788722</v>
      </c>
      <c r="N24" s="57">
        <f t="shared" si="9"/>
        <v>256.484329720336</v>
      </c>
      <c r="O24" s="57">
        <f t="shared" si="9"/>
        <v>325.42885365195</v>
      </c>
      <c r="P24" s="57">
        <f t="shared" si="9"/>
        <v>400.496977583564</v>
      </c>
      <c r="Q24" s="57">
        <f t="shared" si="9"/>
        <v>481.688701515177</v>
      </c>
      <c r="R24" s="57">
        <f t="shared" si="9"/>
        <v>570.024625446791</v>
      </c>
    </row>
    <row r="25" ht="12" customHeight="1" spans="1:18">
      <c r="A25" s="56">
        <v>20</v>
      </c>
      <c r="B25" s="41" t="s">
        <v>166</v>
      </c>
      <c r="C25" s="57">
        <f>SUM(D25:R25)</f>
        <v>2084.70272678073</v>
      </c>
      <c r="D25" s="57">
        <f>D10+总成本费用表!D13</f>
        <v>65.6145994213313</v>
      </c>
      <c r="E25" s="57">
        <f>E10+总成本费用表!E13</f>
        <v>138.703417454243</v>
      </c>
      <c r="F25" s="57">
        <f>F10+总成本费用表!F13</f>
        <v>140.998255454243</v>
      </c>
      <c r="G25" s="57">
        <f>G10+总成本费用表!G13</f>
        <v>143.293093454243</v>
      </c>
      <c r="H25" s="57">
        <f>H10+总成本费用表!H13</f>
        <v>145.587931454243</v>
      </c>
      <c r="I25" s="57">
        <f>I10+总成本费用表!I13</f>
        <v>145.625050454243</v>
      </c>
      <c r="J25" s="57">
        <f>J10+总成本费用表!J13</f>
        <v>145.625050454243</v>
      </c>
      <c r="K25" s="57">
        <f>K10+总成本费用表!K13</f>
        <v>145.625050454243</v>
      </c>
      <c r="L25" s="57">
        <f>L10+总成本费用表!L13</f>
        <v>145.625050454243</v>
      </c>
      <c r="M25" s="57">
        <f>M10+总成本费用表!M13</f>
        <v>145.625050454243</v>
      </c>
      <c r="N25" s="57">
        <f>N10+总成本费用表!N13</f>
        <v>144.476035454243</v>
      </c>
      <c r="O25" s="57">
        <f>O10+总成本费用表!O13</f>
        <v>144.476035454243</v>
      </c>
      <c r="P25" s="57">
        <f>P10+总成本费用表!P13</f>
        <v>144.476035454243</v>
      </c>
      <c r="Q25" s="57">
        <f>Q10+总成本费用表!Q13</f>
        <v>144.476035454243</v>
      </c>
      <c r="R25" s="57">
        <f>R10+总成本费用表!R13</f>
        <v>144.476035454243</v>
      </c>
    </row>
    <row r="26" ht="18" customHeight="1" spans="1:18">
      <c r="A26" s="56">
        <v>21</v>
      </c>
      <c r="B26" s="41" t="s">
        <v>167</v>
      </c>
      <c r="C26" s="57">
        <f>SUM(D26:R26)</f>
        <v>4454.71048793224</v>
      </c>
      <c r="D26" s="57">
        <f>D25+总成本费用表!D11+总成本费用表!D12</f>
        <v>147.33900497828</v>
      </c>
      <c r="E26" s="57">
        <f>E25+总成本费用表!E11+总成本费用表!E12</f>
        <v>302.15222856814</v>
      </c>
      <c r="F26" s="57">
        <f>F25+总成本费用表!F11+总成本费用表!F12</f>
        <v>304.44706656814</v>
      </c>
      <c r="G26" s="57">
        <f>G25+总成本费用表!G11+总成本费用表!G12</f>
        <v>306.74190456814</v>
      </c>
      <c r="H26" s="57">
        <f>H25+总成本费用表!H11+总成本费用表!H12</f>
        <v>309.03674256814</v>
      </c>
      <c r="I26" s="57">
        <f>I25+总成本费用表!I11+总成本费用表!I12</f>
        <v>309.07386156814</v>
      </c>
      <c r="J26" s="57">
        <f>J25+总成本费用表!J11+总成本费用表!J12</f>
        <v>309.07386156814</v>
      </c>
      <c r="K26" s="57">
        <f>K25+总成本费用表!K11+总成本费用表!K12</f>
        <v>309.07386156814</v>
      </c>
      <c r="L26" s="57">
        <f>L25+总成本费用表!L11+总成本费用表!L12</f>
        <v>309.07386156814</v>
      </c>
      <c r="M26" s="57">
        <f>M25+总成本费用表!M11+总成本费用表!M12</f>
        <v>309.07386156814</v>
      </c>
      <c r="N26" s="57">
        <f>N25+总成本费用表!N11+总成本费用表!N12</f>
        <v>307.92484656814</v>
      </c>
      <c r="O26" s="57">
        <f>O25+总成本费用表!O11+总成本费用表!O12</f>
        <v>307.92484656814</v>
      </c>
      <c r="P26" s="57">
        <f>P25+总成本费用表!P11+总成本费用表!P12</f>
        <v>307.92484656814</v>
      </c>
      <c r="Q26" s="57">
        <f>Q25+总成本费用表!Q11+总成本费用表!Q12</f>
        <v>307.92484656814</v>
      </c>
      <c r="R26" s="57">
        <f>R25+总成本费用表!R11+总成本费用表!R12</f>
        <v>307.92484656814</v>
      </c>
    </row>
  </sheetData>
  <mergeCells count="3">
    <mergeCell ref="A1:M1"/>
    <mergeCell ref="D3:R3"/>
    <mergeCell ref="A3:A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zoomScale="120" zoomScaleNormal="120" workbookViewId="0">
      <selection activeCell="A1" sqref="A1:M1"/>
    </sheetView>
  </sheetViews>
  <sheetFormatPr defaultColWidth="9" defaultRowHeight="14"/>
  <cols>
    <col min="1" max="1" width="4.12727272727273" customWidth="1"/>
    <col min="2" max="2" width="17.5545454545455" customWidth="1"/>
    <col min="3" max="3" width="9.62727272727273" customWidth="1"/>
    <col min="4" max="15" width="8.23636363636364" customWidth="1"/>
  </cols>
  <sheetData>
    <row r="1" ht="17.85" customHeight="1" spans="1:13">
      <c r="A1" s="32" t="s">
        <v>168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3:13">
      <c r="M2" t="s">
        <v>1</v>
      </c>
    </row>
    <row r="3" s="30" customFormat="1" ht="15" customHeight="1" spans="1:18">
      <c r="A3" s="34" t="s">
        <v>2</v>
      </c>
      <c r="B3" s="35" t="s">
        <v>169</v>
      </c>
      <c r="C3" s="35" t="s">
        <v>8</v>
      </c>
      <c r="D3" s="36" t="s">
        <v>170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="30" customFormat="1" ht="15" customHeight="1" spans="1:18">
      <c r="A4" s="34"/>
      <c r="B4" s="37"/>
      <c r="C4" s="38"/>
      <c r="D4" s="39">
        <v>1</v>
      </c>
      <c r="E4" s="39">
        <v>2</v>
      </c>
      <c r="F4" s="39">
        <v>3</v>
      </c>
      <c r="G4" s="39">
        <v>4</v>
      </c>
      <c r="H4" s="39">
        <v>5</v>
      </c>
      <c r="I4" s="39">
        <v>6</v>
      </c>
      <c r="J4" s="39">
        <v>7</v>
      </c>
      <c r="K4" s="39">
        <v>8</v>
      </c>
      <c r="L4" s="39">
        <v>9</v>
      </c>
      <c r="M4" s="39">
        <v>10</v>
      </c>
      <c r="N4" s="39">
        <v>11</v>
      </c>
      <c r="O4" s="39">
        <v>12</v>
      </c>
      <c r="P4" s="39">
        <v>13</v>
      </c>
      <c r="Q4" s="39">
        <v>14</v>
      </c>
      <c r="R4" s="39">
        <v>15</v>
      </c>
    </row>
    <row r="5" s="30" customFormat="1" ht="15" customHeight="1" spans="1:18">
      <c r="A5" s="40">
        <v>1</v>
      </c>
      <c r="B5" s="41" t="s">
        <v>171</v>
      </c>
      <c r="C5" s="42">
        <f>SUM(D5:R5)</f>
        <v>8025.82654679248</v>
      </c>
      <c r="D5" s="43">
        <f t="shared" ref="D5:R5" si="0">D6+D7+D8+D9</f>
        <v>560.52660326616</v>
      </c>
      <c r="E5" s="43">
        <f t="shared" si="0"/>
        <v>449.53879302</v>
      </c>
      <c r="F5" s="43">
        <f t="shared" si="0"/>
        <v>451.99579302</v>
      </c>
      <c r="G5" s="43">
        <f t="shared" si="0"/>
        <v>454.45279302</v>
      </c>
      <c r="H5" s="43">
        <f t="shared" si="0"/>
        <v>456.90979302</v>
      </c>
      <c r="I5" s="43">
        <f t="shared" si="0"/>
        <v>458.13829302</v>
      </c>
      <c r="J5" s="43">
        <f t="shared" si="0"/>
        <v>458.13829302</v>
      </c>
      <c r="K5" s="43">
        <f t="shared" si="0"/>
        <v>458.13829302</v>
      </c>
      <c r="L5" s="43">
        <f t="shared" si="0"/>
        <v>458.13829302</v>
      </c>
      <c r="M5" s="43">
        <f t="shared" si="0"/>
        <v>458.13829302</v>
      </c>
      <c r="N5" s="43">
        <f t="shared" si="0"/>
        <v>458.13829302</v>
      </c>
      <c r="O5" s="43">
        <f t="shared" si="0"/>
        <v>458.13829302</v>
      </c>
      <c r="P5" s="43">
        <f t="shared" si="0"/>
        <v>458.13829302</v>
      </c>
      <c r="Q5" s="43">
        <f t="shared" si="0"/>
        <v>458.13829302</v>
      </c>
      <c r="R5" s="43">
        <f t="shared" si="0"/>
        <v>1529.15813426633</v>
      </c>
    </row>
    <row r="6" s="30" customFormat="1" ht="15" customHeight="1" spans="1:18">
      <c r="A6" s="40">
        <v>1.1</v>
      </c>
      <c r="B6" s="41" t="s">
        <v>94</v>
      </c>
      <c r="C6" s="42">
        <f>SUM(D6:R6)</f>
        <v>6614.48529432</v>
      </c>
      <c r="D6" s="43">
        <f>营业收入及税金表!D5</f>
        <v>220.20519204</v>
      </c>
      <c r="E6" s="43">
        <f>营业收入及税金表!E5</f>
        <v>449.53879302</v>
      </c>
      <c r="F6" s="43">
        <f>营业收入及税金表!F5</f>
        <v>451.99579302</v>
      </c>
      <c r="G6" s="43">
        <f>营业收入及税金表!G5</f>
        <v>454.45279302</v>
      </c>
      <c r="H6" s="43">
        <f>营业收入及税金表!H5</f>
        <v>456.90979302</v>
      </c>
      <c r="I6" s="43">
        <f>营业收入及税金表!I5</f>
        <v>458.13829302</v>
      </c>
      <c r="J6" s="43">
        <f>营业收入及税金表!J5</f>
        <v>458.13829302</v>
      </c>
      <c r="K6" s="43">
        <f>营业收入及税金表!K5</f>
        <v>458.13829302</v>
      </c>
      <c r="L6" s="43">
        <f>营业收入及税金表!L5</f>
        <v>458.13829302</v>
      </c>
      <c r="M6" s="43">
        <f>营业收入及税金表!M5</f>
        <v>458.13829302</v>
      </c>
      <c r="N6" s="43">
        <f>营业收入及税金表!N5</f>
        <v>458.13829302</v>
      </c>
      <c r="O6" s="43">
        <f>营业收入及税金表!O5</f>
        <v>458.13829302</v>
      </c>
      <c r="P6" s="43">
        <f>营业收入及税金表!P5</f>
        <v>458.13829302</v>
      </c>
      <c r="Q6" s="43">
        <f>营业收入及税金表!Q5</f>
        <v>458.13829302</v>
      </c>
      <c r="R6" s="43">
        <f>营业收入及税金表!R5</f>
        <v>458.13829302</v>
      </c>
    </row>
    <row r="7" s="31" customFormat="1" ht="15" customHeight="1" spans="1:18">
      <c r="A7" s="44">
        <v>1.2</v>
      </c>
      <c r="B7" s="45" t="s">
        <v>172</v>
      </c>
      <c r="C7" s="42">
        <f>SUM(D7:R7)</f>
        <v>340.32141122616</v>
      </c>
      <c r="D7" s="46">
        <f>D11*0.09</f>
        <v>340.32141122616</v>
      </c>
      <c r="E7" s="46"/>
      <c r="F7" s="47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="30" customFormat="1" ht="15" customHeight="1" spans="1:18">
      <c r="A8" s="40">
        <v>1.3</v>
      </c>
      <c r="B8" s="41" t="s">
        <v>173</v>
      </c>
      <c r="C8" s="42">
        <f>SUM(D8:R8)</f>
        <v>1071.01984124633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>
        <f>固定资产折旧!T8</f>
        <v>1071.01984124633</v>
      </c>
    </row>
    <row r="9" s="30" customFormat="1" ht="15" customHeight="1" spans="1:18">
      <c r="A9" s="40">
        <v>1.4</v>
      </c>
      <c r="B9" s="41" t="s">
        <v>174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="30" customFormat="1" ht="15" customHeight="1" spans="1:18">
      <c r="A10" s="40">
        <v>2</v>
      </c>
      <c r="B10" s="41" t="s">
        <v>175</v>
      </c>
      <c r="C10" s="42">
        <f>SUM(D10:R10)</f>
        <v>5941.12382001176</v>
      </c>
      <c r="D10" s="43">
        <f t="shared" ref="D10:R10" si="1">D11+D12+D13+D14+D15+D16</f>
        <v>3854.21520068572</v>
      </c>
      <c r="E10" s="43">
        <f t="shared" si="1"/>
        <v>147.38656445186</v>
      </c>
      <c r="F10" s="43">
        <f t="shared" si="1"/>
        <v>147.54872645186</v>
      </c>
      <c r="G10" s="43">
        <f t="shared" si="1"/>
        <v>147.71088845186</v>
      </c>
      <c r="H10" s="43">
        <f t="shared" si="1"/>
        <v>147.87305045186</v>
      </c>
      <c r="I10" s="43">
        <f t="shared" si="1"/>
        <v>149.06443145186</v>
      </c>
      <c r="J10" s="43">
        <f t="shared" si="1"/>
        <v>149.06443145186</v>
      </c>
      <c r="K10" s="43">
        <f t="shared" si="1"/>
        <v>149.06443145186</v>
      </c>
      <c r="L10" s="43">
        <f t="shared" si="1"/>
        <v>149.06443145186</v>
      </c>
      <c r="M10" s="43">
        <f t="shared" si="1"/>
        <v>149.06443145186</v>
      </c>
      <c r="N10" s="43">
        <f t="shared" si="1"/>
        <v>150.21344645186</v>
      </c>
      <c r="O10" s="43">
        <f t="shared" si="1"/>
        <v>150.21344645186</v>
      </c>
      <c r="P10" s="43">
        <f t="shared" si="1"/>
        <v>150.21344645186</v>
      </c>
      <c r="Q10" s="43">
        <f t="shared" si="1"/>
        <v>150.21344645186</v>
      </c>
      <c r="R10" s="43">
        <f t="shared" si="1"/>
        <v>150.21344645186</v>
      </c>
    </row>
    <row r="11" s="30" customFormat="1" ht="15" customHeight="1" spans="1:18">
      <c r="A11" s="40">
        <v>2.1</v>
      </c>
      <c r="B11" s="41" t="s">
        <v>176</v>
      </c>
      <c r="C11" s="42">
        <f>SUM(D11:R11)</f>
        <v>3781.349013624</v>
      </c>
      <c r="D11" s="43">
        <f>总投资!G50</f>
        <v>3781.349013624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="30" customFormat="1" ht="15" customHeight="1" spans="1:18">
      <c r="A12" s="40">
        <v>2.2</v>
      </c>
      <c r="B12" s="41" t="s">
        <v>177</v>
      </c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="30" customFormat="1" ht="15" customHeight="1" spans="1:18">
      <c r="A13" s="40">
        <v>2.3</v>
      </c>
      <c r="B13" s="41" t="s">
        <v>178</v>
      </c>
      <c r="C13" s="42">
        <f>SUM(D13:R13)</f>
        <v>1252.4820318</v>
      </c>
      <c r="D13" s="43">
        <f>总成本费用表!D10</f>
        <v>42.3327171</v>
      </c>
      <c r="E13" s="43">
        <f>总成本费用表!E10</f>
        <v>85.20345105</v>
      </c>
      <c r="F13" s="43">
        <f>总成本费用表!F10</f>
        <v>85.20345105</v>
      </c>
      <c r="G13" s="43">
        <f>总成本费用表!G10</f>
        <v>85.20345105</v>
      </c>
      <c r="H13" s="43">
        <f>总成本费用表!H10</f>
        <v>85.20345105</v>
      </c>
      <c r="I13" s="43">
        <f>总成本费用表!I10</f>
        <v>86.34345105</v>
      </c>
      <c r="J13" s="43">
        <f>总成本费用表!J10</f>
        <v>86.34345105</v>
      </c>
      <c r="K13" s="43">
        <f>总成本费用表!K10</f>
        <v>86.34345105</v>
      </c>
      <c r="L13" s="43">
        <f>总成本费用表!L10</f>
        <v>86.34345105</v>
      </c>
      <c r="M13" s="43">
        <f>总成本费用表!M10</f>
        <v>86.34345105</v>
      </c>
      <c r="N13" s="43">
        <f>总成本费用表!N10</f>
        <v>87.52365105</v>
      </c>
      <c r="O13" s="43">
        <f>总成本费用表!O10</f>
        <v>87.52365105</v>
      </c>
      <c r="P13" s="43">
        <f>总成本费用表!P10</f>
        <v>87.52365105</v>
      </c>
      <c r="Q13" s="43">
        <f>总成本费用表!Q10</f>
        <v>87.52365105</v>
      </c>
      <c r="R13" s="43">
        <f>总成本费用表!R10</f>
        <v>87.52365105</v>
      </c>
    </row>
    <row r="14" s="30" customFormat="1" ht="15" customHeight="1" spans="1:18">
      <c r="A14" s="40">
        <v>2.4</v>
      </c>
      <c r="B14" s="41" t="s">
        <v>148</v>
      </c>
      <c r="C14" s="42">
        <f>SUM(D14:R14)</f>
        <v>82.48116132616</v>
      </c>
      <c r="D14" s="43">
        <f>营业收入及税金表!D24</f>
        <v>2.77576999652</v>
      </c>
      <c r="E14" s="43">
        <f>营业收入及税金表!E24</f>
        <v>5.65301030926</v>
      </c>
      <c r="F14" s="43">
        <f>营业收入及税金表!F24</f>
        <v>5.66775230926</v>
      </c>
      <c r="G14" s="43">
        <f>营业收入及税金表!G24</f>
        <v>5.68249430926</v>
      </c>
      <c r="H14" s="43">
        <f>营业收入及税金表!H24</f>
        <v>5.69723630926</v>
      </c>
      <c r="I14" s="43">
        <f>营业收入及税金表!I24</f>
        <v>5.70190730926</v>
      </c>
      <c r="J14" s="43">
        <f>营业收入及税金表!J24</f>
        <v>5.70190730926</v>
      </c>
      <c r="K14" s="43">
        <f>营业收入及税金表!K24</f>
        <v>5.70190730926</v>
      </c>
      <c r="L14" s="43">
        <f>营业收入及税金表!L24</f>
        <v>5.70190730926</v>
      </c>
      <c r="M14" s="43">
        <f>营业收入及税金表!M24</f>
        <v>5.70190730926</v>
      </c>
      <c r="N14" s="43">
        <f>营业收入及税金表!N24</f>
        <v>5.69907230926</v>
      </c>
      <c r="O14" s="43">
        <f>营业收入及税金表!O24</f>
        <v>5.69907230926</v>
      </c>
      <c r="P14" s="43">
        <f>营业收入及税金表!P24</f>
        <v>5.69907230926</v>
      </c>
      <c r="Q14" s="43">
        <f>营业收入及税金表!Q24</f>
        <v>5.69907230926</v>
      </c>
      <c r="R14" s="43">
        <f>营业收入及税金表!R24</f>
        <v>5.69907230926</v>
      </c>
    </row>
    <row r="15" s="30" customFormat="1" ht="15" customHeight="1" spans="1:18">
      <c r="A15" s="40">
        <v>2.5</v>
      </c>
      <c r="B15" s="41" t="s">
        <v>131</v>
      </c>
      <c r="C15" s="42">
        <f>SUM(D15:R15)</f>
        <v>824.8116132616</v>
      </c>
      <c r="D15" s="43">
        <f>利润及利润分配表!D7</f>
        <v>27.7576999652</v>
      </c>
      <c r="E15" s="43">
        <f>利润及利润分配表!E7</f>
        <v>56.5301030926</v>
      </c>
      <c r="F15" s="43">
        <f>利润及利润分配表!F7</f>
        <v>56.6775230926</v>
      </c>
      <c r="G15" s="43">
        <f>利润及利润分配表!G7</f>
        <v>56.8249430926</v>
      </c>
      <c r="H15" s="43">
        <f>利润及利润分配表!H7</f>
        <v>56.9723630926</v>
      </c>
      <c r="I15" s="43">
        <f>利润及利润分配表!I7</f>
        <v>57.0190730926</v>
      </c>
      <c r="J15" s="43">
        <f>利润及利润分配表!J7</f>
        <v>57.0190730926</v>
      </c>
      <c r="K15" s="43">
        <f>利润及利润分配表!K7</f>
        <v>57.0190730926</v>
      </c>
      <c r="L15" s="43">
        <f>利润及利润分配表!L7</f>
        <v>57.0190730926</v>
      </c>
      <c r="M15" s="43">
        <f>利润及利润分配表!M7</f>
        <v>57.0190730926</v>
      </c>
      <c r="N15" s="43">
        <f>利润及利润分配表!N7</f>
        <v>56.9907230926</v>
      </c>
      <c r="O15" s="43">
        <f>利润及利润分配表!O7</f>
        <v>56.9907230926</v>
      </c>
      <c r="P15" s="43">
        <f>利润及利润分配表!P7</f>
        <v>56.9907230926</v>
      </c>
      <c r="Q15" s="43">
        <f>利润及利润分配表!Q7</f>
        <v>56.9907230926</v>
      </c>
      <c r="R15" s="43">
        <f>利润及利润分配表!R7</f>
        <v>56.9907230926</v>
      </c>
    </row>
    <row r="16" s="30" customFormat="1" ht="15" customHeight="1" spans="1:18">
      <c r="A16" s="40">
        <v>2.6</v>
      </c>
      <c r="B16" s="41" t="s">
        <v>179</v>
      </c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  <row r="17" s="30" customFormat="1" ht="22" customHeight="1" spans="1:18">
      <c r="A17" s="40">
        <v>3</v>
      </c>
      <c r="B17" s="48" t="s">
        <v>180</v>
      </c>
      <c r="C17" s="42">
        <f>SUM(D17:R17)</f>
        <v>2084.70272678073</v>
      </c>
      <c r="D17" s="43">
        <f t="shared" ref="D17:R17" si="2">D5-D10</f>
        <v>-3293.68859741956</v>
      </c>
      <c r="E17" s="43">
        <f t="shared" si="2"/>
        <v>302.15222856814</v>
      </c>
      <c r="F17" s="43">
        <f t="shared" si="2"/>
        <v>304.44706656814</v>
      </c>
      <c r="G17" s="43">
        <f t="shared" si="2"/>
        <v>306.74190456814</v>
      </c>
      <c r="H17" s="43">
        <f t="shared" si="2"/>
        <v>309.03674256814</v>
      </c>
      <c r="I17" s="43">
        <f t="shared" si="2"/>
        <v>309.07386156814</v>
      </c>
      <c r="J17" s="43">
        <f t="shared" si="2"/>
        <v>309.07386156814</v>
      </c>
      <c r="K17" s="43">
        <f t="shared" si="2"/>
        <v>309.07386156814</v>
      </c>
      <c r="L17" s="43">
        <f t="shared" si="2"/>
        <v>309.07386156814</v>
      </c>
      <c r="M17" s="43">
        <f t="shared" si="2"/>
        <v>309.07386156814</v>
      </c>
      <c r="N17" s="43">
        <f t="shared" si="2"/>
        <v>307.92484656814</v>
      </c>
      <c r="O17" s="43">
        <f t="shared" si="2"/>
        <v>307.92484656814</v>
      </c>
      <c r="P17" s="43">
        <f t="shared" si="2"/>
        <v>307.92484656814</v>
      </c>
      <c r="Q17" s="43">
        <f t="shared" si="2"/>
        <v>307.92484656814</v>
      </c>
      <c r="R17" s="43">
        <f t="shared" si="2"/>
        <v>1378.94468781447</v>
      </c>
    </row>
    <row r="18" s="30" customFormat="1" ht="22" customHeight="1" spans="1:18">
      <c r="A18" s="40">
        <v>4</v>
      </c>
      <c r="B18" s="48" t="s">
        <v>181</v>
      </c>
      <c r="C18" s="42"/>
      <c r="D18" s="43">
        <f>D17</f>
        <v>-3293.68859741956</v>
      </c>
      <c r="E18" s="43">
        <f t="shared" ref="E18:R18" si="3">D18+E17</f>
        <v>-2991.53636885142</v>
      </c>
      <c r="F18" s="43">
        <f t="shared" si="3"/>
        <v>-2687.08930228328</v>
      </c>
      <c r="G18" s="43">
        <f t="shared" si="3"/>
        <v>-2380.34739771514</v>
      </c>
      <c r="H18" s="43">
        <f t="shared" si="3"/>
        <v>-2071.310655147</v>
      </c>
      <c r="I18" s="43">
        <f t="shared" si="3"/>
        <v>-1762.23679357886</v>
      </c>
      <c r="J18" s="43">
        <f t="shared" si="3"/>
        <v>-1453.16293201072</v>
      </c>
      <c r="K18" s="43">
        <f t="shared" si="3"/>
        <v>-1144.08907044258</v>
      </c>
      <c r="L18" s="43">
        <f t="shared" si="3"/>
        <v>-835.01520887444</v>
      </c>
      <c r="M18" s="43">
        <f t="shared" si="3"/>
        <v>-525.9413473063</v>
      </c>
      <c r="N18" s="43">
        <f t="shared" si="3"/>
        <v>-218.01650073816</v>
      </c>
      <c r="O18" s="43">
        <f t="shared" si="3"/>
        <v>89.9083458299801</v>
      </c>
      <c r="P18" s="43">
        <f t="shared" si="3"/>
        <v>397.83319239812</v>
      </c>
      <c r="Q18" s="43">
        <f t="shared" si="3"/>
        <v>705.75803896626</v>
      </c>
      <c r="R18" s="43">
        <f t="shared" si="3"/>
        <v>2084.70272678073</v>
      </c>
    </row>
    <row r="19" s="30" customFormat="1" ht="22" customHeight="1" spans="1:18">
      <c r="A19" s="40">
        <v>5</v>
      </c>
      <c r="B19" s="48" t="s">
        <v>182</v>
      </c>
      <c r="C19" s="42">
        <f>SUM(D19:R19)</f>
        <v>613.404787923543</v>
      </c>
      <c r="D19" s="43">
        <f>D17/POWER(1.042,1)</f>
        <v>-3160.92955606484</v>
      </c>
      <c r="E19" s="43">
        <f>E17/POWER(1.042,2)</f>
        <v>278.285362719836</v>
      </c>
      <c r="F19" s="43">
        <f>F17/POWER(1.042,3)</f>
        <v>269.096864222202</v>
      </c>
      <c r="G19" s="43">
        <f>G17/POWER(1.042,4)</f>
        <v>260.196969432799</v>
      </c>
      <c r="H19" s="43">
        <f>H17/POWER(1.042,5)</f>
        <v>251.57734100205</v>
      </c>
      <c r="I19" s="43">
        <f>I17/POWER(1.042,6)</f>
        <v>241.465986988825</v>
      </c>
      <c r="J19" s="43">
        <f>J17/POWER(1.042,7)</f>
        <v>231.733192887548</v>
      </c>
      <c r="K19" s="43">
        <f>K17/POWER(1.042,8)</f>
        <v>222.392699508203</v>
      </c>
      <c r="L19" s="43">
        <f>L17/POWER(1.042,9)</f>
        <v>213.428694345685</v>
      </c>
      <c r="M19" s="43">
        <f>M17/POWER(1.042,10)</f>
        <v>204.826002251137</v>
      </c>
      <c r="N19" s="43">
        <f>N17/POWER(1.042,11)</f>
        <v>195.839289608102</v>
      </c>
      <c r="O19" s="43">
        <f>O17/POWER(1.042,12)</f>
        <v>187.945575439637</v>
      </c>
      <c r="P19" s="43">
        <f>P17/POWER(1.042,12)</f>
        <v>187.945575439637</v>
      </c>
      <c r="Q19" s="43">
        <f>Q17/POWER(1.042,12)</f>
        <v>187.945575439637</v>
      </c>
      <c r="R19" s="43">
        <f>R17/POWER(1.042,12)</f>
        <v>841.655214703081</v>
      </c>
    </row>
    <row r="20" s="30" customFormat="1" ht="22" customHeight="1" spans="1:18">
      <c r="A20" s="40">
        <v>6</v>
      </c>
      <c r="B20" s="48" t="s">
        <v>183</v>
      </c>
      <c r="C20" s="42"/>
      <c r="D20" s="43">
        <f>D19</f>
        <v>-3160.92955606484</v>
      </c>
      <c r="E20" s="43">
        <f t="shared" ref="E20:R20" si="4">D20+E19</f>
        <v>-2882.644193345</v>
      </c>
      <c r="F20" s="43">
        <f t="shared" si="4"/>
        <v>-2613.5473291228</v>
      </c>
      <c r="G20" s="43">
        <f t="shared" si="4"/>
        <v>-2353.35035969</v>
      </c>
      <c r="H20" s="43">
        <f t="shared" si="4"/>
        <v>-2101.77301868795</v>
      </c>
      <c r="I20" s="43">
        <f t="shared" si="4"/>
        <v>-1860.30703169912</v>
      </c>
      <c r="J20" s="43">
        <f t="shared" si="4"/>
        <v>-1628.57383881158</v>
      </c>
      <c r="K20" s="43">
        <f t="shared" si="4"/>
        <v>-1406.18113930337</v>
      </c>
      <c r="L20" s="43">
        <f t="shared" si="4"/>
        <v>-1192.75244495769</v>
      </c>
      <c r="M20" s="43">
        <f t="shared" si="4"/>
        <v>-987.926442706552</v>
      </c>
      <c r="N20" s="43">
        <f t="shared" si="4"/>
        <v>-792.08715309845</v>
      </c>
      <c r="O20" s="43">
        <f t="shared" si="4"/>
        <v>-604.141577658813</v>
      </c>
      <c r="P20" s="43">
        <f t="shared" si="4"/>
        <v>-416.196002219175</v>
      </c>
      <c r="Q20" s="43">
        <f t="shared" si="4"/>
        <v>-228.250426779538</v>
      </c>
      <c r="R20" s="43">
        <f t="shared" si="4"/>
        <v>613.404787923543</v>
      </c>
    </row>
    <row r="21" s="30" customFormat="1" ht="22" customHeight="1" spans="1:18">
      <c r="A21" s="40">
        <v>7</v>
      </c>
      <c r="B21" s="48" t="s">
        <v>184</v>
      </c>
      <c r="C21" s="42">
        <f>SUM(D21:R21)</f>
        <v>211.930031839849</v>
      </c>
      <c r="D21" s="43"/>
      <c r="E21" s="43">
        <f>利润及利润分配表!E13</f>
        <v>-1.91714563643934</v>
      </c>
      <c r="F21" s="43">
        <f>利润及利润分配表!F13</f>
        <v>-0.625436136439339</v>
      </c>
      <c r="G21" s="43">
        <f>利润及利润分配表!G13</f>
        <v>2.93727336356066</v>
      </c>
      <c r="H21" s="43">
        <f>利润及利润分配表!H13</f>
        <v>5.52698286356065</v>
      </c>
      <c r="I21" s="43">
        <f>利润及利润分配表!I13</f>
        <v>7.80426261356067</v>
      </c>
      <c r="J21" s="43">
        <f>利润及利润分配表!J13</f>
        <v>10.0722626135607</v>
      </c>
      <c r="K21" s="43">
        <f>利润及利润分配表!K13</f>
        <v>12.4662626135607</v>
      </c>
      <c r="L21" s="43">
        <f>利润及利润分配表!L13</f>
        <v>14.9862626135607</v>
      </c>
      <c r="M21" s="43">
        <f>利润及利润分配表!M13</f>
        <v>21.2862626135607</v>
      </c>
      <c r="N21" s="43">
        <f>利润及利润分配表!N13</f>
        <v>23.2670088635607</v>
      </c>
      <c r="O21" s="43">
        <f>利润及利润分配表!O13</f>
        <v>25.5350088635607</v>
      </c>
      <c r="P21" s="43">
        <f>利润及利润分配表!P13</f>
        <v>27.8030088635607</v>
      </c>
      <c r="Q21" s="43">
        <f>利润及利润分配表!Q13</f>
        <v>30.0710088635607</v>
      </c>
      <c r="R21" s="43">
        <f>利润及利润分配表!R13</f>
        <v>32.7170088635607</v>
      </c>
    </row>
    <row r="22" s="30" customFormat="1" ht="22" customHeight="1" spans="1:18">
      <c r="A22" s="40">
        <v>8</v>
      </c>
      <c r="B22" s="48" t="s">
        <v>185</v>
      </c>
      <c r="C22" s="42">
        <f>SUM(D22:R22)</f>
        <v>1872.77269494088</v>
      </c>
      <c r="D22" s="43">
        <f t="shared" ref="D22:R22" si="5">D17-D21</f>
        <v>-3293.68859741956</v>
      </c>
      <c r="E22" s="43">
        <f t="shared" si="5"/>
        <v>304.069374204579</v>
      </c>
      <c r="F22" s="43">
        <f t="shared" si="5"/>
        <v>305.072502704579</v>
      </c>
      <c r="G22" s="43">
        <f t="shared" si="5"/>
        <v>303.804631204579</v>
      </c>
      <c r="H22" s="43">
        <f t="shared" si="5"/>
        <v>303.509759704579</v>
      </c>
      <c r="I22" s="43">
        <f t="shared" si="5"/>
        <v>301.269598954579</v>
      </c>
      <c r="J22" s="43">
        <f t="shared" si="5"/>
        <v>299.001598954579</v>
      </c>
      <c r="K22" s="43">
        <f t="shared" si="5"/>
        <v>296.607598954579</v>
      </c>
      <c r="L22" s="43">
        <f t="shared" si="5"/>
        <v>294.087598954579</v>
      </c>
      <c r="M22" s="43">
        <f t="shared" si="5"/>
        <v>287.787598954579</v>
      </c>
      <c r="N22" s="43">
        <f t="shared" si="5"/>
        <v>284.657837704579</v>
      </c>
      <c r="O22" s="43">
        <f t="shared" si="5"/>
        <v>282.389837704579</v>
      </c>
      <c r="P22" s="43">
        <f t="shared" si="5"/>
        <v>280.121837704579</v>
      </c>
      <c r="Q22" s="43">
        <f t="shared" si="5"/>
        <v>277.853837704579</v>
      </c>
      <c r="R22" s="43">
        <f t="shared" si="5"/>
        <v>1346.22767895091</v>
      </c>
    </row>
    <row r="23" s="30" customFormat="1" ht="22" customHeight="1" spans="1:18">
      <c r="A23" s="40">
        <v>9</v>
      </c>
      <c r="B23" s="48" t="s">
        <v>186</v>
      </c>
      <c r="C23" s="42"/>
      <c r="D23" s="43">
        <f>D22</f>
        <v>-3293.68859741956</v>
      </c>
      <c r="E23" s="43">
        <f t="shared" ref="E23:R23" si="6">D23+E22</f>
        <v>-2989.61922321498</v>
      </c>
      <c r="F23" s="43">
        <f t="shared" si="6"/>
        <v>-2684.5467205104</v>
      </c>
      <c r="G23" s="43">
        <f t="shared" si="6"/>
        <v>-2380.74208930582</v>
      </c>
      <c r="H23" s="43">
        <f t="shared" si="6"/>
        <v>-2077.23232960124</v>
      </c>
      <c r="I23" s="43">
        <f t="shared" si="6"/>
        <v>-1775.96273064666</v>
      </c>
      <c r="J23" s="43">
        <f t="shared" si="6"/>
        <v>-1476.96113169208</v>
      </c>
      <c r="K23" s="43">
        <f t="shared" si="6"/>
        <v>-1180.3535327375</v>
      </c>
      <c r="L23" s="43">
        <f t="shared" si="6"/>
        <v>-886.265933782925</v>
      </c>
      <c r="M23" s="43">
        <f t="shared" si="6"/>
        <v>-598.478334828346</v>
      </c>
      <c r="N23" s="43">
        <f t="shared" si="6"/>
        <v>-313.820497123767</v>
      </c>
      <c r="O23" s="43">
        <f t="shared" si="6"/>
        <v>-31.4306594191875</v>
      </c>
      <c r="P23" s="43">
        <f t="shared" si="6"/>
        <v>248.691178285392</v>
      </c>
      <c r="Q23" s="43">
        <f t="shared" si="6"/>
        <v>526.545015989971</v>
      </c>
      <c r="R23" s="43">
        <f t="shared" si="6"/>
        <v>1872.77269494088</v>
      </c>
    </row>
    <row r="24" s="30" customFormat="1" ht="22" customHeight="1" spans="1:18">
      <c r="A24" s="40">
        <v>10</v>
      </c>
      <c r="B24" s="48" t="s">
        <v>187</v>
      </c>
      <c r="C24" s="42">
        <f>SUM(D24:R24)</f>
        <v>475.163962432962</v>
      </c>
      <c r="D24" s="43">
        <f>D22/POWER(1.042,1)</f>
        <v>-3160.92955606484</v>
      </c>
      <c r="E24" s="43">
        <f>E22/POWER(1.042,2)</f>
        <v>280.051073902413</v>
      </c>
      <c r="F24" s="43">
        <f>F22/POWER(1.042,3)</f>
        <v>269.649679215574</v>
      </c>
      <c r="G24" s="43">
        <f>G22/POWER(1.042,4)</f>
        <v>257.70539714935</v>
      </c>
      <c r="H24" s="43">
        <f>H22/POWER(1.042,5)</f>
        <v>247.077993639586</v>
      </c>
      <c r="I24" s="43">
        <f>I22/POWER(1.042,6)</f>
        <v>235.368855496882</v>
      </c>
      <c r="J24" s="43">
        <f>J22/POWER(1.042,7)</f>
        <v>224.181348926367</v>
      </c>
      <c r="K24" s="43">
        <f>K22/POWER(1.0425,8)</f>
        <v>212.605142038146</v>
      </c>
      <c r="L24" s="43">
        <f>L22/POWER(1.042,9)</f>
        <v>203.08004031682</v>
      </c>
      <c r="M24" s="43">
        <f>M22/POWER(1.042,10)</f>
        <v>190.719406332989</v>
      </c>
      <c r="N24" s="43">
        <f>N22/POWER(1.042,11)</f>
        <v>181.041540943358</v>
      </c>
      <c r="O24" s="43">
        <f>O22/POWER(1.042,12)</f>
        <v>172.359980486175</v>
      </c>
      <c r="P24" s="43">
        <f>P22/POWER(1.042,12)</f>
        <v>170.975679836689</v>
      </c>
      <c r="Q24" s="43">
        <f>Q22/POWER(1.042,12)</f>
        <v>169.591379187203</v>
      </c>
      <c r="R24" s="43">
        <f>R22/POWER(1.042,12)</f>
        <v>821.686001026246</v>
      </c>
    </row>
    <row r="25" s="30" customFormat="1" ht="22" customHeight="1" spans="1:18">
      <c r="A25" s="40">
        <v>11</v>
      </c>
      <c r="B25" s="48" t="s">
        <v>188</v>
      </c>
      <c r="C25" s="42"/>
      <c r="D25" s="43">
        <f>D24</f>
        <v>-3160.92955606484</v>
      </c>
      <c r="E25" s="43">
        <f t="shared" ref="E25:R25" si="7">D25+E24</f>
        <v>-2880.87848216242</v>
      </c>
      <c r="F25" s="43">
        <f t="shared" si="7"/>
        <v>-2611.22880294685</v>
      </c>
      <c r="G25" s="43">
        <f t="shared" si="7"/>
        <v>-2353.5234057975</v>
      </c>
      <c r="H25" s="43">
        <f t="shared" si="7"/>
        <v>-2106.44541215791</v>
      </c>
      <c r="I25" s="43">
        <f t="shared" si="7"/>
        <v>-1871.07655666103</v>
      </c>
      <c r="J25" s="43">
        <f t="shared" si="7"/>
        <v>-1646.89520773466</v>
      </c>
      <c r="K25" s="43">
        <f t="shared" si="7"/>
        <v>-1434.29006569652</v>
      </c>
      <c r="L25" s="43">
        <f t="shared" si="7"/>
        <v>-1231.2100253797</v>
      </c>
      <c r="M25" s="43">
        <f t="shared" si="7"/>
        <v>-1040.49061904671</v>
      </c>
      <c r="N25" s="43">
        <f t="shared" si="7"/>
        <v>-859.449078103351</v>
      </c>
      <c r="O25" s="43">
        <f t="shared" si="7"/>
        <v>-687.089097617176</v>
      </c>
      <c r="P25" s="43">
        <f t="shared" si="7"/>
        <v>-516.113417780487</v>
      </c>
      <c r="Q25" s="43">
        <f t="shared" si="7"/>
        <v>-346.522038593284</v>
      </c>
      <c r="R25" s="43">
        <f t="shared" si="7"/>
        <v>475.163962432962</v>
      </c>
    </row>
    <row r="26" spans="2:2">
      <c r="B26" s="49" t="s">
        <v>189</v>
      </c>
    </row>
    <row r="27" spans="2:12">
      <c r="B27" s="50" t="s">
        <v>190</v>
      </c>
      <c r="C27" s="50"/>
      <c r="D27" s="50"/>
      <c r="E27" s="50"/>
      <c r="F27" s="51">
        <f>IRR(D17:R17)</f>
        <v>0.0615701644123248</v>
      </c>
      <c r="G27" s="50"/>
      <c r="H27" s="49" t="s">
        <v>191</v>
      </c>
      <c r="L27" s="51">
        <f>IRR(D22:R22,4.2%)</f>
        <v>0.0566032440114914</v>
      </c>
    </row>
    <row r="28" spans="2:12">
      <c r="B28" s="50" t="s">
        <v>192</v>
      </c>
      <c r="C28" s="50"/>
      <c r="D28" s="50"/>
      <c r="E28" s="50"/>
      <c r="F28" s="52">
        <f>R20</f>
        <v>613.404787923543</v>
      </c>
      <c r="H28" s="49" t="s">
        <v>193</v>
      </c>
      <c r="L28" s="52">
        <f>R25</f>
        <v>475.163962432962</v>
      </c>
    </row>
    <row r="29" spans="2:12">
      <c r="B29" s="50" t="s">
        <v>194</v>
      </c>
      <c r="C29" s="50"/>
      <c r="D29" s="50"/>
      <c r="E29" s="50"/>
      <c r="F29" s="52">
        <f>14-1+ABS(P20)/Q19</f>
        <v>15.2144495886409</v>
      </c>
      <c r="H29" s="49" t="s">
        <v>195</v>
      </c>
      <c r="L29" s="52">
        <f>15-1+ABS(Q25/R24)</f>
        <v>14.4217207524048</v>
      </c>
    </row>
    <row r="30" spans="6:6">
      <c r="F30" s="52"/>
    </row>
  </sheetData>
  <mergeCells count="5">
    <mergeCell ref="A1:M1"/>
    <mergeCell ref="D3:R3"/>
    <mergeCell ref="A3:A4"/>
    <mergeCell ref="B3:B4"/>
    <mergeCell ref="C3:C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zoomScale="120" zoomScaleNormal="120" workbookViewId="0">
      <selection activeCell="T13" sqref="T13"/>
    </sheetView>
  </sheetViews>
  <sheetFormatPr defaultColWidth="8.62727272727273" defaultRowHeight="14"/>
  <cols>
    <col min="1" max="1" width="4.12727272727273" style="13" customWidth="1"/>
    <col min="2" max="2" width="9.62727272727273" style="13" customWidth="1"/>
    <col min="3" max="3" width="9.37272727272727" style="13"/>
    <col min="4" max="4" width="7.5" style="14" customWidth="1"/>
    <col min="5" max="6" width="7.87272727272727" style="14" customWidth="1"/>
    <col min="7" max="16" width="7.87272727272727" style="13" customWidth="1"/>
    <col min="17" max="23" width="8.62727272727273" style="13"/>
  </cols>
  <sheetData>
    <row r="1" ht="17.5" spans="1:14">
      <c r="A1" s="15" t="s">
        <v>196</v>
      </c>
      <c r="B1" s="15"/>
      <c r="C1" s="15"/>
      <c r="D1" s="16"/>
      <c r="E1" s="16"/>
      <c r="F1" s="16"/>
      <c r="G1" s="15"/>
      <c r="H1" s="15"/>
      <c r="I1" s="15"/>
      <c r="J1" s="15"/>
      <c r="K1" s="15"/>
      <c r="L1" s="15"/>
      <c r="M1" s="15"/>
      <c r="N1" s="15"/>
    </row>
    <row r="2" ht="16.15" customHeight="1" spans="14:14">
      <c r="N2" s="29" t="s">
        <v>1</v>
      </c>
    </row>
    <row r="3" spans="1:19">
      <c r="A3" s="17" t="s">
        <v>2</v>
      </c>
      <c r="B3" s="18"/>
      <c r="C3" s="18"/>
      <c r="D3" s="19" t="s">
        <v>170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ht="19" spans="1:19">
      <c r="A4" s="17"/>
      <c r="B4" s="17" t="s">
        <v>169</v>
      </c>
      <c r="C4" s="17" t="s">
        <v>8</v>
      </c>
      <c r="D4" s="20" t="s">
        <v>197</v>
      </c>
      <c r="E4" s="21">
        <v>0.5</v>
      </c>
      <c r="F4" s="20">
        <v>2</v>
      </c>
      <c r="G4" s="20">
        <v>3</v>
      </c>
      <c r="H4" s="20">
        <v>4</v>
      </c>
      <c r="I4" s="20">
        <v>5</v>
      </c>
      <c r="J4" s="20">
        <v>6</v>
      </c>
      <c r="K4" s="20">
        <v>7</v>
      </c>
      <c r="L4" s="20">
        <v>8</v>
      </c>
      <c r="M4" s="20">
        <v>9</v>
      </c>
      <c r="N4" s="20">
        <v>10</v>
      </c>
      <c r="O4" s="20">
        <v>11</v>
      </c>
      <c r="P4" s="20">
        <v>12</v>
      </c>
      <c r="Q4" s="20">
        <v>13</v>
      </c>
      <c r="R4" s="20">
        <v>14</v>
      </c>
      <c r="S4" s="20">
        <v>15</v>
      </c>
    </row>
    <row r="5" ht="12.95" customHeight="1" spans="1:19">
      <c r="A5" s="22">
        <v>1</v>
      </c>
      <c r="B5" s="23" t="s">
        <v>198</v>
      </c>
      <c r="C5" s="24">
        <f>SUM(D5:N5)</f>
        <v>3000</v>
      </c>
      <c r="D5" s="25">
        <v>3000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>
      <c r="A6" s="26">
        <v>1.1</v>
      </c>
      <c r="B6" s="23" t="s">
        <v>199</v>
      </c>
      <c r="C6" s="24">
        <f>SUM(D6:S6)</f>
        <v>28280</v>
      </c>
      <c r="D6" s="25"/>
      <c r="E6" s="25">
        <f t="shared" ref="E6:S6" si="0">D10</f>
        <v>3000</v>
      </c>
      <c r="F6" s="25">
        <f t="shared" si="0"/>
        <v>2940</v>
      </c>
      <c r="G6" s="25">
        <f t="shared" si="0"/>
        <v>2820</v>
      </c>
      <c r="H6" s="25">
        <f t="shared" si="0"/>
        <v>2680</v>
      </c>
      <c r="I6" s="25">
        <f t="shared" si="0"/>
        <v>2540</v>
      </c>
      <c r="J6" s="25">
        <f t="shared" si="0"/>
        <v>2360</v>
      </c>
      <c r="K6" s="25">
        <f t="shared" si="0"/>
        <v>2180</v>
      </c>
      <c r="L6" s="25">
        <f t="shared" si="0"/>
        <v>2000</v>
      </c>
      <c r="M6" s="25">
        <f t="shared" si="0"/>
        <v>1800</v>
      </c>
      <c r="N6" s="25">
        <f t="shared" si="0"/>
        <v>1600</v>
      </c>
      <c r="O6" s="25">
        <f t="shared" si="0"/>
        <v>1360</v>
      </c>
      <c r="P6" s="25">
        <f t="shared" si="0"/>
        <v>1120</v>
      </c>
      <c r="Q6" s="25">
        <f t="shared" si="0"/>
        <v>880</v>
      </c>
      <c r="R6" s="25">
        <f t="shared" si="0"/>
        <v>640</v>
      </c>
      <c r="S6" s="25">
        <f t="shared" si="0"/>
        <v>360</v>
      </c>
    </row>
    <row r="7" ht="12.95" customHeight="1" spans="1:19">
      <c r="A7" s="26">
        <v>1.2</v>
      </c>
      <c r="B7" s="23" t="s">
        <v>200</v>
      </c>
      <c r="C7" s="24">
        <f>SUM(D7:S7)</f>
        <v>4277.892</v>
      </c>
      <c r="D7" s="25">
        <f t="shared" ref="D7:S7" si="1">D8+D9</f>
        <v>37.8</v>
      </c>
      <c r="E7" s="25">
        <f t="shared" si="1"/>
        <v>134.844</v>
      </c>
      <c r="F7" s="25">
        <f t="shared" si="1"/>
        <v>265.152</v>
      </c>
      <c r="G7" s="25">
        <f t="shared" si="1"/>
        <v>278.6</v>
      </c>
      <c r="H7" s="25">
        <f t="shared" si="1"/>
        <v>271.544</v>
      </c>
      <c r="I7" s="25">
        <f t="shared" si="1"/>
        <v>303.48</v>
      </c>
      <c r="J7" s="25">
        <f t="shared" si="1"/>
        <v>294.408</v>
      </c>
      <c r="K7" s="25">
        <f t="shared" si="1"/>
        <v>285.336</v>
      </c>
      <c r="L7" s="25">
        <f t="shared" si="1"/>
        <v>295.76</v>
      </c>
      <c r="M7" s="25">
        <f t="shared" si="1"/>
        <v>285.68</v>
      </c>
      <c r="N7" s="25">
        <f t="shared" si="1"/>
        <v>300.48</v>
      </c>
      <c r="O7" s="25">
        <f t="shared" si="1"/>
        <v>291.408</v>
      </c>
      <c r="P7" s="25">
        <f t="shared" si="1"/>
        <v>282.336</v>
      </c>
      <c r="Q7" s="25">
        <f t="shared" si="1"/>
        <v>273.264</v>
      </c>
      <c r="R7" s="25">
        <f t="shared" si="1"/>
        <v>304.192</v>
      </c>
      <c r="S7" s="25">
        <f t="shared" si="1"/>
        <v>373.608</v>
      </c>
    </row>
    <row r="8" ht="14.1" customHeight="1" spans="1:19">
      <c r="A8" s="26"/>
      <c r="B8" s="24" t="s">
        <v>201</v>
      </c>
      <c r="C8" s="24">
        <f>SUM(D8:S8)</f>
        <v>3000</v>
      </c>
      <c r="D8" s="25"/>
      <c r="E8" s="25">
        <v>60</v>
      </c>
      <c r="F8" s="25">
        <f>120</f>
        <v>120</v>
      </c>
      <c r="G8" s="25">
        <f>140</f>
        <v>140</v>
      </c>
      <c r="H8" s="25">
        <f>140</f>
        <v>140</v>
      </c>
      <c r="I8" s="25">
        <v>180</v>
      </c>
      <c r="J8" s="25">
        <v>180</v>
      </c>
      <c r="K8" s="25">
        <v>180</v>
      </c>
      <c r="L8" s="25">
        <f>200</f>
        <v>200</v>
      </c>
      <c r="M8" s="25">
        <f>200</f>
        <v>200</v>
      </c>
      <c r="N8" s="25">
        <v>240</v>
      </c>
      <c r="O8" s="25">
        <f>N8</f>
        <v>240</v>
      </c>
      <c r="P8" s="25">
        <f>O8</f>
        <v>240</v>
      </c>
      <c r="Q8" s="25">
        <f>240</f>
        <v>240</v>
      </c>
      <c r="R8" s="25">
        <v>280</v>
      </c>
      <c r="S8" s="25">
        <v>360</v>
      </c>
    </row>
    <row r="9" spans="1:19">
      <c r="A9" s="26"/>
      <c r="B9" s="27" t="s">
        <v>202</v>
      </c>
      <c r="C9" s="24">
        <f>SUM(D9:S9)</f>
        <v>1277.892</v>
      </c>
      <c r="D9" s="25">
        <f>D5*0.0504*0.25</f>
        <v>37.8</v>
      </c>
      <c r="E9" s="25">
        <f>(E6+F6)/2*0.0504*0.5</f>
        <v>74.844</v>
      </c>
      <c r="F9" s="25">
        <f t="shared" ref="F9:M9" si="2">(F6+G6)/2*0.0504</f>
        <v>145.152</v>
      </c>
      <c r="G9" s="25">
        <f t="shared" si="2"/>
        <v>138.6</v>
      </c>
      <c r="H9" s="25">
        <f t="shared" si="2"/>
        <v>131.544</v>
      </c>
      <c r="I9" s="25">
        <f t="shared" si="2"/>
        <v>123.48</v>
      </c>
      <c r="J9" s="25">
        <f t="shared" si="2"/>
        <v>114.408</v>
      </c>
      <c r="K9" s="25">
        <f t="shared" si="2"/>
        <v>105.336</v>
      </c>
      <c r="L9" s="25">
        <f t="shared" si="2"/>
        <v>95.76</v>
      </c>
      <c r="M9" s="25">
        <f t="shared" si="2"/>
        <v>85.68</v>
      </c>
      <c r="N9" s="25">
        <f t="shared" ref="N9:S9" si="3">(N6+N6/2)/2*0.0504</f>
        <v>60.48</v>
      </c>
      <c r="O9" s="25">
        <f t="shared" si="3"/>
        <v>51.408</v>
      </c>
      <c r="P9" s="25">
        <f t="shared" si="3"/>
        <v>42.336</v>
      </c>
      <c r="Q9" s="25">
        <f t="shared" si="3"/>
        <v>33.264</v>
      </c>
      <c r="R9" s="25">
        <f t="shared" si="3"/>
        <v>24.192</v>
      </c>
      <c r="S9" s="25">
        <f t="shared" si="3"/>
        <v>13.608</v>
      </c>
    </row>
    <row r="10" spans="1:19">
      <c r="A10" s="26">
        <v>1.3</v>
      </c>
      <c r="B10" s="23" t="s">
        <v>203</v>
      </c>
      <c r="C10" s="24"/>
      <c r="D10" s="25">
        <f>D5</f>
        <v>3000</v>
      </c>
      <c r="E10" s="25">
        <f t="shared" ref="E10:S10" si="4">E6-E8</f>
        <v>2940</v>
      </c>
      <c r="F10" s="25">
        <f t="shared" si="4"/>
        <v>2820</v>
      </c>
      <c r="G10" s="25">
        <f t="shared" si="4"/>
        <v>2680</v>
      </c>
      <c r="H10" s="25">
        <f t="shared" si="4"/>
        <v>2540</v>
      </c>
      <c r="I10" s="25">
        <f t="shared" si="4"/>
        <v>2360</v>
      </c>
      <c r="J10" s="25">
        <f t="shared" si="4"/>
        <v>2180</v>
      </c>
      <c r="K10" s="25">
        <f t="shared" si="4"/>
        <v>2000</v>
      </c>
      <c r="L10" s="25">
        <f t="shared" si="4"/>
        <v>1800</v>
      </c>
      <c r="M10" s="25">
        <f t="shared" si="4"/>
        <v>1600</v>
      </c>
      <c r="N10" s="25">
        <f t="shared" si="4"/>
        <v>1360</v>
      </c>
      <c r="O10" s="25">
        <f t="shared" si="4"/>
        <v>1120</v>
      </c>
      <c r="P10" s="25">
        <f t="shared" si="4"/>
        <v>880</v>
      </c>
      <c r="Q10" s="25">
        <f t="shared" si="4"/>
        <v>640</v>
      </c>
      <c r="R10" s="25">
        <f t="shared" si="4"/>
        <v>360</v>
      </c>
      <c r="S10" s="25">
        <f t="shared" si="4"/>
        <v>0</v>
      </c>
    </row>
    <row r="11" ht="19.9" customHeight="1" spans="1:19">
      <c r="A11" s="22">
        <v>4</v>
      </c>
      <c r="B11" s="24" t="s">
        <v>204</v>
      </c>
      <c r="C11" s="24">
        <f>SUM(D11:S11)</f>
        <v>4454.71048793224</v>
      </c>
      <c r="D11" s="25"/>
      <c r="E11" s="25">
        <f>利润及利润分配表!D26</f>
        <v>147.33900497828</v>
      </c>
      <c r="F11" s="25">
        <f>利润及利润分配表!E26</f>
        <v>302.15222856814</v>
      </c>
      <c r="G11" s="25">
        <f>利润及利润分配表!F26</f>
        <v>304.44706656814</v>
      </c>
      <c r="H11" s="25">
        <f>利润及利润分配表!G26</f>
        <v>306.74190456814</v>
      </c>
      <c r="I11" s="25">
        <f>利润及利润分配表!H26</f>
        <v>309.03674256814</v>
      </c>
      <c r="J11" s="25">
        <f>利润及利润分配表!I26</f>
        <v>309.07386156814</v>
      </c>
      <c r="K11" s="25">
        <f>利润及利润分配表!J26</f>
        <v>309.07386156814</v>
      </c>
      <c r="L11" s="25">
        <f>利润及利润分配表!K26</f>
        <v>309.07386156814</v>
      </c>
      <c r="M11" s="25">
        <f>利润及利润分配表!L26</f>
        <v>309.07386156814</v>
      </c>
      <c r="N11" s="25">
        <f>利润及利润分配表!M26</f>
        <v>309.07386156814</v>
      </c>
      <c r="O11" s="25">
        <f>利润及利润分配表!N26</f>
        <v>307.92484656814</v>
      </c>
      <c r="P11" s="25">
        <f>利润及利润分配表!O26</f>
        <v>307.92484656814</v>
      </c>
      <c r="Q11" s="25">
        <f>利润及利润分配表!P26</f>
        <v>307.92484656814</v>
      </c>
      <c r="R11" s="25">
        <f>利润及利润分配表!Q26</f>
        <v>307.92484656814</v>
      </c>
      <c r="S11" s="25">
        <f>利润及利润分配表!R26</f>
        <v>307.92484656814</v>
      </c>
    </row>
    <row r="12" spans="1:19">
      <c r="A12" s="28" t="s">
        <v>205</v>
      </c>
      <c r="B12" s="24" t="s">
        <v>206</v>
      </c>
      <c r="C12" s="23">
        <f>C11/C9</f>
        <v>3.48598354785243</v>
      </c>
      <c r="D12" s="25"/>
      <c r="E12" s="25">
        <f t="shared" ref="E12:S12" si="5">E11/E9</f>
        <v>1.96861478513014</v>
      </c>
      <c r="F12" s="25">
        <f t="shared" si="5"/>
        <v>2.08162635422275</v>
      </c>
      <c r="G12" s="25">
        <f t="shared" si="5"/>
        <v>2.19658778187691</v>
      </c>
      <c r="H12" s="25">
        <f t="shared" si="5"/>
        <v>2.33185781615383</v>
      </c>
      <c r="I12" s="25">
        <f t="shared" si="5"/>
        <v>2.50272710210674</v>
      </c>
      <c r="J12" s="25">
        <f t="shared" si="5"/>
        <v>2.70150567764614</v>
      </c>
      <c r="K12" s="25">
        <f t="shared" si="5"/>
        <v>2.93417123840036</v>
      </c>
      <c r="L12" s="25">
        <f t="shared" si="5"/>
        <v>3.22758836224039</v>
      </c>
      <c r="M12" s="25">
        <f t="shared" si="5"/>
        <v>3.60730464015103</v>
      </c>
      <c r="N12" s="25">
        <f t="shared" si="5"/>
        <v>5.11034824021396</v>
      </c>
      <c r="O12" s="25">
        <f t="shared" si="5"/>
        <v>5.9898235015589</v>
      </c>
      <c r="P12" s="25">
        <f t="shared" si="5"/>
        <v>7.27335710903581</v>
      </c>
      <c r="Q12" s="25">
        <f t="shared" si="5"/>
        <v>9.25699995695467</v>
      </c>
      <c r="R12" s="25">
        <f t="shared" si="5"/>
        <v>12.7283749408127</v>
      </c>
      <c r="S12" s="25">
        <f t="shared" si="5"/>
        <v>22.6282221170003</v>
      </c>
    </row>
    <row r="13" spans="1:19">
      <c r="A13" s="28"/>
      <c r="B13" s="24" t="s">
        <v>207</v>
      </c>
      <c r="C13" s="23">
        <f>C11/C7</f>
        <v>1.04133308833702</v>
      </c>
      <c r="D13" s="25"/>
      <c r="E13" s="25">
        <f t="shared" ref="E13:S13" si="6">E11/E7</f>
        <v>1.092662669294</v>
      </c>
      <c r="F13" s="25">
        <f t="shared" si="6"/>
        <v>1.13954346400608</v>
      </c>
      <c r="G13" s="25">
        <f t="shared" si="6"/>
        <v>1.09277482615987</v>
      </c>
      <c r="H13" s="25">
        <f t="shared" si="6"/>
        <v>1.1296213673222</v>
      </c>
      <c r="I13" s="25">
        <f t="shared" si="6"/>
        <v>1.01831007831864</v>
      </c>
      <c r="J13" s="25">
        <f t="shared" si="6"/>
        <v>1.0498147522083</v>
      </c>
      <c r="K13" s="25">
        <f t="shared" si="6"/>
        <v>1.08319266257374</v>
      </c>
      <c r="L13" s="25">
        <f t="shared" si="6"/>
        <v>1.04501576132046</v>
      </c>
      <c r="M13" s="25">
        <f t="shared" si="6"/>
        <v>1.08188834208954</v>
      </c>
      <c r="N13" s="25">
        <f t="shared" si="6"/>
        <v>1.02860044451591</v>
      </c>
      <c r="O13" s="25">
        <f t="shared" si="6"/>
        <v>1.05667945481298</v>
      </c>
      <c r="P13" s="25">
        <f t="shared" si="6"/>
        <v>1.090632602885</v>
      </c>
      <c r="Q13" s="25">
        <f t="shared" si="6"/>
        <v>1.12684014933595</v>
      </c>
      <c r="R13" s="25">
        <f t="shared" si="6"/>
        <v>1.01227135022663</v>
      </c>
      <c r="S13" s="25">
        <f t="shared" si="6"/>
        <v>0.824192326096176</v>
      </c>
    </row>
  </sheetData>
  <mergeCells count="4">
    <mergeCell ref="A1:N1"/>
    <mergeCell ref="D3:S3"/>
    <mergeCell ref="A3:A4"/>
    <mergeCell ref="A12:A1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A1" sqref="A1:M1"/>
    </sheetView>
  </sheetViews>
  <sheetFormatPr defaultColWidth="8.89090909090909" defaultRowHeight="14"/>
  <cols>
    <col min="1" max="1" width="7.21818181818182" customWidth="1"/>
    <col min="2" max="2" width="17.6636363636364" customWidth="1"/>
    <col min="3" max="13" width="10.5545454545455" customWidth="1"/>
  </cols>
  <sheetData>
    <row r="1" ht="26" customHeight="1" spans="1:13">
      <c r="A1" s="1" t="s">
        <v>208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.9" customHeight="1" spans="1:19">
      <c r="A2" s="2" t="s">
        <v>2</v>
      </c>
      <c r="B2" s="3" t="s">
        <v>83</v>
      </c>
      <c r="C2" s="4" t="s">
        <v>209</v>
      </c>
      <c r="D2" s="4"/>
      <c r="E2" s="4"/>
      <c r="F2" s="4"/>
      <c r="G2" s="4"/>
      <c r="H2" s="4"/>
      <c r="I2" s="4"/>
      <c r="J2" s="4"/>
      <c r="K2" s="4"/>
      <c r="L2" s="4"/>
      <c r="M2" s="8"/>
      <c r="N2" s="8"/>
      <c r="O2" s="8"/>
      <c r="P2" s="8"/>
      <c r="Q2" s="8"/>
      <c r="R2" s="8"/>
      <c r="S2" s="8"/>
    </row>
    <row r="3" spans="1:19">
      <c r="A3" s="2"/>
      <c r="B3" s="3"/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9"/>
      <c r="N3" s="9"/>
      <c r="O3" s="9"/>
      <c r="P3" s="9"/>
      <c r="Q3" s="9"/>
      <c r="R3" s="9"/>
      <c r="S3" s="9"/>
    </row>
    <row r="4" spans="1:19">
      <c r="A4" s="2">
        <v>1</v>
      </c>
      <c r="B4" s="6" t="s">
        <v>210</v>
      </c>
      <c r="C4" s="7">
        <f t="shared" ref="C4:L4" si="0">C5-C9</f>
        <v>487.66041620444</v>
      </c>
      <c r="D4" s="7">
        <f t="shared" si="0"/>
        <v>304.069374204579</v>
      </c>
      <c r="E4" s="7">
        <f t="shared" si="0"/>
        <v>305.072502704579</v>
      </c>
      <c r="F4" s="7">
        <f t="shared" si="0"/>
        <v>303.804631204579</v>
      </c>
      <c r="G4" s="7">
        <f t="shared" si="0"/>
        <v>303.509759704579</v>
      </c>
      <c r="H4" s="7">
        <f t="shared" si="0"/>
        <v>301.269598954579</v>
      </c>
      <c r="I4" s="7">
        <f t="shared" si="0"/>
        <v>299.001598954579</v>
      </c>
      <c r="J4" s="7">
        <f t="shared" si="0"/>
        <v>296.607598954579</v>
      </c>
      <c r="K4" s="7">
        <f t="shared" si="0"/>
        <v>294.087598954579</v>
      </c>
      <c r="L4" s="7">
        <f t="shared" si="0"/>
        <v>287.787598954579</v>
      </c>
      <c r="M4" s="10"/>
      <c r="N4" s="9"/>
      <c r="O4" s="9"/>
      <c r="P4" s="9"/>
      <c r="Q4" s="9"/>
      <c r="R4" s="9"/>
      <c r="S4" s="9"/>
    </row>
    <row r="5" spans="1:19">
      <c r="A5" s="2">
        <v>1.1</v>
      </c>
      <c r="B5" s="6" t="s">
        <v>171</v>
      </c>
      <c r="C5" s="7">
        <f t="shared" ref="C5:L5" si="1">SUM(C6:C8)</f>
        <v>560.52660326616</v>
      </c>
      <c r="D5" s="7">
        <f t="shared" si="1"/>
        <v>449.53879302</v>
      </c>
      <c r="E5" s="7">
        <f t="shared" si="1"/>
        <v>451.99579302</v>
      </c>
      <c r="F5" s="7">
        <f t="shared" si="1"/>
        <v>454.45279302</v>
      </c>
      <c r="G5" s="7">
        <f t="shared" si="1"/>
        <v>456.90979302</v>
      </c>
      <c r="H5" s="7">
        <f t="shared" si="1"/>
        <v>458.13829302</v>
      </c>
      <c r="I5" s="7">
        <f t="shared" si="1"/>
        <v>458.13829302</v>
      </c>
      <c r="J5" s="7">
        <f t="shared" si="1"/>
        <v>458.13829302</v>
      </c>
      <c r="K5" s="7">
        <f t="shared" si="1"/>
        <v>458.13829302</v>
      </c>
      <c r="L5" s="7">
        <f t="shared" si="1"/>
        <v>458.13829302</v>
      </c>
      <c r="M5" s="10"/>
      <c r="N5" s="9"/>
      <c r="O5" s="9"/>
      <c r="P5" s="9"/>
      <c r="Q5" s="9"/>
      <c r="R5" s="9"/>
      <c r="S5" s="9"/>
    </row>
    <row r="6" spans="1:19">
      <c r="A6" s="2" t="s">
        <v>96</v>
      </c>
      <c r="B6" s="6" t="s">
        <v>94</v>
      </c>
      <c r="C6" s="7">
        <f>营业收入及税金表!D5</f>
        <v>220.20519204</v>
      </c>
      <c r="D6" s="7">
        <f>营业收入及税金表!E5</f>
        <v>449.53879302</v>
      </c>
      <c r="E6" s="7">
        <f>营业收入及税金表!F5</f>
        <v>451.99579302</v>
      </c>
      <c r="F6" s="7">
        <f>营业收入及税金表!G5</f>
        <v>454.45279302</v>
      </c>
      <c r="G6" s="7">
        <f>营业收入及税金表!H5</f>
        <v>456.90979302</v>
      </c>
      <c r="H6" s="7">
        <f>营业收入及税金表!I5</f>
        <v>458.13829302</v>
      </c>
      <c r="I6" s="7">
        <f>营业收入及税金表!J5</f>
        <v>458.13829302</v>
      </c>
      <c r="J6" s="7">
        <f>营业收入及税金表!K5</f>
        <v>458.13829302</v>
      </c>
      <c r="K6" s="7">
        <f>营业收入及税金表!L5</f>
        <v>458.13829302</v>
      </c>
      <c r="L6" s="7">
        <f>营业收入及税金表!M5</f>
        <v>458.13829302</v>
      </c>
      <c r="M6" s="10"/>
      <c r="N6" s="9"/>
      <c r="O6" s="9"/>
      <c r="P6" s="9"/>
      <c r="Q6" s="9"/>
      <c r="R6" s="9"/>
      <c r="S6" s="9"/>
    </row>
    <row r="7" spans="1:19">
      <c r="A7" s="2" t="s">
        <v>98</v>
      </c>
      <c r="B7" s="6" t="s">
        <v>150</v>
      </c>
      <c r="C7" s="7">
        <f>项目投资现金流量表!D7</f>
        <v>340.32141122616</v>
      </c>
      <c r="D7" s="7"/>
      <c r="E7" s="7"/>
      <c r="F7" s="7"/>
      <c r="G7" s="7"/>
      <c r="H7" s="7"/>
      <c r="I7" s="7"/>
      <c r="J7" s="7"/>
      <c r="K7" s="7"/>
      <c r="L7" s="7"/>
      <c r="M7" s="10"/>
      <c r="N7" s="9"/>
      <c r="O7" s="9"/>
      <c r="P7" s="9"/>
      <c r="Q7" s="9"/>
      <c r="R7" s="9"/>
      <c r="S7" s="9"/>
    </row>
    <row r="8" spans="1:19">
      <c r="A8" s="2" t="s">
        <v>100</v>
      </c>
      <c r="B8" s="6" t="s">
        <v>211</v>
      </c>
      <c r="C8" s="7"/>
      <c r="D8" s="7"/>
      <c r="E8" s="7"/>
      <c r="F8" s="7"/>
      <c r="G8" s="7"/>
      <c r="H8" s="7"/>
      <c r="I8" s="7"/>
      <c r="J8" s="7"/>
      <c r="K8" s="7"/>
      <c r="L8" s="7"/>
      <c r="M8" s="10"/>
      <c r="N8" s="9"/>
      <c r="O8" s="9"/>
      <c r="P8" s="9"/>
      <c r="Q8" s="9"/>
      <c r="R8" s="9"/>
      <c r="S8" s="9"/>
    </row>
    <row r="9" spans="1:19">
      <c r="A9" s="2">
        <v>1.2</v>
      </c>
      <c r="B9" s="6" t="s">
        <v>175</v>
      </c>
      <c r="C9" s="7">
        <f t="shared" ref="C9:L9" si="2">SUM(C10:C13)</f>
        <v>72.86618706172</v>
      </c>
      <c r="D9" s="7">
        <f t="shared" si="2"/>
        <v>145.469418815421</v>
      </c>
      <c r="E9" s="7">
        <f t="shared" si="2"/>
        <v>146.923290315421</v>
      </c>
      <c r="F9" s="7">
        <f t="shared" si="2"/>
        <v>150.648161815421</v>
      </c>
      <c r="G9" s="7">
        <f t="shared" si="2"/>
        <v>153.400033315421</v>
      </c>
      <c r="H9" s="7">
        <f t="shared" si="2"/>
        <v>156.868694065421</v>
      </c>
      <c r="I9" s="7">
        <f t="shared" si="2"/>
        <v>159.136694065421</v>
      </c>
      <c r="J9" s="7">
        <f t="shared" si="2"/>
        <v>161.530694065421</v>
      </c>
      <c r="K9" s="7">
        <f t="shared" si="2"/>
        <v>164.050694065421</v>
      </c>
      <c r="L9" s="7">
        <f t="shared" si="2"/>
        <v>170.350694065421</v>
      </c>
      <c r="M9" s="10"/>
      <c r="N9" s="9"/>
      <c r="O9" s="9"/>
      <c r="P9" s="9"/>
      <c r="Q9" s="9"/>
      <c r="R9" s="9"/>
      <c r="S9" s="9"/>
    </row>
    <row r="10" spans="1:19">
      <c r="A10" s="2" t="s">
        <v>107</v>
      </c>
      <c r="B10" s="6" t="s">
        <v>178</v>
      </c>
      <c r="C10" s="7">
        <f>总成本费用表!D10</f>
        <v>42.3327171</v>
      </c>
      <c r="D10" s="7">
        <f>总成本费用表!E10</f>
        <v>85.20345105</v>
      </c>
      <c r="E10" s="7">
        <f>总成本费用表!F10</f>
        <v>85.20345105</v>
      </c>
      <c r="F10" s="7">
        <f>总成本费用表!G10</f>
        <v>85.20345105</v>
      </c>
      <c r="G10" s="7">
        <f>总成本费用表!H10</f>
        <v>85.20345105</v>
      </c>
      <c r="H10" s="7">
        <f>总成本费用表!I10</f>
        <v>86.34345105</v>
      </c>
      <c r="I10" s="7">
        <f>总成本费用表!J10</f>
        <v>86.34345105</v>
      </c>
      <c r="J10" s="7">
        <f>总成本费用表!K10</f>
        <v>86.34345105</v>
      </c>
      <c r="K10" s="7">
        <f>总成本费用表!L10</f>
        <v>86.34345105</v>
      </c>
      <c r="L10" s="7">
        <f>总成本费用表!M10</f>
        <v>86.34345105</v>
      </c>
      <c r="M10" s="10"/>
      <c r="N10" s="9"/>
      <c r="O10" s="9"/>
      <c r="P10" s="9"/>
      <c r="Q10" s="9"/>
      <c r="R10" s="9"/>
      <c r="S10" s="9"/>
    </row>
    <row r="11" spans="1:19">
      <c r="A11" s="2" t="s">
        <v>109</v>
      </c>
      <c r="B11" s="6" t="s">
        <v>212</v>
      </c>
      <c r="C11" s="7">
        <f>利润及利润分配表!D6+利润及利润分配表!D7</f>
        <v>30.53346996172</v>
      </c>
      <c r="D11" s="7">
        <f>利润及利润分配表!E6+利润及利润分配表!E7</f>
        <v>62.18311340186</v>
      </c>
      <c r="E11" s="7">
        <f>利润及利润分配表!F6+利润及利润分配表!F7</f>
        <v>62.34527540186</v>
      </c>
      <c r="F11" s="7">
        <f>利润及利润分配表!G6+利润及利润分配表!G7</f>
        <v>62.50743740186</v>
      </c>
      <c r="G11" s="7">
        <f>利润及利润分配表!H6+利润及利润分配表!H7</f>
        <v>62.66959940186</v>
      </c>
      <c r="H11" s="7">
        <f>利润及利润分配表!I6+利润及利润分配表!I7</f>
        <v>62.72098040186</v>
      </c>
      <c r="I11" s="7">
        <f>利润及利润分配表!J6+利润及利润分配表!J7</f>
        <v>62.72098040186</v>
      </c>
      <c r="J11" s="7">
        <f>利润及利润分配表!K6+利润及利润分配表!K7</f>
        <v>62.72098040186</v>
      </c>
      <c r="K11" s="7">
        <f>利润及利润分配表!L6+利润及利润分配表!L7</f>
        <v>62.72098040186</v>
      </c>
      <c r="L11" s="7">
        <f>利润及利润分配表!M6+利润及利润分配表!M7</f>
        <v>62.72098040186</v>
      </c>
      <c r="M11" s="10"/>
      <c r="N11" s="9"/>
      <c r="O11" s="9"/>
      <c r="P11" s="9"/>
      <c r="Q11" s="9"/>
      <c r="R11" s="9"/>
      <c r="S11" s="9"/>
    </row>
    <row r="12" spans="1:19">
      <c r="A12" s="2" t="s">
        <v>111</v>
      </c>
      <c r="B12" s="6" t="s">
        <v>154</v>
      </c>
      <c r="C12" s="7">
        <f>利润及利润分配表!D13</f>
        <v>0</v>
      </c>
      <c r="D12" s="7">
        <f>利润及利润分配表!E13</f>
        <v>-1.91714563643934</v>
      </c>
      <c r="E12" s="7">
        <f>利润及利润分配表!F13</f>
        <v>-0.625436136439339</v>
      </c>
      <c r="F12" s="7">
        <f>利润及利润分配表!G13</f>
        <v>2.93727336356066</v>
      </c>
      <c r="G12" s="7">
        <f>利润及利润分配表!H13</f>
        <v>5.52698286356065</v>
      </c>
      <c r="H12" s="7">
        <f>利润及利润分配表!I13</f>
        <v>7.80426261356067</v>
      </c>
      <c r="I12" s="7">
        <f>利润及利润分配表!J13</f>
        <v>10.0722626135607</v>
      </c>
      <c r="J12" s="7">
        <f>利润及利润分配表!K13</f>
        <v>12.4662626135607</v>
      </c>
      <c r="K12" s="7">
        <f>利润及利润分配表!L13</f>
        <v>14.9862626135607</v>
      </c>
      <c r="L12" s="7">
        <f>利润及利润分配表!M13</f>
        <v>21.2862626135607</v>
      </c>
      <c r="M12" s="10"/>
      <c r="N12" s="9"/>
      <c r="O12" s="9"/>
      <c r="P12" s="9"/>
      <c r="Q12" s="9"/>
      <c r="R12" s="9"/>
      <c r="S12" s="9"/>
    </row>
    <row r="13" spans="1:19">
      <c r="A13" s="2" t="s">
        <v>112</v>
      </c>
      <c r="B13" s="6" t="s">
        <v>213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0"/>
      <c r="N13" s="9"/>
      <c r="O13" s="9"/>
      <c r="P13" s="9"/>
      <c r="Q13" s="9"/>
      <c r="R13" s="9"/>
      <c r="S13" s="9"/>
    </row>
    <row r="14" spans="1:19">
      <c r="A14" s="2">
        <v>2</v>
      </c>
      <c r="B14" s="6" t="s">
        <v>214</v>
      </c>
      <c r="C14" s="7">
        <f>C15-C16</f>
        <v>-3819.149013624</v>
      </c>
      <c r="D14" s="7"/>
      <c r="E14" s="7"/>
      <c r="F14" s="7"/>
      <c r="G14" s="7"/>
      <c r="H14" s="7"/>
      <c r="I14" s="7"/>
      <c r="J14" s="7"/>
      <c r="K14" s="7"/>
      <c r="L14" s="7"/>
      <c r="M14" s="10"/>
      <c r="N14" s="9"/>
      <c r="O14" s="9"/>
      <c r="P14" s="9"/>
      <c r="Q14" s="9"/>
      <c r="R14" s="9"/>
      <c r="S14" s="9"/>
    </row>
    <row r="15" spans="1:19">
      <c r="A15" s="2">
        <v>2.1</v>
      </c>
      <c r="B15" s="6" t="s">
        <v>171</v>
      </c>
      <c r="C15" s="7">
        <v>0</v>
      </c>
      <c r="D15" s="7"/>
      <c r="E15" s="7"/>
      <c r="F15" s="7"/>
      <c r="G15" s="7"/>
      <c r="H15" s="7"/>
      <c r="I15" s="7"/>
      <c r="J15" s="7"/>
      <c r="K15" s="7"/>
      <c r="L15" s="7"/>
      <c r="M15" s="10"/>
      <c r="N15" s="9"/>
      <c r="O15" s="9"/>
      <c r="P15" s="9"/>
      <c r="Q15" s="9"/>
      <c r="R15" s="9"/>
      <c r="S15" s="9"/>
    </row>
    <row r="16" spans="1:19">
      <c r="A16" s="2">
        <v>2.2</v>
      </c>
      <c r="B16" s="6" t="s">
        <v>175</v>
      </c>
      <c r="C16" s="7">
        <f>SUM(C17:C20)</f>
        <v>3819.149013624</v>
      </c>
      <c r="D16" s="7"/>
      <c r="E16" s="7"/>
      <c r="F16" s="7"/>
      <c r="G16" s="7"/>
      <c r="H16" s="7"/>
      <c r="I16" s="7"/>
      <c r="J16" s="7"/>
      <c r="K16" s="7"/>
      <c r="L16" s="7"/>
      <c r="M16" s="10"/>
      <c r="N16" s="9"/>
      <c r="O16" s="9"/>
      <c r="P16" s="9"/>
      <c r="Q16" s="9"/>
      <c r="R16" s="9"/>
      <c r="S16" s="9"/>
    </row>
    <row r="17" spans="1:19">
      <c r="A17" s="2" t="s">
        <v>215</v>
      </c>
      <c r="B17" s="6" t="s">
        <v>176</v>
      </c>
      <c r="C17" s="7">
        <f>总投资!G54</f>
        <v>3819.149013624</v>
      </c>
      <c r="D17" s="7"/>
      <c r="E17" s="7"/>
      <c r="F17" s="7"/>
      <c r="G17" s="7"/>
      <c r="H17" s="7"/>
      <c r="I17" s="7"/>
      <c r="J17" s="7"/>
      <c r="K17" s="7"/>
      <c r="L17" s="7"/>
      <c r="M17" s="10"/>
      <c r="N17" s="9"/>
      <c r="O17" s="9"/>
      <c r="P17" s="9"/>
      <c r="Q17" s="9"/>
      <c r="R17" s="9"/>
      <c r="S17" s="9"/>
    </row>
    <row r="18" spans="1:19">
      <c r="A18" s="2" t="s">
        <v>216</v>
      </c>
      <c r="B18" s="6" t="s">
        <v>179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0"/>
      <c r="N18" s="9"/>
      <c r="O18" s="9"/>
      <c r="P18" s="9"/>
      <c r="Q18" s="9"/>
      <c r="R18" s="9"/>
      <c r="S18" s="9"/>
    </row>
    <row r="19" spans="1:19">
      <c r="A19" s="2" t="s">
        <v>217</v>
      </c>
      <c r="B19" s="6" t="s">
        <v>177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0"/>
      <c r="N19" s="9"/>
      <c r="O19" s="9"/>
      <c r="P19" s="9"/>
      <c r="Q19" s="9"/>
      <c r="R19" s="9"/>
      <c r="S19" s="9"/>
    </row>
    <row r="20" spans="1:19">
      <c r="A20" s="2" t="s">
        <v>218</v>
      </c>
      <c r="B20" s="6" t="s">
        <v>213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0"/>
      <c r="N20" s="9"/>
      <c r="O20" s="9"/>
      <c r="P20" s="9"/>
      <c r="Q20" s="9"/>
      <c r="R20" s="9"/>
      <c r="S20" s="9"/>
    </row>
    <row r="21" spans="1:19">
      <c r="A21" s="2">
        <v>3</v>
      </c>
      <c r="B21" s="6" t="s">
        <v>219</v>
      </c>
      <c r="C21" s="7">
        <f t="shared" ref="C21:L21" si="3">C22-C26</f>
        <v>12550.56</v>
      </c>
      <c r="D21" s="7">
        <f t="shared" si="3"/>
        <v>-194.844</v>
      </c>
      <c r="E21" s="7">
        <f t="shared" si="3"/>
        <v>-285.152</v>
      </c>
      <c r="F21" s="7">
        <f t="shared" si="3"/>
        <v>-278.6</v>
      </c>
      <c r="G21" s="7">
        <f t="shared" si="3"/>
        <v>-311.544</v>
      </c>
      <c r="H21" s="7">
        <f t="shared" si="3"/>
        <v>-303.48</v>
      </c>
      <c r="I21" s="7">
        <f t="shared" si="3"/>
        <v>-294.408</v>
      </c>
      <c r="J21" s="7">
        <f t="shared" si="3"/>
        <v>-305.336</v>
      </c>
      <c r="K21" s="7">
        <f t="shared" si="3"/>
        <v>-295.76</v>
      </c>
      <c r="L21" s="7">
        <f t="shared" si="3"/>
        <v>-325.68</v>
      </c>
      <c r="M21" s="10"/>
      <c r="N21" s="11"/>
      <c r="O21" s="11"/>
      <c r="P21" s="11"/>
      <c r="Q21" s="11"/>
      <c r="R21" s="11"/>
      <c r="S21" s="11"/>
    </row>
    <row r="22" spans="1:19">
      <c r="A22" s="2">
        <v>3.1</v>
      </c>
      <c r="B22" s="6" t="s">
        <v>171</v>
      </c>
      <c r="C22" s="7">
        <f>SUM(C23:C25)</f>
        <v>12648.36</v>
      </c>
      <c r="D22" s="7"/>
      <c r="E22" s="7"/>
      <c r="F22" s="7"/>
      <c r="G22" s="7"/>
      <c r="H22" s="7"/>
      <c r="I22" s="7"/>
      <c r="J22" s="7"/>
      <c r="K22" s="7"/>
      <c r="L22" s="7"/>
      <c r="M22" s="10"/>
      <c r="N22" s="9"/>
      <c r="O22" s="9"/>
      <c r="P22" s="9"/>
      <c r="Q22" s="9"/>
      <c r="R22" s="9"/>
      <c r="S22" s="9"/>
    </row>
    <row r="23" spans="1:19">
      <c r="A23" s="2" t="s">
        <v>220</v>
      </c>
      <c r="B23" s="6" t="s">
        <v>221</v>
      </c>
      <c r="C23" s="7">
        <v>2648.36</v>
      </c>
      <c r="D23" s="7"/>
      <c r="E23" s="7"/>
      <c r="F23" s="7"/>
      <c r="G23" s="7"/>
      <c r="H23" s="7"/>
      <c r="I23" s="7"/>
      <c r="J23" s="7"/>
      <c r="K23" s="7"/>
      <c r="L23" s="7"/>
      <c r="M23" s="10"/>
      <c r="N23" s="9"/>
      <c r="O23" s="9"/>
      <c r="P23" s="9"/>
      <c r="Q23" s="9"/>
      <c r="R23" s="9"/>
      <c r="S23" s="9"/>
    </row>
    <row r="24" spans="1:19">
      <c r="A24" s="2" t="s">
        <v>222</v>
      </c>
      <c r="B24" s="6" t="s">
        <v>198</v>
      </c>
      <c r="C24" s="7">
        <v>10000</v>
      </c>
      <c r="D24" s="7"/>
      <c r="E24" s="7"/>
      <c r="F24" s="7"/>
      <c r="G24" s="7"/>
      <c r="H24" s="7"/>
      <c r="I24" s="7"/>
      <c r="J24" s="7"/>
      <c r="K24" s="7"/>
      <c r="L24" s="7"/>
      <c r="M24" s="10"/>
      <c r="N24" s="9"/>
      <c r="O24" s="9"/>
      <c r="P24" s="9"/>
      <c r="Q24" s="9"/>
      <c r="R24" s="9"/>
      <c r="S24" s="9"/>
    </row>
    <row r="25" spans="1:19">
      <c r="A25" s="2" t="s">
        <v>223</v>
      </c>
      <c r="B25" s="6" t="s">
        <v>211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0"/>
      <c r="N25" s="9"/>
      <c r="O25" s="9"/>
      <c r="P25" s="9"/>
      <c r="Q25" s="9"/>
      <c r="R25" s="9"/>
      <c r="S25" s="9"/>
    </row>
    <row r="26" spans="1:19">
      <c r="A26" s="2">
        <v>3.2</v>
      </c>
      <c r="B26" s="6" t="s">
        <v>175</v>
      </c>
      <c r="C26" s="7">
        <f t="shared" ref="C26:L26" si="4">SUM(C27:C30)</f>
        <v>97.8</v>
      </c>
      <c r="D26" s="7">
        <f t="shared" si="4"/>
        <v>194.844</v>
      </c>
      <c r="E26" s="7">
        <f t="shared" si="4"/>
        <v>285.152</v>
      </c>
      <c r="F26" s="7">
        <f t="shared" si="4"/>
        <v>278.6</v>
      </c>
      <c r="G26" s="7">
        <f t="shared" si="4"/>
        <v>311.544</v>
      </c>
      <c r="H26" s="7">
        <f t="shared" si="4"/>
        <v>303.48</v>
      </c>
      <c r="I26" s="7">
        <f t="shared" si="4"/>
        <v>294.408</v>
      </c>
      <c r="J26" s="7">
        <f t="shared" si="4"/>
        <v>305.336</v>
      </c>
      <c r="K26" s="7">
        <f t="shared" si="4"/>
        <v>295.76</v>
      </c>
      <c r="L26" s="7">
        <f t="shared" si="4"/>
        <v>325.68</v>
      </c>
      <c r="M26" s="10"/>
      <c r="N26" s="9"/>
      <c r="O26" s="9"/>
      <c r="P26" s="9"/>
      <c r="Q26" s="9"/>
      <c r="R26" s="9"/>
      <c r="S26" s="9"/>
    </row>
    <row r="27" spans="1:19">
      <c r="A27" s="2" t="s">
        <v>224</v>
      </c>
      <c r="B27" s="6" t="s">
        <v>142</v>
      </c>
      <c r="C27" s="7">
        <f>还本付息表!D9</f>
        <v>37.8</v>
      </c>
      <c r="D27" s="7">
        <f>还本付息表!E9</f>
        <v>74.844</v>
      </c>
      <c r="E27" s="7">
        <f>还本付息表!F9</f>
        <v>145.152</v>
      </c>
      <c r="F27" s="7">
        <f>还本付息表!G9</f>
        <v>138.6</v>
      </c>
      <c r="G27" s="7">
        <f>还本付息表!H9</f>
        <v>131.544</v>
      </c>
      <c r="H27" s="7">
        <f>还本付息表!I9</f>
        <v>123.48</v>
      </c>
      <c r="I27" s="7">
        <f>还本付息表!J9</f>
        <v>114.408</v>
      </c>
      <c r="J27" s="7">
        <f>还本付息表!K9</f>
        <v>105.336</v>
      </c>
      <c r="K27" s="7">
        <f>还本付息表!L9</f>
        <v>95.76</v>
      </c>
      <c r="L27" s="7">
        <f>还本付息表!M9</f>
        <v>85.68</v>
      </c>
      <c r="M27" s="10"/>
      <c r="N27" s="9"/>
      <c r="O27" s="9"/>
      <c r="P27" s="9"/>
      <c r="Q27" s="9"/>
      <c r="R27" s="9"/>
      <c r="S27" s="9"/>
    </row>
    <row r="28" spans="1:19">
      <c r="A28" s="2" t="s">
        <v>225</v>
      </c>
      <c r="B28" s="6" t="s">
        <v>226</v>
      </c>
      <c r="C28" s="7">
        <f>还本付息表!E8</f>
        <v>60</v>
      </c>
      <c r="D28" s="7">
        <f>还本付息表!F8</f>
        <v>120</v>
      </c>
      <c r="E28" s="7">
        <f>还本付息表!G8</f>
        <v>140</v>
      </c>
      <c r="F28" s="7">
        <f>还本付息表!H8</f>
        <v>140</v>
      </c>
      <c r="G28" s="7">
        <f>还本付息表!I8</f>
        <v>180</v>
      </c>
      <c r="H28" s="7">
        <f>还本付息表!J8</f>
        <v>180</v>
      </c>
      <c r="I28" s="7">
        <f>还本付息表!K8</f>
        <v>180</v>
      </c>
      <c r="J28" s="7">
        <f>还本付息表!L8</f>
        <v>200</v>
      </c>
      <c r="K28" s="7">
        <f>还本付息表!M8</f>
        <v>200</v>
      </c>
      <c r="L28" s="7">
        <f>还本付息表!N8</f>
        <v>240</v>
      </c>
      <c r="M28" s="10"/>
      <c r="N28" s="9"/>
      <c r="O28" s="9"/>
      <c r="P28" s="9"/>
      <c r="Q28" s="9"/>
      <c r="R28" s="9"/>
      <c r="S28" s="9"/>
    </row>
    <row r="29" spans="1:19">
      <c r="A29" s="2" t="s">
        <v>227</v>
      </c>
      <c r="B29" s="6" t="s">
        <v>228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0"/>
      <c r="N29" s="9"/>
      <c r="O29" s="9"/>
      <c r="P29" s="9"/>
      <c r="Q29" s="9"/>
      <c r="R29" s="9"/>
      <c r="S29" s="9"/>
    </row>
    <row r="30" spans="1:19">
      <c r="A30" s="2" t="s">
        <v>229</v>
      </c>
      <c r="B30" s="6" t="s">
        <v>213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0"/>
      <c r="N30" s="9"/>
      <c r="O30" s="9"/>
      <c r="P30" s="9"/>
      <c r="Q30" s="9"/>
      <c r="R30" s="9"/>
      <c r="S30" s="9"/>
    </row>
    <row r="31" spans="1:19">
      <c r="A31" s="2" t="s">
        <v>73</v>
      </c>
      <c r="B31" s="6" t="s">
        <v>230</v>
      </c>
      <c r="C31" s="7">
        <f t="shared" ref="C31:L31" si="5">C21+C14+C4</f>
        <v>9219.07140258044</v>
      </c>
      <c r="D31" s="7">
        <f t="shared" si="5"/>
        <v>109.225374204579</v>
      </c>
      <c r="E31" s="7">
        <f t="shared" si="5"/>
        <v>19.9205027045793</v>
      </c>
      <c r="F31" s="7">
        <f t="shared" si="5"/>
        <v>25.2046312045793</v>
      </c>
      <c r="G31" s="7">
        <f t="shared" si="5"/>
        <v>-8.03424029542066</v>
      </c>
      <c r="H31" s="7">
        <f t="shared" si="5"/>
        <v>-2.21040104542067</v>
      </c>
      <c r="I31" s="7">
        <f t="shared" si="5"/>
        <v>4.59359895457931</v>
      </c>
      <c r="J31" s="7">
        <f t="shared" si="5"/>
        <v>-8.7284010454207</v>
      </c>
      <c r="K31" s="7">
        <f t="shared" si="5"/>
        <v>-1.67240104542066</v>
      </c>
      <c r="L31" s="7">
        <f t="shared" si="5"/>
        <v>-37.8924010454207</v>
      </c>
      <c r="M31" s="10"/>
      <c r="N31" s="11"/>
      <c r="O31" s="11"/>
      <c r="P31" s="11"/>
      <c r="Q31" s="11"/>
      <c r="R31" s="11"/>
      <c r="S31" s="11"/>
    </row>
    <row r="32" spans="1:19">
      <c r="A32" s="2" t="s">
        <v>76</v>
      </c>
      <c r="B32" s="6" t="s">
        <v>231</v>
      </c>
      <c r="C32" s="7">
        <f>C31</f>
        <v>9219.07140258044</v>
      </c>
      <c r="D32" s="7">
        <f t="shared" ref="D32:L32" si="6">D31+C32</f>
        <v>9328.29677678502</v>
      </c>
      <c r="E32" s="7">
        <f t="shared" si="6"/>
        <v>9348.2172794896</v>
      </c>
      <c r="F32" s="7">
        <f t="shared" si="6"/>
        <v>9373.42191069418</v>
      </c>
      <c r="G32" s="7">
        <f t="shared" si="6"/>
        <v>9365.38767039876</v>
      </c>
      <c r="H32" s="7">
        <f t="shared" si="6"/>
        <v>9363.17726935334</v>
      </c>
      <c r="I32" s="7">
        <f t="shared" si="6"/>
        <v>9367.77086830792</v>
      </c>
      <c r="J32" s="7">
        <f t="shared" si="6"/>
        <v>9359.0424672625</v>
      </c>
      <c r="K32" s="7">
        <f t="shared" si="6"/>
        <v>9357.37006621708</v>
      </c>
      <c r="L32" s="7">
        <f t="shared" si="6"/>
        <v>9319.47766517166</v>
      </c>
      <c r="M32" s="10"/>
      <c r="N32" s="11"/>
      <c r="O32" s="11"/>
      <c r="P32" s="11"/>
      <c r="Q32" s="11"/>
      <c r="R32" s="11"/>
      <c r="S32" s="11"/>
    </row>
    <row r="33" spans="13:13">
      <c r="M33" s="12"/>
    </row>
  </sheetData>
  <mergeCells count="4">
    <mergeCell ref="A1:M1"/>
    <mergeCell ref="C2:L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总投资</vt:lpstr>
      <vt:lpstr>固定资产折旧</vt:lpstr>
      <vt:lpstr>营业收入及税金表</vt:lpstr>
      <vt:lpstr>总成本费用表</vt:lpstr>
      <vt:lpstr>利润及利润分配表</vt:lpstr>
      <vt:lpstr>项目投资现金流量表</vt:lpstr>
      <vt:lpstr>还本付息表</vt:lpstr>
      <vt:lpstr>项目财务现金流量表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小朋友</cp:lastModifiedBy>
  <dcterms:created xsi:type="dcterms:W3CDTF">2025-01-07T15:58:00Z</dcterms:created>
  <dcterms:modified xsi:type="dcterms:W3CDTF">2025-01-08T08:46:46Z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9B3DC4CD05624BC2BDA652EFA1D454AC_12</vt:lpwstr>
  </property>
  <property fmtid="{D5CDD505-2E9C-101B-9397-08002B2CF9AE}" pid="3" name="KSOProductBuildVer">
    <vt:lpwstr>2052-12.1.0.19302</vt:lpwstr>
  </property>
</Properties>
</file>