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200"/>
  </bookViews>
  <sheets>
    <sheet name="总投资" sheetId="1" r:id="rId1"/>
    <sheet name="固定资产折旧" sheetId="2" r:id="rId2"/>
    <sheet name="营业收入及税金表" sheetId="3" r:id="rId3"/>
    <sheet name="总成本费用表" sheetId="4" r:id="rId4"/>
    <sheet name="利润及利润分配表" sheetId="5" r:id="rId5"/>
    <sheet name="项目投资现金流量表" sheetId="6" r:id="rId6"/>
    <sheet name="还本付息表" sheetId="7" r:id="rId7"/>
    <sheet name="项目财务现金流量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<sst xmlns="http://schemas.openxmlformats.org/spreadsheetml/2006/main" count="394" uniqueCount="236">
  <si>
    <t>建设投资估算表</t>
  </si>
  <si>
    <t>单位：万元</t>
  </si>
  <si>
    <t>序号</t>
  </si>
  <si>
    <t>工程或费用名称</t>
  </si>
  <si>
    <t>建筑工程费</t>
  </si>
  <si>
    <t>安装工程费</t>
  </si>
  <si>
    <t>设备购置费</t>
  </si>
  <si>
    <t>其他费用</t>
  </si>
  <si>
    <t>合计</t>
  </si>
  <si>
    <t>单位</t>
  </si>
  <si>
    <t>数量</t>
  </si>
  <si>
    <t>综合单价（万元）</t>
  </si>
  <si>
    <t>一</t>
  </si>
  <si>
    <t>工程费用</t>
  </si>
  <si>
    <t>光伏发电工程</t>
  </si>
  <si>
    <t>光伏组件</t>
  </si>
  <si>
    <t>　</t>
  </si>
  <si>
    <t>KW</t>
  </si>
  <si>
    <t>光伏组件A级</t>
  </si>
  <si>
    <t>块</t>
  </si>
  <si>
    <t>逆变器</t>
  </si>
  <si>
    <t>台</t>
  </si>
  <si>
    <t>交流汇流箱</t>
  </si>
  <si>
    <t>光伏支架及配件</t>
  </si>
  <si>
    <t>km</t>
  </si>
  <si>
    <t>光伏直流电缆</t>
  </si>
  <si>
    <t>MC4连接器</t>
  </si>
  <si>
    <t>千套</t>
  </si>
  <si>
    <t>交流电缆</t>
  </si>
  <si>
    <t>干式变压器（箱变)</t>
  </si>
  <si>
    <t>光伏接入柜</t>
  </si>
  <si>
    <t>并网柜</t>
  </si>
  <si>
    <t>站用变电柜</t>
  </si>
  <si>
    <t>10kV动态无功补偿装置</t>
  </si>
  <si>
    <t>高压电缆</t>
  </si>
  <si>
    <t>m</t>
  </si>
  <si>
    <t>土建基础</t>
  </si>
  <si>
    <t>项</t>
  </si>
  <si>
    <t>组件、电气安装、辅材等</t>
  </si>
  <si>
    <t>电池储能
集装箱</t>
  </si>
  <si>
    <t>KWH</t>
  </si>
  <si>
    <t>电池系统 5000KWH</t>
  </si>
  <si>
    <t>个</t>
  </si>
  <si>
    <t>储能变流器</t>
  </si>
  <si>
    <t>集装箱柜体</t>
  </si>
  <si>
    <t>温控系统</t>
  </si>
  <si>
    <t>消防系统</t>
  </si>
  <si>
    <t>储能EMS</t>
  </si>
  <si>
    <t>附件</t>
  </si>
  <si>
    <t>储能箱基础及连接电缆</t>
  </si>
  <si>
    <t>园区配套工程</t>
  </si>
  <si>
    <t>㎡</t>
  </si>
  <si>
    <t>绿化等相关配套工程</t>
  </si>
  <si>
    <t>10kv储能变电站</t>
  </si>
  <si>
    <t>中心配电室变压器2000KVA</t>
  </si>
  <si>
    <t>光伏充电桩</t>
  </si>
  <si>
    <t>二</t>
  </si>
  <si>
    <t>工程建设其他费用</t>
  </si>
  <si>
    <t>建设用地费</t>
  </si>
  <si>
    <t>建设管理费</t>
  </si>
  <si>
    <t>建设工程监理费</t>
  </si>
  <si>
    <t>建设项目前期工作咨询费</t>
  </si>
  <si>
    <t>工程勘察费</t>
  </si>
  <si>
    <t>工程设计费</t>
  </si>
  <si>
    <t>环境影响咨询服务费</t>
  </si>
  <si>
    <t>场地准备费及临时设施费</t>
  </si>
  <si>
    <t>工程保险费</t>
  </si>
  <si>
    <t>招标代理服务费</t>
  </si>
  <si>
    <t>造价咨询费</t>
  </si>
  <si>
    <t>三</t>
  </si>
  <si>
    <t>预备费</t>
  </si>
  <si>
    <t>基本预备费</t>
  </si>
  <si>
    <r>
      <rPr>
        <sz val="7"/>
        <rFont val="宋体"/>
        <charset val="134"/>
      </rPr>
      <t>（一</t>
    </r>
    <r>
      <rPr>
        <sz val="7"/>
        <rFont val="Times New Roman"/>
        <charset val="134"/>
      </rPr>
      <t>+</t>
    </r>
    <r>
      <rPr>
        <sz val="7"/>
        <rFont val="宋体"/>
        <charset val="134"/>
      </rPr>
      <t>二）</t>
    </r>
    <r>
      <rPr>
        <sz val="7"/>
        <rFont val="Times New Roman"/>
        <charset val="134"/>
      </rPr>
      <t>*8%</t>
    </r>
  </si>
  <si>
    <t>涨价预备费</t>
  </si>
  <si>
    <t>四</t>
  </si>
  <si>
    <t>建设投资合计</t>
  </si>
  <si>
    <t>比例（%）</t>
  </si>
  <si>
    <t>五</t>
  </si>
  <si>
    <t>建设期利息</t>
  </si>
  <si>
    <t>六</t>
  </si>
  <si>
    <t>固定资产投资</t>
  </si>
  <si>
    <t>八</t>
  </si>
  <si>
    <t>项目总投资</t>
  </si>
  <si>
    <t>固定资产折旧表</t>
  </si>
  <si>
    <t>项目</t>
  </si>
  <si>
    <t>残值率</t>
  </si>
  <si>
    <t>折旧年限</t>
  </si>
  <si>
    <t>运营期</t>
  </si>
  <si>
    <t>附属物及设备折旧</t>
  </si>
  <si>
    <t>原值</t>
  </si>
  <si>
    <t>当期折旧额</t>
  </si>
  <si>
    <t>净值</t>
  </si>
  <si>
    <t>折旧费</t>
  </si>
  <si>
    <t>无形资产摊销</t>
  </si>
  <si>
    <t>营业收入及税金表</t>
  </si>
  <si>
    <t>营业收入</t>
  </si>
  <si>
    <t>光伏收入</t>
  </si>
  <si>
    <t>1.1.1</t>
  </si>
  <si>
    <t>装机容量</t>
  </si>
  <si>
    <t>1.1.2</t>
  </si>
  <si>
    <t>衰减值</t>
  </si>
  <si>
    <t>1.1.3</t>
  </si>
  <si>
    <t>1KW 光伏装机容量平均日发电量</t>
  </si>
  <si>
    <t>1.1.4</t>
  </si>
  <si>
    <t>年发电天数</t>
  </si>
  <si>
    <t>1.1.5</t>
  </si>
  <si>
    <t>工商业用电平均电价</t>
  </si>
  <si>
    <t>储能收入</t>
  </si>
  <si>
    <t>1.2.1</t>
  </si>
  <si>
    <t>峰谷价差加</t>
  </si>
  <si>
    <t>1.2.2</t>
  </si>
  <si>
    <t>360天一充一放扣能耗（万kwh/n)</t>
  </si>
  <si>
    <t>储能一次性补贴</t>
  </si>
  <si>
    <t>1.2.3</t>
  </si>
  <si>
    <t>储能容量</t>
  </si>
  <si>
    <t>1.2.4</t>
  </si>
  <si>
    <t>一次性补贴单价</t>
  </si>
  <si>
    <t>60kw充电桩收入</t>
  </si>
  <si>
    <t>1.4.1</t>
  </si>
  <si>
    <t>充电桩数量</t>
  </si>
  <si>
    <t>1.4.2</t>
  </si>
  <si>
    <t>充电使用率</t>
  </si>
  <si>
    <t>1.4.3</t>
  </si>
  <si>
    <t>收费标准</t>
  </si>
  <si>
    <t>1.4.4</t>
  </si>
  <si>
    <t>充电桩每小时充电量</t>
  </si>
  <si>
    <t>1.4.5</t>
  </si>
  <si>
    <t>充电小时数</t>
  </si>
  <si>
    <t>1.4.6</t>
  </si>
  <si>
    <t>年运营时间</t>
  </si>
  <si>
    <t>营业税金与附加</t>
  </si>
  <si>
    <t>营业税</t>
  </si>
  <si>
    <t>消费税</t>
  </si>
  <si>
    <t>城市建设维护税</t>
  </si>
  <si>
    <t>教育费附加</t>
  </si>
  <si>
    <t>增值税</t>
  </si>
  <si>
    <t>销项税额</t>
  </si>
  <si>
    <t>进项税额</t>
  </si>
  <si>
    <t>总成本费用表</t>
  </si>
  <si>
    <t>外购燃料及动力费</t>
  </si>
  <si>
    <t>工资及福利费</t>
  </si>
  <si>
    <t>保洁维护费</t>
  </si>
  <si>
    <t>管理费及其他</t>
  </si>
  <si>
    <t>电网过路费</t>
  </si>
  <si>
    <t>经营成本（1+2+3+4+5+6）</t>
  </si>
  <si>
    <t>摊销费</t>
  </si>
  <si>
    <t>利息支出</t>
  </si>
  <si>
    <t>总成本费用合计（6+7+8+9）</t>
  </si>
  <si>
    <t>其中：固定成本</t>
  </si>
  <si>
    <t>可变成本</t>
  </si>
  <si>
    <t>利润及利润分配表</t>
  </si>
  <si>
    <t>项	目</t>
  </si>
  <si>
    <t>营业税金及附加</t>
  </si>
  <si>
    <t>总成本费用</t>
  </si>
  <si>
    <t>补贴收入</t>
  </si>
  <si>
    <t>利润总额（1-2-3+4）</t>
  </si>
  <si>
    <t>弥补以前年度亏损</t>
  </si>
  <si>
    <t>应纳税所得额（5-6）</t>
  </si>
  <si>
    <t>所得税</t>
  </si>
  <si>
    <t>净利润（5-8）</t>
  </si>
  <si>
    <t>期初未分配利润</t>
  </si>
  <si>
    <t>可供分配的利润（9+10）</t>
  </si>
  <si>
    <t>提取法定盈余公积金</t>
  </si>
  <si>
    <t>可供投资者分配的利润（11-12）</t>
  </si>
  <si>
    <t>应付优先股股利</t>
  </si>
  <si>
    <t>提取任意盈余公积金</t>
  </si>
  <si>
    <t>应付普通股股利（13-14-15）</t>
  </si>
  <si>
    <t>各投资方利润分配</t>
  </si>
  <si>
    <t>其中：</t>
  </si>
  <si>
    <t>未分配利润（13-14-15-17）</t>
  </si>
  <si>
    <t>息税前利润（利润总额+利息支出）</t>
  </si>
  <si>
    <t>息税折旧摊销前利润（息税前利润+折旧+摊销）</t>
  </si>
  <si>
    <t>项目投资现金流量表</t>
  </si>
  <si>
    <r>
      <rPr>
        <b/>
        <sz val="8"/>
        <color rgb="FF000000"/>
        <rFont val="宋体"/>
        <charset val="134"/>
      </rPr>
      <t>项</t>
    </r>
    <r>
      <rPr>
        <b/>
        <sz val="8"/>
        <color rgb="FF000000"/>
        <rFont val="宋体"/>
        <charset val="134"/>
      </rPr>
      <t>目</t>
    </r>
  </si>
  <si>
    <t>计算期</t>
  </si>
  <si>
    <t>现金流入</t>
  </si>
  <si>
    <t>留抵退税</t>
  </si>
  <si>
    <t>回收固定资产余值</t>
  </si>
  <si>
    <t>回收流动资金</t>
  </si>
  <si>
    <t>现金流出</t>
  </si>
  <si>
    <t>建设投资</t>
  </si>
  <si>
    <t>流动资金</t>
  </si>
  <si>
    <t>经营成本</t>
  </si>
  <si>
    <t>维持运营投资</t>
  </si>
  <si>
    <t>所得税前净现金流量（1-2）</t>
  </si>
  <si>
    <t>累计所得税前净现金流量</t>
  </si>
  <si>
    <t>所得税前净现金流量现值</t>
  </si>
  <si>
    <t>累计所得税前净现金流量现值</t>
  </si>
  <si>
    <t>调整所得税</t>
  </si>
  <si>
    <t>所得税后净现金流量（3-5）</t>
  </si>
  <si>
    <t>累计所得税后净现金流量</t>
  </si>
  <si>
    <t>所得税后净现金流量现值</t>
  </si>
  <si>
    <t>累计所得税后净现金流量现值</t>
  </si>
  <si>
    <t>计算指标：</t>
  </si>
  <si>
    <r>
      <rPr>
        <sz val="8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）（所得税前）</t>
    </r>
  </si>
  <si>
    <r>
      <rPr>
        <sz val="8"/>
        <color rgb="FF000000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）（所得税后）</t>
    </r>
  </si>
  <si>
    <r>
      <rPr>
        <sz val="8"/>
        <rFont val="宋体"/>
        <charset val="134"/>
      </rPr>
      <t>项目投资财务净现值（所得税前）（</t>
    </r>
    <r>
      <rPr>
        <sz val="8"/>
        <color rgb="FF000000"/>
        <rFont val="Times New Roman"/>
        <charset val="134"/>
      </rPr>
      <t>ic=</t>
    </r>
    <r>
      <rPr>
        <sz val="8"/>
        <color rgb="FF000000"/>
        <rFont val="Arial"/>
        <charset val="134"/>
      </rPr>
      <t>4.2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</t>
    </r>
  </si>
  <si>
    <r>
      <rPr>
        <sz val="8"/>
        <color rgb="FF000000"/>
        <rFont val="宋体"/>
        <charset val="134"/>
      </rPr>
      <t>项目投资财务净现值（所得税后）（</t>
    </r>
    <r>
      <rPr>
        <sz val="8"/>
        <color rgb="FF000000"/>
        <rFont val="Times New Roman"/>
        <charset val="134"/>
      </rPr>
      <t>ic=</t>
    </r>
    <r>
      <rPr>
        <sz val="8"/>
        <color rgb="FF000000"/>
        <rFont val="Times New Roman"/>
        <charset val="134"/>
      </rPr>
      <t>4.2%</t>
    </r>
    <r>
      <rPr>
        <sz val="8"/>
        <color rgb="FF000000"/>
        <rFont val="宋体"/>
        <charset val="134"/>
      </rPr>
      <t>）</t>
    </r>
  </si>
  <si>
    <t>项目投资回收期（年）（所得税前）</t>
  </si>
  <si>
    <t>项目投资回收期（年）（所得税后）</t>
  </si>
  <si>
    <t>还本付息表</t>
  </si>
  <si>
    <t>0.5建设期</t>
  </si>
  <si>
    <t>建设投资借款</t>
  </si>
  <si>
    <t>期初借款余额</t>
  </si>
  <si>
    <t>当期还本付息</t>
  </si>
  <si>
    <t>其中：还本</t>
  </si>
  <si>
    <t>付息</t>
  </si>
  <si>
    <t>期末借款余额</t>
  </si>
  <si>
    <t>可用于还本付息的资金</t>
  </si>
  <si>
    <t>指标</t>
  </si>
  <si>
    <t>利息备付率</t>
  </si>
  <si>
    <t>偿债备付率</t>
  </si>
  <si>
    <t xml:space="preserve"> 项目财务现金流量表   </t>
  </si>
  <si>
    <t xml:space="preserve">建设期/运营期
</t>
  </si>
  <si>
    <t>经营活动净现金流量</t>
  </si>
  <si>
    <t>其他流入</t>
  </si>
  <si>
    <t>税金及附加</t>
  </si>
  <si>
    <t>其他流出</t>
  </si>
  <si>
    <t>投资活动净现金流量</t>
  </si>
  <si>
    <t>2.2.1</t>
  </si>
  <si>
    <t>2.2.2</t>
  </si>
  <si>
    <t>2.2.3</t>
  </si>
  <si>
    <t>2.2.4</t>
  </si>
  <si>
    <t>筹资活动净现金流量</t>
  </si>
  <si>
    <t>3.1.1</t>
  </si>
  <si>
    <t>项目资本金投入</t>
  </si>
  <si>
    <t>3.1.2</t>
  </si>
  <si>
    <t>3.1.3</t>
  </si>
  <si>
    <t>3.2.1</t>
  </si>
  <si>
    <t>3.2.2</t>
  </si>
  <si>
    <t>偿还债务本金</t>
  </si>
  <si>
    <t>3.2.3</t>
  </si>
  <si>
    <t>应付利润(股利分配)</t>
  </si>
  <si>
    <t>3.2.4</t>
  </si>
  <si>
    <t>净现金流量</t>
  </si>
  <si>
    <t>累计盈余资金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</si>
</sst>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0_ "/>
  </numFmts>
  <fonts count="58">
    <font>
      <sz val="11"/>
      <name val="宋体"/>
      <charset val="134"/>
    </font>
    <font>
      <b/>
      <sz val="14"/>
      <name val="宋体"/>
      <charset val="134"/>
    </font>
    <font>
      <sz val="8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b/>
      <sz val="7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b/>
      <sz val="14"/>
      <color rgb="FFFF0000"/>
      <name val="宋体"/>
      <charset val="134"/>
    </font>
    <font>
      <b/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8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name val="Times New Roman"/>
      <charset val="134"/>
    </font>
    <font>
      <sz val="8"/>
      <color rgb="FFFF0000"/>
      <name val="宋体"/>
      <charset val="134"/>
    </font>
    <font>
      <sz val="9"/>
      <color rgb="FF000000"/>
      <name val="宋体"/>
      <charset val="134"/>
    </font>
    <font>
      <sz val="8"/>
      <name val="宋体"/>
      <charset val="134"/>
      <scheme val="minor"/>
    </font>
    <font>
      <b/>
      <sz val="11"/>
      <name val="宋体"/>
      <charset val="134"/>
    </font>
    <font>
      <b/>
      <sz val="8"/>
      <color rgb="FF000000"/>
      <name val="Arial"/>
      <charset val="134"/>
    </font>
    <font>
      <sz val="8"/>
      <name val="Arial"/>
      <charset val="134"/>
    </font>
    <font>
      <sz val="8"/>
      <color rgb="FF000000"/>
      <name val="宋体"/>
      <charset val="134"/>
      <scheme val="minor"/>
    </font>
    <font>
      <b/>
      <sz val="8"/>
      <name val="Arial"/>
      <charset val="134"/>
    </font>
    <font>
      <sz val="8"/>
      <color rgb="FF000000"/>
      <name val="Arial"/>
      <charset val="134"/>
    </font>
    <font>
      <b/>
      <sz val="16"/>
      <name val="黑体"/>
      <charset val="134"/>
    </font>
    <font>
      <b/>
      <sz val="16"/>
      <color rgb="FFFF0000"/>
      <name val="黑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8"/>
      <name val="Times New Roman"/>
      <charset val="134"/>
    </font>
    <font>
      <b/>
      <sz val="7"/>
      <name val="Times New Roman"/>
      <charset val="134"/>
    </font>
    <font>
      <b/>
      <sz val="8"/>
      <name val="宋体"/>
      <charset val="134"/>
      <scheme val="minor"/>
    </font>
    <font>
      <sz val="7"/>
      <name val="宋体"/>
      <charset val="134"/>
    </font>
    <font>
      <sz val="7"/>
      <name val="Times New Roman"/>
      <charset val="134"/>
    </font>
    <font>
      <sz val="8"/>
      <color rgb="FFFF0000"/>
      <name val="Times New Roman"/>
      <charset val="134"/>
    </font>
    <font>
      <b/>
      <sz val="11"/>
      <color rgb="FFFF0000"/>
      <name val="宋体"/>
      <charset val="134"/>
    </font>
    <font>
      <b/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4" borderId="1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8" fillId="6" borderId="14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50" fillId="7" borderId="15" applyNumberFormat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</cellStyleXfs>
  <cellXfs count="16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176" fontId="7" fillId="0" borderId="0" xfId="0" applyNumberFormat="1" applyFont="1" applyFill="1">
      <alignment vertical="center"/>
    </xf>
    <xf numFmtId="176" fontId="8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top" wrapText="1"/>
    </xf>
    <xf numFmtId="176" fontId="11" fillId="0" borderId="1" xfId="0" applyNumberFormat="1" applyFont="1" applyFill="1" applyBorder="1" applyAlignment="1">
      <alignment horizontal="left" vertical="top" wrapText="1"/>
    </xf>
    <xf numFmtId="176" fontId="12" fillId="0" borderId="1" xfId="0" applyNumberFormat="1" applyFont="1" applyFill="1" applyBorder="1" applyAlignment="1">
      <alignment horizontal="center" vertical="top" wrapText="1"/>
    </xf>
    <xf numFmtId="177" fontId="12" fillId="0" borderId="1" xfId="0" applyNumberFormat="1" applyFont="1" applyFill="1" applyBorder="1" applyAlignment="1">
      <alignment horizontal="center" vertical="top" wrapText="1"/>
    </xf>
    <xf numFmtId="178" fontId="12" fillId="0" borderId="1" xfId="0" applyNumberFormat="1" applyFont="1" applyFill="1" applyBorder="1" applyAlignment="1">
      <alignment horizontal="center" vertical="top" wrapText="1"/>
    </xf>
    <xf numFmtId="177" fontId="2" fillId="0" borderId="1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left" vertical="top" wrapText="1"/>
    </xf>
    <xf numFmtId="176" fontId="13" fillId="0" borderId="1" xfId="0" applyNumberFormat="1" applyFont="1" applyFill="1" applyBorder="1" applyAlignment="1">
      <alignment horizontal="center" vertical="top" wrapText="1"/>
    </xf>
    <xf numFmtId="178" fontId="2" fillId="0" borderId="1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justify" vertical="top" wrapText="1"/>
    </xf>
    <xf numFmtId="176" fontId="2" fillId="0" borderId="1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76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176" fontId="13" fillId="0" borderId="1" xfId="0" applyNumberFormat="1" applyFont="1" applyFill="1" applyBorder="1">
      <alignment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/>
    </xf>
    <xf numFmtId="10" fontId="2" fillId="0" borderId="0" xfId="0" applyNumberFormat="1" applyFont="1" applyFill="1">
      <alignment vertical="center"/>
    </xf>
    <xf numFmtId="176" fontId="2" fillId="0" borderId="0" xfId="0" applyNumberFormat="1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 wrapText="1"/>
    </xf>
    <xf numFmtId="176" fontId="15" fillId="0" borderId="1" xfId="0" applyNumberFormat="1" applyFont="1" applyFill="1" applyBorder="1" applyAlignment="1">
      <alignment horizontal="center" vertical="top" wrapText="1"/>
    </xf>
    <xf numFmtId="176" fontId="15" fillId="0" borderId="4" xfId="0" applyNumberFormat="1" applyFont="1" applyFill="1" applyBorder="1" applyAlignment="1">
      <alignment horizontal="center" vertical="top" wrapText="1"/>
    </xf>
    <xf numFmtId="176" fontId="16" fillId="0" borderId="1" xfId="0" applyNumberFormat="1" applyFont="1" applyFill="1" applyBorder="1" applyAlignment="1">
      <alignment horizontal="center" vertical="top" wrapText="1"/>
    </xf>
    <xf numFmtId="176" fontId="19" fillId="0" borderId="1" xfId="0" applyNumberFormat="1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top" wrapText="1"/>
    </xf>
    <xf numFmtId="0" fontId="2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177" fontId="0" fillId="0" borderId="0" xfId="0" applyNumberFormat="1" applyFont="1" applyFill="1">
      <alignment vertical="center"/>
    </xf>
    <xf numFmtId="9" fontId="0" fillId="0" borderId="0" xfId="0" applyNumberFormat="1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10" fillId="0" borderId="7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176" fontId="14" fillId="0" borderId="1" xfId="0" applyNumberFormat="1" applyFont="1" applyFill="1" applyBorder="1" applyAlignment="1">
      <alignment horizontal="center" vertical="top" wrapText="1"/>
    </xf>
    <xf numFmtId="176" fontId="10" fillId="0" borderId="1" xfId="0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176" fontId="23" fillId="0" borderId="1" xfId="0" applyNumberFormat="1" applyFont="1" applyFill="1" applyBorder="1" applyAlignment="1">
      <alignment horizontal="center" vertical="top" wrapText="1"/>
    </xf>
    <xf numFmtId="10" fontId="19" fillId="0" borderId="1" xfId="0" applyNumberFormat="1" applyFont="1" applyFill="1" applyBorder="1" applyAlignment="1">
      <alignment horizontal="center" vertical="top" wrapText="1"/>
    </xf>
    <xf numFmtId="10" fontId="15" fillId="0" borderId="1" xfId="0" applyNumberFormat="1" applyFont="1" applyFill="1" applyBorder="1" applyAlignment="1">
      <alignment horizontal="center" vertical="top" wrapText="1"/>
    </xf>
    <xf numFmtId="10" fontId="2" fillId="0" borderId="1" xfId="0" applyNumberFormat="1" applyFont="1" applyFill="1" applyBorder="1" applyAlignment="1">
      <alignment horizontal="center" vertical="top" wrapText="1"/>
    </xf>
    <xf numFmtId="10" fontId="23" fillId="0" borderId="1" xfId="0" applyNumberFormat="1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177" fontId="14" fillId="0" borderId="1" xfId="0" applyNumberFormat="1" applyFont="1" applyFill="1" applyBorder="1" applyAlignment="1">
      <alignment horizontal="center" vertical="top" wrapText="1"/>
    </xf>
    <xf numFmtId="177" fontId="2" fillId="0" borderId="1" xfId="0" applyNumberFormat="1" applyFont="1" applyFill="1" applyBorder="1" applyAlignment="1">
      <alignment horizontal="center" vertical="top" wrapText="1"/>
    </xf>
    <xf numFmtId="177" fontId="15" fillId="0" borderId="1" xfId="0" applyNumberFormat="1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9" fontId="25" fillId="0" borderId="1" xfId="0" applyNumberFormat="1" applyFont="1" applyFill="1" applyBorder="1" applyAlignment="1">
      <alignment horizontal="center" vertical="top" wrapText="1"/>
    </xf>
    <xf numFmtId="9" fontId="2" fillId="0" borderId="1" xfId="0" applyNumberFormat="1" applyFont="1" applyFill="1" applyBorder="1" applyAlignment="1">
      <alignment horizontal="center" vertical="top" wrapText="1"/>
    </xf>
    <xf numFmtId="9" fontId="15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top" wrapText="1"/>
    </xf>
    <xf numFmtId="176" fontId="13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8" fontId="15" fillId="0" borderId="4" xfId="0" applyNumberFormat="1" applyFont="1" applyFill="1" applyBorder="1" applyAlignment="1">
      <alignment horizontal="center" vertical="top" wrapText="1"/>
    </xf>
    <xf numFmtId="177" fontId="13" fillId="0" borderId="4" xfId="0" applyNumberFormat="1" applyFont="1" applyFill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left" vertical="top" wrapText="1"/>
    </xf>
    <xf numFmtId="176" fontId="16" fillId="0" borderId="1" xfId="0" applyNumberFormat="1" applyFont="1" applyFill="1" applyBorder="1" applyAlignment="1">
      <alignment horizontal="left" vertical="top" wrapText="1"/>
    </xf>
    <xf numFmtId="176" fontId="0" fillId="0" borderId="0" xfId="0" applyNumberFormat="1" applyFont="1" applyFill="1">
      <alignment vertical="center"/>
    </xf>
    <xf numFmtId="0" fontId="26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center" vertical="top" wrapText="1"/>
    </xf>
    <xf numFmtId="0" fontId="28" fillId="0" borderId="0" xfId="0" applyFont="1" applyFill="1" applyAlignment="1">
      <alignment horizontal="right" vertical="top" wrapText="1"/>
    </xf>
    <xf numFmtId="0" fontId="29" fillId="0" borderId="0" xfId="0" applyFont="1" applyFill="1" applyAlignment="1">
      <alignment horizontal="righ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176" fontId="30" fillId="0" borderId="1" xfId="0" applyNumberFormat="1" applyFont="1" applyFill="1" applyBorder="1" applyAlignment="1">
      <alignment horizontal="center" vertical="top" wrapText="1"/>
    </xf>
    <xf numFmtId="10" fontId="31" fillId="0" borderId="2" xfId="0" applyNumberFormat="1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 wrapText="1"/>
    </xf>
    <xf numFmtId="176" fontId="32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176" fontId="19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76" fontId="33" fillId="0" borderId="2" xfId="0" applyNumberFormat="1" applyFont="1" applyFill="1" applyBorder="1" applyAlignment="1">
      <alignment horizontal="center" vertical="top" wrapText="1"/>
    </xf>
    <xf numFmtId="176" fontId="33" fillId="0" borderId="2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 wrapText="1"/>
    </xf>
    <xf numFmtId="176" fontId="34" fillId="0" borderId="2" xfId="0" applyNumberFormat="1" applyFont="1" applyFill="1" applyBorder="1" applyAlignment="1">
      <alignment horizontal="center" vertical="top" wrapText="1"/>
    </xf>
    <xf numFmtId="176" fontId="35" fillId="0" borderId="0" xfId="0" applyNumberFormat="1" applyFont="1" applyFill="1" applyAlignment="1">
      <alignment horizontal="center" vertical="top" wrapText="1"/>
    </xf>
    <xf numFmtId="176" fontId="26" fillId="0" borderId="0" xfId="0" applyNumberFormat="1" applyFont="1" applyFill="1" applyAlignment="1">
      <alignment horizontal="center" vertical="top" wrapText="1"/>
    </xf>
    <xf numFmtId="176" fontId="28" fillId="0" borderId="0" xfId="0" applyNumberFormat="1" applyFont="1" applyFill="1" applyAlignment="1">
      <alignment horizontal="right" vertical="top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10" fontId="31" fillId="0" borderId="5" xfId="0" applyNumberFormat="1" applyFont="1" applyFill="1" applyBorder="1" applyAlignment="1">
      <alignment horizontal="center" vertical="top" wrapText="1"/>
    </xf>
    <xf numFmtId="176" fontId="31" fillId="0" borderId="6" xfId="0" applyNumberFormat="1" applyFont="1" applyFill="1" applyBorder="1" applyAlignment="1">
      <alignment horizontal="center" vertical="top" wrapText="1"/>
    </xf>
    <xf numFmtId="0" fontId="36" fillId="0" borderId="0" xfId="0" applyFont="1" applyFill="1">
      <alignment vertical="center"/>
    </xf>
    <xf numFmtId="0" fontId="10" fillId="2" borderId="1" xfId="0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79" fontId="12" fillId="0" borderId="0" xfId="0" applyNumberFormat="1" applyFont="1" applyFill="1">
      <alignment vertical="center"/>
    </xf>
    <xf numFmtId="179" fontId="37" fillId="0" borderId="0" xfId="0" applyNumberFormat="1" applyFont="1" applyFill="1">
      <alignment vertical="center"/>
    </xf>
    <xf numFmtId="176" fontId="33" fillId="0" borderId="5" xfId="0" applyNumberFormat="1" applyFont="1" applyFill="1" applyBorder="1" applyAlignment="1">
      <alignment horizontal="center" vertical="top" wrapText="1"/>
    </xf>
    <xf numFmtId="176" fontId="33" fillId="0" borderId="6" xfId="0" applyNumberFormat="1" applyFont="1" applyFill="1" applyBorder="1" applyAlignment="1">
      <alignment horizontal="center" vertical="top" wrapText="1"/>
    </xf>
    <xf numFmtId="179" fontId="13" fillId="0" borderId="0" xfId="0" applyNumberFormat="1" applyFont="1" applyFill="1">
      <alignment vertical="center"/>
    </xf>
    <xf numFmtId="176" fontId="34" fillId="0" borderId="5" xfId="0" applyNumberFormat="1" applyFont="1" applyFill="1" applyBorder="1" applyAlignment="1">
      <alignment horizontal="center" vertical="top" wrapText="1"/>
    </xf>
    <xf numFmtId="176" fontId="34" fillId="0" borderId="6" xfId="0" applyNumberFormat="1" applyFont="1" applyFill="1" applyBorder="1" applyAlignment="1">
      <alignment horizontal="center" vertical="top" wrapText="1"/>
    </xf>
    <xf numFmtId="179" fontId="17" fillId="0" borderId="0" xfId="0" applyNumberFormat="1" applyFont="1" applyFill="1">
      <alignment vertical="center"/>
    </xf>
    <xf numFmtId="176" fontId="33" fillId="0" borderId="5" xfId="0" applyNumberFormat="1" applyFont="1" applyFill="1" applyBorder="1" applyAlignment="1">
      <alignment horizontal="center" vertical="center" wrapText="1"/>
    </xf>
    <xf numFmtId="176" fontId="33" fillId="0" borderId="6" xfId="0" applyNumberFormat="1" applyFont="1" applyFill="1" applyBorder="1" applyAlignment="1">
      <alignment horizontal="left" vertical="center" wrapText="1"/>
    </xf>
    <xf numFmtId="176" fontId="33" fillId="0" borderId="6" xfId="0" applyNumberFormat="1" applyFont="1" applyFill="1" applyBorder="1" applyAlignment="1">
      <alignment horizontal="center" vertical="center" wrapText="1"/>
    </xf>
    <xf numFmtId="176" fontId="33" fillId="0" borderId="6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tabSelected="1" zoomScale="120" zoomScaleNormal="120" workbookViewId="0">
      <pane xSplit="1" ySplit="3" topLeftCell="B11" activePane="bottomRight" state="frozen"/>
      <selection/>
      <selection pane="topRight"/>
      <selection pane="bottomLeft"/>
      <selection pane="bottomRight" activeCell="L25" sqref="L25"/>
    </sheetView>
  </sheetViews>
  <sheetFormatPr defaultColWidth="8.62727272727273" defaultRowHeight="14"/>
  <cols>
    <col min="1" max="1" width="4.37272727272727" style="53" customWidth="1"/>
    <col min="2" max="2" width="18.7545454545455" style="53" customWidth="1"/>
    <col min="3" max="3" width="10.5" style="53" customWidth="1"/>
    <col min="4" max="6" width="9.25454545454545" style="53" customWidth="1"/>
    <col min="7" max="7" width="10.5" style="53" customWidth="1"/>
    <col min="8" max="8" width="5.5" style="106" customWidth="1"/>
    <col min="9" max="9" width="9.87272727272727" style="53" customWidth="1"/>
    <col min="10" max="10" width="10.3727272727273" style="115" customWidth="1"/>
    <col min="11" max="11" width="13.6272727272727" style="12" customWidth="1"/>
    <col min="12" max="12" width="12.8909090909091" style="105"/>
    <col min="13" max="13" width="8.62727272727273" style="105"/>
    <col min="14" max="26" width="8.62727272727273" style="12"/>
  </cols>
  <sheetData>
    <row r="1" ht="23.25" customHeight="1" spans="1:10">
      <c r="A1" s="116" t="s">
        <v>0</v>
      </c>
      <c r="B1" s="116"/>
      <c r="C1" s="116"/>
      <c r="D1" s="116"/>
      <c r="E1" s="116"/>
      <c r="F1" s="116"/>
      <c r="G1" s="116"/>
      <c r="H1" s="117"/>
      <c r="I1" s="116"/>
      <c r="J1" s="137"/>
    </row>
    <row r="2" ht="20.1" customHeight="1" spans="1:10">
      <c r="A2" s="118" t="s">
        <v>1</v>
      </c>
      <c r="B2" s="118"/>
      <c r="C2" s="118"/>
      <c r="D2" s="118"/>
      <c r="E2" s="118"/>
      <c r="F2" s="118"/>
      <c r="G2" s="118"/>
      <c r="H2" s="119"/>
      <c r="I2" s="118"/>
      <c r="J2" s="138"/>
    </row>
    <row r="3" s="66" customFormat="1" ht="27.4" customHeight="1" spans="1:13">
      <c r="A3" s="120" t="s">
        <v>2</v>
      </c>
      <c r="B3" s="120" t="s">
        <v>3</v>
      </c>
      <c r="C3" s="120" t="s">
        <v>4</v>
      </c>
      <c r="D3" s="120" t="s">
        <v>5</v>
      </c>
      <c r="E3" s="120" t="s">
        <v>6</v>
      </c>
      <c r="F3" s="120" t="s">
        <v>7</v>
      </c>
      <c r="G3" s="120" t="s">
        <v>8</v>
      </c>
      <c r="H3" s="120" t="s">
        <v>9</v>
      </c>
      <c r="I3" s="120" t="s">
        <v>10</v>
      </c>
      <c r="J3" s="139" t="s">
        <v>11</v>
      </c>
      <c r="L3" s="140"/>
      <c r="M3" s="140"/>
    </row>
    <row r="4" ht="12" customHeight="1" spans="1:10">
      <c r="A4" s="45" t="s">
        <v>12</v>
      </c>
      <c r="B4" s="121" t="s">
        <v>13</v>
      </c>
      <c r="C4" s="122">
        <f>C5+C31</f>
        <v>163.7464</v>
      </c>
      <c r="D4" s="122">
        <f>D5+D31</f>
        <v>328.3786</v>
      </c>
      <c r="E4" s="122">
        <f>E5+E31</f>
        <v>7410.15371</v>
      </c>
      <c r="F4" s="122"/>
      <c r="G4" s="122">
        <f>C4+D4+E4+F4</f>
        <v>7902.27871</v>
      </c>
      <c r="H4" s="123">
        <f>G4/G55</f>
        <v>0.896829918691262</v>
      </c>
      <c r="I4" s="141"/>
      <c r="J4" s="142"/>
    </row>
    <row r="5" s="74" customFormat="1" spans="1:13">
      <c r="A5" s="121">
        <v>1</v>
      </c>
      <c r="B5" s="121" t="s">
        <v>14</v>
      </c>
      <c r="C5" s="122">
        <f>C6+C22</f>
        <v>96.75</v>
      </c>
      <c r="D5" s="122">
        <f>D6+D22</f>
        <v>290.65</v>
      </c>
      <c r="E5" s="122">
        <f>E6+E22</f>
        <v>7156.51071</v>
      </c>
      <c r="F5" s="122"/>
      <c r="G5" s="63">
        <f>C5+D5+E5+F5</f>
        <v>7543.91071</v>
      </c>
      <c r="H5" s="123">
        <f>G5/G55</f>
        <v>0.856158720408311</v>
      </c>
      <c r="I5" s="141"/>
      <c r="J5" s="142"/>
      <c r="L5" s="105"/>
      <c r="M5" s="143"/>
    </row>
    <row r="6" s="74" customFormat="1" spans="1:13">
      <c r="A6" s="124">
        <v>1.1</v>
      </c>
      <c r="B6" s="124" t="s">
        <v>15</v>
      </c>
      <c r="C6" s="124">
        <f>SUM(C7:C21)</f>
        <v>96.75</v>
      </c>
      <c r="D6" s="125">
        <f>SUM(D7:D21)</f>
        <v>160.65</v>
      </c>
      <c r="E6" s="125">
        <f>SUM(E7:E21)</f>
        <v>1572.51071</v>
      </c>
      <c r="F6" s="124" t="s">
        <v>16</v>
      </c>
      <c r="G6" s="125">
        <f t="shared" ref="G6:G38" si="0">SUM(C6:F6)</f>
        <v>1829.91071</v>
      </c>
      <c r="H6" s="126" t="s">
        <v>17</v>
      </c>
      <c r="I6" s="144">
        <v>5950</v>
      </c>
      <c r="J6" s="145">
        <f>G6/I6</f>
        <v>0.307548018487395</v>
      </c>
      <c r="L6" s="143"/>
      <c r="M6" s="143"/>
    </row>
    <row r="7" s="74" customFormat="1" spans="1:13">
      <c r="A7" s="127"/>
      <c r="B7" s="127" t="s">
        <v>18</v>
      </c>
      <c r="C7" s="127" t="s">
        <v>16</v>
      </c>
      <c r="D7" s="127" t="s">
        <v>16</v>
      </c>
      <c r="E7" s="127">
        <f>I7*J7</f>
        <v>1003.536</v>
      </c>
      <c r="F7" s="127" t="s">
        <v>16</v>
      </c>
      <c r="G7" s="127">
        <f t="shared" si="0"/>
        <v>1003.536</v>
      </c>
      <c r="H7" s="102" t="s">
        <v>19</v>
      </c>
      <c r="I7" s="146">
        <v>10908</v>
      </c>
      <c r="J7" s="147">
        <v>0.092</v>
      </c>
      <c r="L7" s="105"/>
      <c r="M7" s="143"/>
    </row>
    <row r="8" s="74" customFormat="1" spans="1:13">
      <c r="A8" s="127"/>
      <c r="B8" s="127" t="s">
        <v>20</v>
      </c>
      <c r="C8" s="127" t="s">
        <v>16</v>
      </c>
      <c r="D8" s="127" t="s">
        <v>16</v>
      </c>
      <c r="E8" s="127">
        <v>81</v>
      </c>
      <c r="F8" s="127" t="s">
        <v>16</v>
      </c>
      <c r="G8" s="127">
        <f t="shared" si="0"/>
        <v>81</v>
      </c>
      <c r="H8" s="102" t="s">
        <v>21</v>
      </c>
      <c r="I8" s="146">
        <v>49</v>
      </c>
      <c r="J8" s="147">
        <v>2.5</v>
      </c>
      <c r="L8" s="105"/>
      <c r="M8" s="143"/>
    </row>
    <row r="9" s="74" customFormat="1" spans="1:13">
      <c r="A9" s="127"/>
      <c r="B9" s="127" t="s">
        <v>22</v>
      </c>
      <c r="C9" s="127" t="s">
        <v>16</v>
      </c>
      <c r="D9" s="127" t="s">
        <v>16</v>
      </c>
      <c r="E9" s="64">
        <v>9.32</v>
      </c>
      <c r="F9" s="127" t="s">
        <v>16</v>
      </c>
      <c r="G9" s="127">
        <f t="shared" si="0"/>
        <v>9.32</v>
      </c>
      <c r="H9" s="102" t="s">
        <v>21</v>
      </c>
      <c r="I9" s="146">
        <v>9</v>
      </c>
      <c r="J9" s="147">
        <v>1.036</v>
      </c>
      <c r="L9" s="105"/>
      <c r="M9" s="143"/>
    </row>
    <row r="10" s="74" customFormat="1" spans="1:13">
      <c r="A10" s="127"/>
      <c r="B10" s="127" t="s">
        <v>23</v>
      </c>
      <c r="C10" s="127" t="s">
        <v>16</v>
      </c>
      <c r="D10" s="127" t="s">
        <v>16</v>
      </c>
      <c r="E10" s="64">
        <f>I10*J10</f>
        <v>157.03471</v>
      </c>
      <c r="F10" s="127" t="s">
        <v>16</v>
      </c>
      <c r="G10" s="64">
        <f t="shared" si="0"/>
        <v>157.03471</v>
      </c>
      <c r="H10" s="102" t="s">
        <v>24</v>
      </c>
      <c r="I10" s="146">
        <v>87.29</v>
      </c>
      <c r="J10" s="147">
        <v>1.799</v>
      </c>
      <c r="L10" s="105"/>
      <c r="M10" s="143"/>
    </row>
    <row r="11" s="74" customFormat="1" spans="1:13">
      <c r="A11" s="127"/>
      <c r="B11" s="127" t="s">
        <v>25</v>
      </c>
      <c r="C11" s="127" t="s">
        <v>16</v>
      </c>
      <c r="D11" s="127" t="s">
        <v>16</v>
      </c>
      <c r="E11" s="64">
        <v>47.83</v>
      </c>
      <c r="F11" s="127" t="s">
        <v>16</v>
      </c>
      <c r="G11" s="127">
        <f t="shared" si="0"/>
        <v>47.83</v>
      </c>
      <c r="H11" s="102" t="s">
        <v>24</v>
      </c>
      <c r="I11" s="146">
        <v>126</v>
      </c>
      <c r="J11" s="147">
        <v>0.387</v>
      </c>
      <c r="L11" s="105"/>
      <c r="M11" s="143"/>
    </row>
    <row r="12" s="74" customFormat="1" spans="1:13">
      <c r="A12" s="127"/>
      <c r="B12" s="127" t="s">
        <v>26</v>
      </c>
      <c r="C12" s="127" t="s">
        <v>16</v>
      </c>
      <c r="D12" s="127" t="s">
        <v>16</v>
      </c>
      <c r="E12" s="64">
        <v>1.32</v>
      </c>
      <c r="F12" s="127" t="s">
        <v>16</v>
      </c>
      <c r="G12" s="127">
        <f t="shared" si="0"/>
        <v>1.32</v>
      </c>
      <c r="H12" s="102" t="s">
        <v>27</v>
      </c>
      <c r="I12" s="146">
        <v>2.3</v>
      </c>
      <c r="J12" s="147">
        <v>0.5995</v>
      </c>
      <c r="L12" s="105"/>
      <c r="M12" s="143"/>
    </row>
    <row r="13" s="74" customFormat="1" spans="1:13">
      <c r="A13" s="127"/>
      <c r="B13" s="127" t="s">
        <v>28</v>
      </c>
      <c r="C13" s="127" t="s">
        <v>16</v>
      </c>
      <c r="D13" s="127" t="s">
        <v>16</v>
      </c>
      <c r="E13" s="64">
        <v>147.62</v>
      </c>
      <c r="F13" s="127" t="s">
        <v>16</v>
      </c>
      <c r="G13" s="127">
        <f t="shared" si="0"/>
        <v>147.62</v>
      </c>
      <c r="H13" s="102" t="s">
        <v>24</v>
      </c>
      <c r="I13" s="146">
        <v>8.1</v>
      </c>
      <c r="J13" s="147">
        <v>18.225</v>
      </c>
      <c r="L13" s="105"/>
      <c r="M13" s="143"/>
    </row>
    <row r="14" s="74" customFormat="1" spans="1:13">
      <c r="A14" s="127"/>
      <c r="B14" s="127" t="s">
        <v>29</v>
      </c>
      <c r="C14" s="127" t="s">
        <v>16</v>
      </c>
      <c r="D14" s="127" t="s">
        <v>16</v>
      </c>
      <c r="E14" s="64">
        <v>25.26</v>
      </c>
      <c r="F14" s="127" t="s">
        <v>16</v>
      </c>
      <c r="G14" s="127">
        <f t="shared" si="0"/>
        <v>25.26</v>
      </c>
      <c r="H14" s="102" t="s">
        <v>21</v>
      </c>
      <c r="I14" s="146">
        <v>1</v>
      </c>
      <c r="J14" s="147">
        <v>20.26</v>
      </c>
      <c r="L14" s="105"/>
      <c r="M14" s="143"/>
    </row>
    <row r="15" s="74" customFormat="1" spans="1:13">
      <c r="A15" s="127"/>
      <c r="B15" s="127" t="s">
        <v>30</v>
      </c>
      <c r="C15" s="127" t="s">
        <v>16</v>
      </c>
      <c r="D15" s="127" t="s">
        <v>16</v>
      </c>
      <c r="E15" s="64">
        <v>5.13</v>
      </c>
      <c r="F15" s="127" t="s">
        <v>16</v>
      </c>
      <c r="G15" s="127">
        <f t="shared" si="0"/>
        <v>5.13</v>
      </c>
      <c r="H15" s="102" t="s">
        <v>21</v>
      </c>
      <c r="I15" s="146">
        <v>1</v>
      </c>
      <c r="J15" s="147">
        <v>5.132</v>
      </c>
      <c r="L15" s="105"/>
      <c r="M15" s="143"/>
    </row>
    <row r="16" s="74" customFormat="1" spans="1:13">
      <c r="A16" s="127"/>
      <c r="B16" s="127" t="s">
        <v>31</v>
      </c>
      <c r="C16" s="127" t="s">
        <v>16</v>
      </c>
      <c r="D16" s="127" t="s">
        <v>16</v>
      </c>
      <c r="E16" s="64">
        <v>5</v>
      </c>
      <c r="F16" s="127" t="s">
        <v>16</v>
      </c>
      <c r="G16" s="127">
        <f t="shared" si="0"/>
        <v>5</v>
      </c>
      <c r="H16" s="102" t="s">
        <v>21</v>
      </c>
      <c r="I16" s="146">
        <v>1</v>
      </c>
      <c r="J16" s="147">
        <v>5</v>
      </c>
      <c r="L16" s="105"/>
      <c r="M16" s="143"/>
    </row>
    <row r="17" s="74" customFormat="1" spans="1:13">
      <c r="A17" s="127"/>
      <c r="B17" s="127" t="s">
        <v>32</v>
      </c>
      <c r="C17" s="127" t="s">
        <v>16</v>
      </c>
      <c r="D17" s="127" t="s">
        <v>16</v>
      </c>
      <c r="E17" s="64">
        <v>4.71</v>
      </c>
      <c r="F17" s="127" t="s">
        <v>16</v>
      </c>
      <c r="G17" s="127">
        <f t="shared" si="0"/>
        <v>4.71</v>
      </c>
      <c r="H17" s="102" t="s">
        <v>21</v>
      </c>
      <c r="I17" s="146">
        <v>1</v>
      </c>
      <c r="J17" s="147">
        <v>4.711</v>
      </c>
      <c r="L17" s="105"/>
      <c r="M17" s="143"/>
    </row>
    <row r="18" s="74" customFormat="1" spans="1:13">
      <c r="A18" s="127"/>
      <c r="B18" s="127" t="s">
        <v>33</v>
      </c>
      <c r="C18" s="127" t="s">
        <v>16</v>
      </c>
      <c r="D18" s="127" t="s">
        <v>16</v>
      </c>
      <c r="E18" s="64">
        <v>39.07</v>
      </c>
      <c r="F18" s="127" t="s">
        <v>16</v>
      </c>
      <c r="G18" s="127">
        <f t="shared" si="0"/>
        <v>39.07</v>
      </c>
      <c r="H18" s="102" t="s">
        <v>21</v>
      </c>
      <c r="I18" s="146">
        <v>1</v>
      </c>
      <c r="J18" s="147">
        <v>35</v>
      </c>
      <c r="L18" s="105"/>
      <c r="M18" s="143"/>
    </row>
    <row r="19" s="74" customFormat="1" spans="1:13">
      <c r="A19" s="127"/>
      <c r="B19" s="127" t="s">
        <v>34</v>
      </c>
      <c r="C19" s="127" t="s">
        <v>16</v>
      </c>
      <c r="D19" s="127" t="s">
        <v>16</v>
      </c>
      <c r="E19" s="64">
        <v>45.68</v>
      </c>
      <c r="F19" s="127" t="s">
        <v>16</v>
      </c>
      <c r="G19" s="127">
        <f t="shared" si="0"/>
        <v>45.68</v>
      </c>
      <c r="H19" s="102" t="s">
        <v>35</v>
      </c>
      <c r="I19" s="146">
        <v>810</v>
      </c>
      <c r="J19" s="147">
        <v>0.057</v>
      </c>
      <c r="L19" s="105"/>
      <c r="M19" s="143"/>
    </row>
    <row r="20" s="74" customFormat="1" spans="1:13">
      <c r="A20" s="127"/>
      <c r="B20" s="127" t="s">
        <v>36</v>
      </c>
      <c r="C20" s="127">
        <v>96.75</v>
      </c>
      <c r="D20" s="127" t="s">
        <v>16</v>
      </c>
      <c r="E20" s="64" t="s">
        <v>16</v>
      </c>
      <c r="F20" s="127" t="s">
        <v>16</v>
      </c>
      <c r="G20" s="127">
        <f t="shared" si="0"/>
        <v>96.75</v>
      </c>
      <c r="H20" s="102" t="s">
        <v>37</v>
      </c>
      <c r="I20" s="146">
        <v>1</v>
      </c>
      <c r="J20" s="147">
        <v>80.25</v>
      </c>
      <c r="L20" s="105"/>
      <c r="M20" s="143"/>
    </row>
    <row r="21" s="74" customFormat="1" spans="1:13">
      <c r="A21" s="127"/>
      <c r="B21" s="127" t="s">
        <v>38</v>
      </c>
      <c r="C21" s="127" t="s">
        <v>16</v>
      </c>
      <c r="D21" s="64">
        <f>I21*J21</f>
        <v>160.65</v>
      </c>
      <c r="E21" s="127" t="s">
        <v>16</v>
      </c>
      <c r="F21" s="127" t="s">
        <v>16</v>
      </c>
      <c r="G21" s="64">
        <f t="shared" si="0"/>
        <v>160.65</v>
      </c>
      <c r="H21" s="102" t="s">
        <v>17</v>
      </c>
      <c r="I21" s="146">
        <v>5950</v>
      </c>
      <c r="J21" s="147">
        <v>0.027</v>
      </c>
      <c r="L21" s="105"/>
      <c r="M21" s="143"/>
    </row>
    <row r="22" s="74" customFormat="1" ht="19" spans="1:13">
      <c r="A22" s="124">
        <v>1.2</v>
      </c>
      <c r="B22" s="124" t="s">
        <v>39</v>
      </c>
      <c r="C22" s="124"/>
      <c r="D22" s="124">
        <f>SUM(D23:D30)</f>
        <v>130</v>
      </c>
      <c r="E22" s="124">
        <f>SUM(E23:E30)</f>
        <v>5584</v>
      </c>
      <c r="F22" s="124"/>
      <c r="G22" s="124">
        <f t="shared" si="0"/>
        <v>5714</v>
      </c>
      <c r="H22" s="126" t="s">
        <v>40</v>
      </c>
      <c r="I22" s="148">
        <v>40000</v>
      </c>
      <c r="J22" s="145">
        <f>G22/I22</f>
        <v>0.14285</v>
      </c>
      <c r="L22" s="143"/>
      <c r="M22" s="143"/>
    </row>
    <row r="23" s="74" customFormat="1" spans="1:13">
      <c r="A23" s="127"/>
      <c r="B23" s="127" t="s">
        <v>41</v>
      </c>
      <c r="C23" s="127" t="s">
        <v>16</v>
      </c>
      <c r="D23" s="127" t="s">
        <v>16</v>
      </c>
      <c r="E23" s="128">
        <f t="shared" ref="E23:E29" si="1">I23*J23</f>
        <v>4320</v>
      </c>
      <c r="F23" s="127" t="s">
        <v>16</v>
      </c>
      <c r="G23" s="127">
        <f t="shared" si="0"/>
        <v>4320</v>
      </c>
      <c r="H23" s="102" t="s">
        <v>42</v>
      </c>
      <c r="I23" s="149">
        <v>8</v>
      </c>
      <c r="J23" s="146">
        <v>540</v>
      </c>
      <c r="L23" s="105"/>
      <c r="M23" s="143"/>
    </row>
    <row r="24" s="74" customFormat="1" spans="1:13">
      <c r="A24" s="127"/>
      <c r="B24" s="127" t="s">
        <v>43</v>
      </c>
      <c r="C24" s="127" t="s">
        <v>16</v>
      </c>
      <c r="D24" s="127" t="s">
        <v>16</v>
      </c>
      <c r="E24" s="128">
        <f t="shared" si="1"/>
        <v>400</v>
      </c>
      <c r="F24" s="127" t="s">
        <v>16</v>
      </c>
      <c r="G24" s="127">
        <f t="shared" si="0"/>
        <v>400</v>
      </c>
      <c r="H24" s="102" t="s">
        <v>42</v>
      </c>
      <c r="I24" s="149">
        <v>8</v>
      </c>
      <c r="J24" s="146">
        <v>50</v>
      </c>
      <c r="L24" s="105"/>
      <c r="M24" s="143"/>
    </row>
    <row r="25" s="74" customFormat="1" spans="1:13">
      <c r="A25" s="127"/>
      <c r="B25" s="127" t="s">
        <v>44</v>
      </c>
      <c r="C25" s="127" t="s">
        <v>16</v>
      </c>
      <c r="D25" s="127" t="s">
        <v>16</v>
      </c>
      <c r="E25" s="128">
        <f t="shared" si="1"/>
        <v>120</v>
      </c>
      <c r="F25" s="127" t="s">
        <v>16</v>
      </c>
      <c r="G25" s="127">
        <f t="shared" si="0"/>
        <v>120</v>
      </c>
      <c r="H25" s="102" t="s">
        <v>42</v>
      </c>
      <c r="I25" s="149">
        <v>8</v>
      </c>
      <c r="J25" s="146">
        <v>15</v>
      </c>
      <c r="L25" s="105"/>
      <c r="M25" s="143"/>
    </row>
    <row r="26" s="74" customFormat="1" spans="1:13">
      <c r="A26" s="127"/>
      <c r="B26" s="127" t="s">
        <v>45</v>
      </c>
      <c r="C26" s="127" t="s">
        <v>16</v>
      </c>
      <c r="D26" s="127" t="s">
        <v>16</v>
      </c>
      <c r="E26" s="128">
        <f t="shared" si="1"/>
        <v>160</v>
      </c>
      <c r="F26" s="127" t="s">
        <v>16</v>
      </c>
      <c r="G26" s="127">
        <f t="shared" si="0"/>
        <v>160</v>
      </c>
      <c r="H26" s="102" t="s">
        <v>42</v>
      </c>
      <c r="I26" s="149">
        <v>8</v>
      </c>
      <c r="J26" s="146">
        <v>20</v>
      </c>
      <c r="L26" s="105"/>
      <c r="M26" s="143"/>
    </row>
    <row r="27" s="74" customFormat="1" spans="1:13">
      <c r="A27" s="127"/>
      <c r="B27" s="127" t="s">
        <v>46</v>
      </c>
      <c r="C27" s="127" t="s">
        <v>16</v>
      </c>
      <c r="D27" s="127" t="s">
        <v>16</v>
      </c>
      <c r="E27" s="128">
        <f t="shared" si="1"/>
        <v>120</v>
      </c>
      <c r="F27" s="127" t="s">
        <v>16</v>
      </c>
      <c r="G27" s="127">
        <f t="shared" si="0"/>
        <v>120</v>
      </c>
      <c r="H27" s="102" t="s">
        <v>42</v>
      </c>
      <c r="I27" s="149">
        <v>8</v>
      </c>
      <c r="J27" s="146">
        <v>15</v>
      </c>
      <c r="L27" s="105"/>
      <c r="M27" s="143"/>
    </row>
    <row r="28" s="74" customFormat="1" spans="1:13">
      <c r="A28" s="127"/>
      <c r="B28" s="127" t="s">
        <v>47</v>
      </c>
      <c r="C28" s="127" t="s">
        <v>16</v>
      </c>
      <c r="D28" s="127" t="s">
        <v>16</v>
      </c>
      <c r="E28" s="128">
        <f t="shared" si="1"/>
        <v>400</v>
      </c>
      <c r="F28" s="127" t="s">
        <v>16</v>
      </c>
      <c r="G28" s="127">
        <f t="shared" si="0"/>
        <v>400</v>
      </c>
      <c r="H28" s="102" t="s">
        <v>42</v>
      </c>
      <c r="I28" s="149">
        <v>8</v>
      </c>
      <c r="J28" s="146">
        <v>50</v>
      </c>
      <c r="L28" s="105"/>
      <c r="M28" s="143"/>
    </row>
    <row r="29" s="74" customFormat="1" spans="1:13">
      <c r="A29" s="127"/>
      <c r="B29" s="127" t="s">
        <v>48</v>
      </c>
      <c r="C29" s="127" t="s">
        <v>16</v>
      </c>
      <c r="D29" s="127" t="s">
        <v>16</v>
      </c>
      <c r="E29" s="128">
        <f t="shared" si="1"/>
        <v>64</v>
      </c>
      <c r="F29" s="127" t="s">
        <v>16</v>
      </c>
      <c r="G29" s="127">
        <f t="shared" si="0"/>
        <v>64</v>
      </c>
      <c r="H29" s="102" t="s">
        <v>42</v>
      </c>
      <c r="I29" s="149">
        <v>8</v>
      </c>
      <c r="J29" s="146">
        <v>8</v>
      </c>
      <c r="L29" s="105"/>
      <c r="M29" s="143"/>
    </row>
    <row r="30" s="74" customFormat="1" spans="1:13">
      <c r="A30" s="127"/>
      <c r="B30" s="127" t="s">
        <v>49</v>
      </c>
      <c r="C30" s="127" t="s">
        <v>16</v>
      </c>
      <c r="D30" s="127">
        <v>130</v>
      </c>
      <c r="E30" s="127" t="s">
        <v>16</v>
      </c>
      <c r="F30" s="127" t="s">
        <v>16</v>
      </c>
      <c r="G30" s="127">
        <f t="shared" si="0"/>
        <v>130</v>
      </c>
      <c r="H30" s="102" t="s">
        <v>42</v>
      </c>
      <c r="I30" s="149">
        <v>8</v>
      </c>
      <c r="J30" s="146">
        <v>25</v>
      </c>
      <c r="L30" s="105"/>
      <c r="M30" s="143"/>
    </row>
    <row r="31" s="74" customFormat="1" spans="1:13">
      <c r="A31" s="124">
        <v>2</v>
      </c>
      <c r="B31" s="124" t="s">
        <v>50</v>
      </c>
      <c r="C31" s="124">
        <f>SUM(C32:C35)</f>
        <v>66.9964</v>
      </c>
      <c r="D31" s="124">
        <f>SUM(D32:D35)</f>
        <v>37.7286</v>
      </c>
      <c r="E31" s="124">
        <f>SUM(E32:E35)</f>
        <v>253.643</v>
      </c>
      <c r="F31" s="124">
        <f>SUM(F32:F35)</f>
        <v>0</v>
      </c>
      <c r="G31" s="124">
        <f t="shared" si="0"/>
        <v>358.368</v>
      </c>
      <c r="H31" s="102" t="s">
        <v>51</v>
      </c>
      <c r="I31" s="130">
        <v>5551.3</v>
      </c>
      <c r="J31" s="130">
        <v>0.227</v>
      </c>
      <c r="L31" s="143"/>
      <c r="M31" s="143"/>
    </row>
    <row r="32" s="74" customFormat="1" spans="1:13">
      <c r="A32" s="127"/>
      <c r="B32" s="127" t="s">
        <v>52</v>
      </c>
      <c r="C32" s="129">
        <f>I32*J32</f>
        <v>41.844</v>
      </c>
      <c r="D32" s="127"/>
      <c r="E32" s="127"/>
      <c r="F32" s="127"/>
      <c r="G32" s="64">
        <f t="shared" si="0"/>
        <v>41.844</v>
      </c>
      <c r="H32" s="102" t="s">
        <v>51</v>
      </c>
      <c r="I32" s="130">
        <v>132</v>
      </c>
      <c r="J32" s="130">
        <v>0.317</v>
      </c>
      <c r="L32" s="105"/>
      <c r="M32" s="143"/>
    </row>
    <row r="33" s="74" customFormat="1" spans="1:13">
      <c r="A33" s="127"/>
      <c r="B33" s="127" t="s">
        <v>53</v>
      </c>
      <c r="C33" s="129">
        <f>I33*J33*0.1</f>
        <v>25.1524</v>
      </c>
      <c r="D33" s="129">
        <f>I33*J33*0.15</f>
        <v>37.7286</v>
      </c>
      <c r="E33" s="129">
        <f>I33*J33*0.75</f>
        <v>188.643</v>
      </c>
      <c r="F33" s="127"/>
      <c r="G33" s="64">
        <f t="shared" si="0"/>
        <v>251.524</v>
      </c>
      <c r="H33" s="130" t="s">
        <v>51</v>
      </c>
      <c r="I33" s="130">
        <v>182</v>
      </c>
      <c r="J33" s="130">
        <v>1.382</v>
      </c>
      <c r="L33" s="105"/>
      <c r="M33" s="143"/>
    </row>
    <row r="34" s="74" customFormat="1" ht="14.1" customHeight="1" spans="1:13">
      <c r="A34" s="127"/>
      <c r="B34" s="127" t="s">
        <v>54</v>
      </c>
      <c r="C34" s="127" t="s">
        <v>16</v>
      </c>
      <c r="D34" s="127" t="s">
        <v>16</v>
      </c>
      <c r="E34" s="127">
        <v>25</v>
      </c>
      <c r="F34" s="127" t="s">
        <v>16</v>
      </c>
      <c r="G34" s="127">
        <f t="shared" si="0"/>
        <v>25</v>
      </c>
      <c r="H34" s="130" t="s">
        <v>21</v>
      </c>
      <c r="I34" s="130">
        <v>1</v>
      </c>
      <c r="J34" s="130">
        <v>25</v>
      </c>
      <c r="K34" s="150"/>
      <c r="L34" s="151"/>
      <c r="M34" s="143"/>
    </row>
    <row r="35" s="74" customFormat="1" ht="14.1" customHeight="1" spans="1:13">
      <c r="A35" s="127"/>
      <c r="B35" s="127" t="s">
        <v>55</v>
      </c>
      <c r="C35" s="127" t="s">
        <v>16</v>
      </c>
      <c r="D35" s="127" t="s">
        <v>16</v>
      </c>
      <c r="E35" s="127">
        <f>I35*J35</f>
        <v>40</v>
      </c>
      <c r="F35" s="127" t="s">
        <v>16</v>
      </c>
      <c r="G35" s="127">
        <f t="shared" si="0"/>
        <v>40</v>
      </c>
      <c r="H35" s="130" t="s">
        <v>42</v>
      </c>
      <c r="I35" s="130">
        <v>5</v>
      </c>
      <c r="J35" s="130">
        <v>8</v>
      </c>
      <c r="K35" s="150"/>
      <c r="L35" s="151"/>
      <c r="M35" s="143"/>
    </row>
    <row r="36" s="74" customFormat="1" ht="14.1" customHeight="1" spans="1:13">
      <c r="A36" s="121" t="s">
        <v>56</v>
      </c>
      <c r="B36" s="121" t="s">
        <v>57</v>
      </c>
      <c r="C36" s="122"/>
      <c r="D36" s="122"/>
      <c r="E36" s="122"/>
      <c r="F36" s="122">
        <f>SUM(F37:F47)</f>
        <v>405.47937808</v>
      </c>
      <c r="G36" s="122">
        <f>C36+D36+E36+F36</f>
        <v>405.47937808</v>
      </c>
      <c r="H36" s="123">
        <f>G36/G55</f>
        <v>0.0460178704168319</v>
      </c>
      <c r="I36" s="141"/>
      <c r="J36" s="142"/>
      <c r="K36" s="150"/>
      <c r="L36" s="151"/>
      <c r="M36" s="143"/>
    </row>
    <row r="37" s="12" customFormat="1" ht="14.1" customHeight="1" spans="1:12">
      <c r="A37" s="45">
        <v>1</v>
      </c>
      <c r="B37" s="127" t="s">
        <v>58</v>
      </c>
      <c r="C37" s="63"/>
      <c r="D37" s="63"/>
      <c r="E37" s="63"/>
      <c r="F37" s="64">
        <v>0</v>
      </c>
      <c r="G37" s="63">
        <f>F37</f>
        <v>0</v>
      </c>
      <c r="H37" s="131"/>
      <c r="I37" s="152"/>
      <c r="J37" s="153"/>
      <c r="K37" s="154"/>
      <c r="L37" s="154"/>
    </row>
    <row r="38" ht="14.1" customHeight="1" spans="1:12">
      <c r="A38" s="45">
        <v>2</v>
      </c>
      <c r="B38" s="127" t="s">
        <v>59</v>
      </c>
      <c r="C38" s="63"/>
      <c r="D38" s="63"/>
      <c r="E38" s="63"/>
      <c r="F38" s="129">
        <f>G4*0.008</f>
        <v>63.21822968</v>
      </c>
      <c r="G38" s="63">
        <f t="shared" ref="G38:G47" si="2">C38+D38+E38+F38</f>
        <v>63.21822968</v>
      </c>
      <c r="H38" s="131"/>
      <c r="I38" s="155"/>
      <c r="J38" s="156"/>
      <c r="K38" s="154"/>
      <c r="L38" s="157"/>
    </row>
    <row r="39" ht="14.1" customHeight="1" spans="1:10">
      <c r="A39" s="45">
        <v>3</v>
      </c>
      <c r="B39" s="127" t="s">
        <v>60</v>
      </c>
      <c r="C39" s="63"/>
      <c r="D39" s="63"/>
      <c r="E39" s="63"/>
      <c r="F39" s="129">
        <f>G4*0.006</f>
        <v>47.41367226</v>
      </c>
      <c r="G39" s="63">
        <f t="shared" si="2"/>
        <v>47.41367226</v>
      </c>
      <c r="H39" s="132"/>
      <c r="I39" s="158"/>
      <c r="J39" s="159"/>
    </row>
    <row r="40" ht="14.1" customHeight="1" spans="1:10">
      <c r="A40" s="45">
        <v>4</v>
      </c>
      <c r="B40" s="127" t="s">
        <v>61</v>
      </c>
      <c r="C40" s="63"/>
      <c r="D40" s="63"/>
      <c r="E40" s="63"/>
      <c r="F40" s="129">
        <f>G4*0.005</f>
        <v>39.51139355</v>
      </c>
      <c r="G40" s="63">
        <f t="shared" si="2"/>
        <v>39.51139355</v>
      </c>
      <c r="H40" s="132"/>
      <c r="I40" s="158"/>
      <c r="J40" s="159"/>
    </row>
    <row r="41" ht="14.1" customHeight="1" spans="1:13">
      <c r="A41" s="45">
        <v>5</v>
      </c>
      <c r="B41" s="127" t="s">
        <v>62</v>
      </c>
      <c r="C41" s="63"/>
      <c r="D41" s="63"/>
      <c r="E41" s="63"/>
      <c r="F41" s="129">
        <v>26.17</v>
      </c>
      <c r="G41" s="63">
        <f t="shared" si="2"/>
        <v>26.17</v>
      </c>
      <c r="H41" s="132"/>
      <c r="I41" s="158"/>
      <c r="J41" s="160"/>
      <c r="L41" s="12"/>
      <c r="M41" s="12"/>
    </row>
    <row r="42" ht="14.1" customHeight="1" spans="1:10">
      <c r="A42" s="45">
        <v>6</v>
      </c>
      <c r="B42" s="127" t="s">
        <v>63</v>
      </c>
      <c r="C42" s="63"/>
      <c r="D42" s="63"/>
      <c r="E42" s="63"/>
      <c r="F42" s="129">
        <f>G4*0.01</f>
        <v>79.0227871</v>
      </c>
      <c r="G42" s="63">
        <f t="shared" si="2"/>
        <v>79.0227871</v>
      </c>
      <c r="H42" s="132"/>
      <c r="I42" s="158"/>
      <c r="J42" s="159"/>
    </row>
    <row r="43" ht="17.1" customHeight="1" spans="1:10">
      <c r="A43" s="45">
        <v>7</v>
      </c>
      <c r="B43" s="127" t="s">
        <v>64</v>
      </c>
      <c r="C43" s="63"/>
      <c r="D43" s="63"/>
      <c r="E43" s="63"/>
      <c r="F43" s="129">
        <f>G4*0.002</f>
        <v>15.80455742</v>
      </c>
      <c r="G43" s="63">
        <f t="shared" si="2"/>
        <v>15.80455742</v>
      </c>
      <c r="H43" s="131"/>
      <c r="I43" s="152"/>
      <c r="J43" s="161"/>
    </row>
    <row r="44" ht="20.1" customHeight="1" spans="1:10">
      <c r="A44" s="45">
        <v>8</v>
      </c>
      <c r="B44" s="127" t="s">
        <v>65</v>
      </c>
      <c r="C44" s="63"/>
      <c r="D44" s="63"/>
      <c r="E44" s="63"/>
      <c r="F44" s="129">
        <f>G4*0.007</f>
        <v>55.31595097</v>
      </c>
      <c r="G44" s="63">
        <f t="shared" si="2"/>
        <v>55.31595097</v>
      </c>
      <c r="H44" s="131"/>
      <c r="I44" s="152"/>
      <c r="J44" s="161"/>
    </row>
    <row r="45" ht="18.95" customHeight="1" spans="1:10">
      <c r="A45" s="45">
        <v>9</v>
      </c>
      <c r="B45" s="127" t="s">
        <v>66</v>
      </c>
      <c r="C45" s="63"/>
      <c r="D45" s="63"/>
      <c r="E45" s="63"/>
      <c r="F45" s="129">
        <f>G4*0.005</f>
        <v>39.51139355</v>
      </c>
      <c r="G45" s="63">
        <f t="shared" si="2"/>
        <v>39.51139355</v>
      </c>
      <c r="H45" s="131"/>
      <c r="I45" s="152"/>
      <c r="J45" s="161"/>
    </row>
    <row r="46" ht="18.95" customHeight="1" spans="1:10">
      <c r="A46" s="45">
        <v>10</v>
      </c>
      <c r="B46" s="127" t="s">
        <v>67</v>
      </c>
      <c r="C46" s="63"/>
      <c r="D46" s="63"/>
      <c r="E46" s="63"/>
      <c r="F46" s="129">
        <f>G4*0.002</f>
        <v>15.80455742</v>
      </c>
      <c r="G46" s="63">
        <f t="shared" si="2"/>
        <v>15.80455742</v>
      </c>
      <c r="H46" s="131"/>
      <c r="I46" s="152"/>
      <c r="J46" s="161"/>
    </row>
    <row r="47" s="74" customFormat="1" ht="14.1" customHeight="1" spans="1:13">
      <c r="A47" s="45">
        <v>11</v>
      </c>
      <c r="B47" s="127" t="s">
        <v>68</v>
      </c>
      <c r="C47" s="122"/>
      <c r="D47" s="122"/>
      <c r="E47" s="122"/>
      <c r="F47" s="133">
        <f>G4*0.003</f>
        <v>23.70683613</v>
      </c>
      <c r="G47" s="63">
        <f t="shared" si="2"/>
        <v>23.70683613</v>
      </c>
      <c r="H47" s="123"/>
      <c r="I47" s="141"/>
      <c r="J47" s="142"/>
      <c r="L47" s="143"/>
      <c r="M47" s="143"/>
    </row>
    <row r="48" s="74" customFormat="1" ht="14.1" customHeight="1" spans="1:13">
      <c r="A48" s="121" t="s">
        <v>69</v>
      </c>
      <c r="B48" s="121" t="s">
        <v>70</v>
      </c>
      <c r="C48" s="122"/>
      <c r="D48" s="122"/>
      <c r="E48" s="122"/>
      <c r="F48" s="122">
        <f>F49+F50</f>
        <v>415.387904404</v>
      </c>
      <c r="G48" s="122">
        <f>G49+G50</f>
        <v>415.387904404</v>
      </c>
      <c r="H48" s="123">
        <f>G48/G55</f>
        <v>0.0471423894554047</v>
      </c>
      <c r="I48" s="141"/>
      <c r="J48" s="142"/>
      <c r="L48" s="143"/>
      <c r="M48" s="143"/>
    </row>
    <row r="49" ht="14.1" customHeight="1" spans="1:10">
      <c r="A49" s="45">
        <v>3.1</v>
      </c>
      <c r="B49" s="45" t="s">
        <v>71</v>
      </c>
      <c r="C49" s="63"/>
      <c r="D49" s="63"/>
      <c r="E49" s="63"/>
      <c r="F49" s="63">
        <f>(G4+G36)*0.05</f>
        <v>415.387904404</v>
      </c>
      <c r="G49" s="63">
        <f>F49</f>
        <v>415.387904404</v>
      </c>
      <c r="H49" s="131" t="s">
        <v>72</v>
      </c>
      <c r="I49" s="152"/>
      <c r="J49" s="153"/>
    </row>
    <row r="50" ht="14.1" customHeight="1" spans="1:10">
      <c r="A50" s="45">
        <v>3.2</v>
      </c>
      <c r="B50" s="45" t="s">
        <v>73</v>
      </c>
      <c r="C50" s="63"/>
      <c r="D50" s="63"/>
      <c r="E50" s="63"/>
      <c r="F50" s="63"/>
      <c r="G50" s="63"/>
      <c r="H50" s="131"/>
      <c r="I50" s="152"/>
      <c r="J50" s="153"/>
    </row>
    <row r="51" s="74" customFormat="1" ht="14.1" customHeight="1" spans="1:13">
      <c r="A51" s="121" t="s">
        <v>74</v>
      </c>
      <c r="B51" s="121" t="s">
        <v>75</v>
      </c>
      <c r="C51" s="122">
        <f>C48+C36+C4</f>
        <v>163.7464</v>
      </c>
      <c r="D51" s="122">
        <f>D48+D36+D4</f>
        <v>328.3786</v>
      </c>
      <c r="E51" s="122">
        <f>E48+E36+E4</f>
        <v>7410.15371</v>
      </c>
      <c r="F51" s="122">
        <f>F48+F36+F4</f>
        <v>820.867282484</v>
      </c>
      <c r="G51" s="122">
        <f>G4+G36+G48</f>
        <v>8723.145992484</v>
      </c>
      <c r="H51" s="123">
        <f>G51/G55</f>
        <v>0.989990178563498</v>
      </c>
      <c r="I51" s="141"/>
      <c r="J51" s="142"/>
      <c r="L51" s="143"/>
      <c r="M51" s="143"/>
    </row>
    <row r="52" ht="14.1" customHeight="1" spans="1:10">
      <c r="A52" s="45"/>
      <c r="B52" s="45" t="s">
        <v>76</v>
      </c>
      <c r="C52" s="134">
        <f>C51/G51</f>
        <v>0.0187714845241713</v>
      </c>
      <c r="D52" s="134">
        <f>D51/G51</f>
        <v>0.0376445149815143</v>
      </c>
      <c r="E52" s="134">
        <f>E51/G51</f>
        <v>0.849481794341709</v>
      </c>
      <c r="F52" s="134">
        <f>F51/G51</f>
        <v>0.0941022061526051</v>
      </c>
      <c r="G52" s="134">
        <v>1</v>
      </c>
      <c r="H52" s="135"/>
      <c r="I52" s="155"/>
      <c r="J52" s="156"/>
    </row>
    <row r="53" s="74" customFormat="1" ht="14.1" customHeight="1" spans="1:13">
      <c r="A53" s="121" t="s">
        <v>77</v>
      </c>
      <c r="B53" s="121" t="s">
        <v>78</v>
      </c>
      <c r="C53" s="122"/>
      <c r="D53" s="122"/>
      <c r="E53" s="122"/>
      <c r="F53" s="122"/>
      <c r="G53" s="122">
        <f>还本付息表!D7</f>
        <v>88.2</v>
      </c>
      <c r="H53" s="123">
        <f>G53/G55</f>
        <v>0.0100098214365017</v>
      </c>
      <c r="I53" s="141"/>
      <c r="J53" s="142"/>
      <c r="L53" s="143"/>
      <c r="M53" s="143"/>
    </row>
    <row r="54" s="74" customFormat="1" ht="14.1" customHeight="1" spans="1:13">
      <c r="A54" s="121" t="s">
        <v>79</v>
      </c>
      <c r="B54" s="121" t="s">
        <v>80</v>
      </c>
      <c r="C54" s="122"/>
      <c r="D54" s="122"/>
      <c r="E54" s="122"/>
      <c r="F54" s="122"/>
      <c r="G54" s="122">
        <f>G51+G53</f>
        <v>8811.345992484</v>
      </c>
      <c r="H54" s="123">
        <f>G54/G55</f>
        <v>1</v>
      </c>
      <c r="I54" s="141"/>
      <c r="J54" s="142"/>
      <c r="L54" s="143"/>
      <c r="M54" s="143"/>
    </row>
    <row r="55" s="74" customFormat="1" ht="14.1" customHeight="1" spans="1:13">
      <c r="A55" s="121" t="s">
        <v>81</v>
      </c>
      <c r="B55" s="121" t="s">
        <v>82</v>
      </c>
      <c r="C55" s="122"/>
      <c r="D55" s="122"/>
      <c r="E55" s="122"/>
      <c r="F55" s="122"/>
      <c r="G55" s="122">
        <f>G54</f>
        <v>8811.345992484</v>
      </c>
      <c r="H55" s="123">
        <v>1</v>
      </c>
      <c r="I55" s="141"/>
      <c r="J55" s="142"/>
      <c r="L55" s="143"/>
      <c r="M55" s="143"/>
    </row>
    <row r="56" s="12" customFormat="1" spans="1:13">
      <c r="A56" s="53"/>
      <c r="B56" s="53"/>
      <c r="C56" s="53"/>
      <c r="D56" s="53"/>
      <c r="E56" s="53"/>
      <c r="F56" s="53"/>
      <c r="G56" s="136"/>
      <c r="H56" s="106"/>
      <c r="I56" s="53"/>
      <c r="J56" s="115"/>
      <c r="L56" s="105"/>
      <c r="M56" s="105"/>
    </row>
    <row r="58" spans="7:7">
      <c r="G58" s="53">
        <v>12648.36</v>
      </c>
    </row>
  </sheetData>
  <mergeCells count="23">
    <mergeCell ref="A1:J1"/>
    <mergeCell ref="A2:J2"/>
    <mergeCell ref="H4:J4"/>
    <mergeCell ref="H5:J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H46:J46"/>
    <mergeCell ref="H48:J48"/>
    <mergeCell ref="H49:J49"/>
    <mergeCell ref="H50:J50"/>
    <mergeCell ref="H51:J51"/>
    <mergeCell ref="H52:J52"/>
    <mergeCell ref="H53:J53"/>
    <mergeCell ref="H54:J54"/>
    <mergeCell ref="H55:J5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0" zoomScaleNormal="120" workbookViewId="0">
      <selection activeCell="H27" sqref="H27"/>
    </sheetView>
  </sheetViews>
  <sheetFormatPr defaultColWidth="9" defaultRowHeight="14"/>
  <cols>
    <col min="1" max="1" width="4.5" customWidth="1"/>
    <col min="2" max="2" width="11.8545454545455" customWidth="1"/>
    <col min="3" max="3" width="6.5" customWidth="1"/>
    <col min="4" max="5" width="6.59090909090909" customWidth="1"/>
    <col min="6" max="6" width="8.7" customWidth="1"/>
    <col min="7" max="15" width="8.11818181818182" style="105" customWidth="1"/>
  </cols>
  <sheetData>
    <row r="1" ht="17.5" spans="1:15">
      <c r="A1" s="32" t="s">
        <v>83</v>
      </c>
      <c r="B1" s="33"/>
      <c r="C1" s="33"/>
      <c r="D1" s="33"/>
      <c r="E1" s="33"/>
      <c r="F1" s="33"/>
      <c r="G1" s="106"/>
      <c r="H1" s="106"/>
      <c r="I1" s="106"/>
      <c r="J1" s="106"/>
      <c r="K1" s="106"/>
      <c r="L1" s="106"/>
      <c r="M1" s="106"/>
      <c r="N1" s="106"/>
      <c r="O1" s="106"/>
    </row>
    <row r="2" spans="7:15">
      <c r="G2" s="12"/>
      <c r="H2" s="12"/>
      <c r="I2" s="12"/>
      <c r="J2" s="12"/>
      <c r="K2" s="12"/>
      <c r="L2" s="12"/>
      <c r="M2" s="12"/>
      <c r="N2" s="12" t="s">
        <v>1</v>
      </c>
      <c r="O2" s="12"/>
    </row>
    <row r="3" spans="1:15">
      <c r="A3" s="107" t="s">
        <v>2</v>
      </c>
      <c r="B3" s="107" t="s">
        <v>84</v>
      </c>
      <c r="C3" s="107" t="s">
        <v>8</v>
      </c>
      <c r="D3" s="107" t="s">
        <v>85</v>
      </c>
      <c r="E3" s="107" t="s">
        <v>86</v>
      </c>
      <c r="F3" s="108" t="s">
        <v>87</v>
      </c>
      <c r="G3" s="109"/>
      <c r="H3" s="109"/>
      <c r="I3" s="109"/>
      <c r="J3" s="109"/>
      <c r="K3" s="109"/>
      <c r="L3" s="109"/>
      <c r="M3" s="109"/>
      <c r="N3" s="109"/>
      <c r="O3" s="109"/>
    </row>
    <row r="4" spans="1:15">
      <c r="A4" s="110"/>
      <c r="B4" s="110"/>
      <c r="C4" s="110"/>
      <c r="D4" s="110"/>
      <c r="E4" s="110"/>
      <c r="F4" s="111">
        <v>0.5</v>
      </c>
      <c r="G4" s="112">
        <v>2</v>
      </c>
      <c r="H4" s="112">
        <v>3</v>
      </c>
      <c r="I4" s="112">
        <v>4</v>
      </c>
      <c r="J4" s="112">
        <v>5</v>
      </c>
      <c r="K4" s="112">
        <v>6</v>
      </c>
      <c r="L4" s="112">
        <v>7</v>
      </c>
      <c r="M4" s="112">
        <v>8</v>
      </c>
      <c r="N4" s="112">
        <v>9</v>
      </c>
      <c r="O4" s="112">
        <v>10</v>
      </c>
    </row>
    <row r="5" ht="19" spans="1:15">
      <c r="A5" s="49">
        <v>1</v>
      </c>
      <c r="B5" s="49" t="s">
        <v>88</v>
      </c>
      <c r="C5" s="113"/>
      <c r="D5" s="61">
        <v>0.05</v>
      </c>
      <c r="E5" s="97">
        <v>15</v>
      </c>
      <c r="F5" s="97"/>
      <c r="G5" s="104"/>
      <c r="H5" s="104"/>
      <c r="I5" s="104"/>
      <c r="J5" s="104"/>
      <c r="K5" s="104"/>
      <c r="L5" s="104"/>
      <c r="M5" s="104"/>
      <c r="N5" s="104"/>
      <c r="O5" s="114"/>
    </row>
    <row r="6" spans="1:15">
      <c r="A6" s="49">
        <v>1.1</v>
      </c>
      <c r="B6" s="49" t="s">
        <v>89</v>
      </c>
      <c r="C6" s="113"/>
      <c r="D6" s="113"/>
      <c r="E6" s="113"/>
      <c r="F6" s="104">
        <f>总投资!G51*0.91</f>
        <v>7938.06285316044</v>
      </c>
      <c r="G6" s="104">
        <f t="shared" ref="G6:O6" si="0">F8</f>
        <v>7686.69086281036</v>
      </c>
      <c r="H6" s="104">
        <f t="shared" si="0"/>
        <v>7183.9468821102</v>
      </c>
      <c r="I6" s="104">
        <f t="shared" si="0"/>
        <v>6681.20290141004</v>
      </c>
      <c r="J6" s="104">
        <f t="shared" si="0"/>
        <v>6178.45892070988</v>
      </c>
      <c r="K6" s="104">
        <f t="shared" si="0"/>
        <v>5675.71494000972</v>
      </c>
      <c r="L6" s="104">
        <f t="shared" si="0"/>
        <v>5172.97095930955</v>
      </c>
      <c r="M6" s="104">
        <f t="shared" si="0"/>
        <v>4670.22697860939</v>
      </c>
      <c r="N6" s="104">
        <f t="shared" si="0"/>
        <v>4167.48299790923</v>
      </c>
      <c r="O6" s="104">
        <f t="shared" si="0"/>
        <v>3664.73901720907</v>
      </c>
    </row>
    <row r="7" ht="16.9" customHeight="1" spans="1:15">
      <c r="A7" s="49">
        <v>1.2</v>
      </c>
      <c r="B7" s="49" t="s">
        <v>90</v>
      </c>
      <c r="C7" s="113">
        <f>SUM(F7:O7)</f>
        <v>4776.06781665153</v>
      </c>
      <c r="D7" s="113"/>
      <c r="E7" s="113"/>
      <c r="F7" s="104">
        <f>F6*0.95*0.5/15</f>
        <v>251.371990350081</v>
      </c>
      <c r="G7" s="104">
        <f>F6*0.95/15</f>
        <v>502.743980700161</v>
      </c>
      <c r="H7" s="104">
        <f t="shared" ref="H7:O7" si="1">G7</f>
        <v>502.743980700161</v>
      </c>
      <c r="I7" s="104">
        <f t="shared" si="1"/>
        <v>502.743980700161</v>
      </c>
      <c r="J7" s="104">
        <f t="shared" si="1"/>
        <v>502.743980700161</v>
      </c>
      <c r="K7" s="104">
        <f t="shared" si="1"/>
        <v>502.743980700161</v>
      </c>
      <c r="L7" s="104">
        <f t="shared" si="1"/>
        <v>502.743980700161</v>
      </c>
      <c r="M7" s="104">
        <f t="shared" si="1"/>
        <v>502.743980700161</v>
      </c>
      <c r="N7" s="104">
        <f t="shared" si="1"/>
        <v>502.743980700161</v>
      </c>
      <c r="O7" s="104">
        <f t="shared" si="1"/>
        <v>502.743980700161</v>
      </c>
    </row>
    <row r="8" spans="1:15">
      <c r="A8" s="49">
        <v>1.3</v>
      </c>
      <c r="B8" s="49" t="s">
        <v>91</v>
      </c>
      <c r="C8" s="113"/>
      <c r="D8" s="113"/>
      <c r="E8" s="113"/>
      <c r="F8" s="104">
        <f t="shared" ref="F8:O8" si="2">F6-F7</f>
        <v>7686.69086281036</v>
      </c>
      <c r="G8" s="104">
        <f t="shared" si="2"/>
        <v>7183.9468821102</v>
      </c>
      <c r="H8" s="104">
        <f t="shared" si="2"/>
        <v>6681.20290141004</v>
      </c>
      <c r="I8" s="104">
        <f t="shared" si="2"/>
        <v>6178.45892070988</v>
      </c>
      <c r="J8" s="104">
        <f t="shared" si="2"/>
        <v>5675.71494000972</v>
      </c>
      <c r="K8" s="104">
        <f t="shared" si="2"/>
        <v>5172.97095930955</v>
      </c>
      <c r="L8" s="104">
        <f t="shared" si="2"/>
        <v>4670.22697860939</v>
      </c>
      <c r="M8" s="104">
        <f t="shared" si="2"/>
        <v>4167.48299790923</v>
      </c>
      <c r="N8" s="104">
        <f t="shared" si="2"/>
        <v>3664.73901720907</v>
      </c>
      <c r="O8" s="104">
        <f t="shared" si="2"/>
        <v>3161.99503650891</v>
      </c>
    </row>
    <row r="9" spans="1:15">
      <c r="A9" s="49">
        <v>2</v>
      </c>
      <c r="B9" s="49" t="s">
        <v>92</v>
      </c>
      <c r="C9" s="113">
        <f>SUM(F9:O9)</f>
        <v>4776.06781665153</v>
      </c>
      <c r="D9" s="113"/>
      <c r="E9" s="113"/>
      <c r="F9" s="104">
        <f t="shared" ref="F9:O9" si="3">F7</f>
        <v>251.371990350081</v>
      </c>
      <c r="G9" s="104">
        <f t="shared" si="3"/>
        <v>502.743980700161</v>
      </c>
      <c r="H9" s="104">
        <f t="shared" si="3"/>
        <v>502.743980700161</v>
      </c>
      <c r="I9" s="104">
        <f t="shared" si="3"/>
        <v>502.743980700161</v>
      </c>
      <c r="J9" s="104">
        <f t="shared" si="3"/>
        <v>502.743980700161</v>
      </c>
      <c r="K9" s="104">
        <f t="shared" si="3"/>
        <v>502.743980700161</v>
      </c>
      <c r="L9" s="104">
        <f t="shared" si="3"/>
        <v>502.743980700161</v>
      </c>
      <c r="M9" s="104">
        <f t="shared" si="3"/>
        <v>502.743980700161</v>
      </c>
      <c r="N9" s="104">
        <f t="shared" si="3"/>
        <v>502.743980700161</v>
      </c>
      <c r="O9" s="104">
        <f t="shared" si="3"/>
        <v>502.743980700161</v>
      </c>
    </row>
    <row r="10" spans="1:15">
      <c r="A10" s="49">
        <v>3</v>
      </c>
      <c r="B10" s="49" t="s">
        <v>93</v>
      </c>
      <c r="C10" s="113"/>
      <c r="D10" s="113"/>
      <c r="E10" s="113"/>
      <c r="F10" s="113"/>
      <c r="G10" s="104"/>
      <c r="H10" s="104"/>
      <c r="I10" s="104"/>
      <c r="J10" s="104"/>
      <c r="K10" s="104"/>
      <c r="L10" s="104"/>
      <c r="M10" s="104"/>
      <c r="N10" s="104"/>
      <c r="O10" s="114"/>
    </row>
    <row r="11" spans="1:15">
      <c r="A11" s="49">
        <v>3.1</v>
      </c>
      <c r="B11" s="49" t="s">
        <v>89</v>
      </c>
      <c r="C11" s="113"/>
      <c r="D11" s="113"/>
      <c r="E11" s="113"/>
      <c r="F11" s="113"/>
      <c r="G11" s="104"/>
      <c r="H11" s="104"/>
      <c r="I11" s="104"/>
      <c r="J11" s="104"/>
      <c r="K11" s="104"/>
      <c r="L11" s="104"/>
      <c r="M11" s="104"/>
      <c r="N11" s="104"/>
      <c r="O11" s="114"/>
    </row>
    <row r="12" spans="1:15">
      <c r="A12" s="49">
        <v>3.2</v>
      </c>
      <c r="B12" s="49" t="s">
        <v>90</v>
      </c>
      <c r="C12" s="113"/>
      <c r="D12" s="113"/>
      <c r="E12" s="113"/>
      <c r="F12" s="113"/>
      <c r="G12" s="104"/>
      <c r="H12" s="104"/>
      <c r="I12" s="104"/>
      <c r="J12" s="104"/>
      <c r="K12" s="104"/>
      <c r="L12" s="104"/>
      <c r="M12" s="104"/>
      <c r="N12" s="104"/>
      <c r="O12" s="114"/>
    </row>
    <row r="13" spans="1:15">
      <c r="A13" s="49">
        <v>3.3</v>
      </c>
      <c r="B13" s="49" t="s">
        <v>91</v>
      </c>
      <c r="C13" s="113"/>
      <c r="D13" s="113"/>
      <c r="E13" s="113"/>
      <c r="F13" s="113"/>
      <c r="G13" s="104"/>
      <c r="H13" s="104"/>
      <c r="I13" s="104"/>
      <c r="J13" s="104"/>
      <c r="K13" s="104"/>
      <c r="L13" s="104"/>
      <c r="M13" s="104"/>
      <c r="N13" s="104"/>
      <c r="O13" s="114"/>
    </row>
  </sheetData>
  <mergeCells count="7">
    <mergeCell ref="A1:O1"/>
    <mergeCell ref="F3:O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0" zoomScaleNormal="120" workbookViewId="0">
      <selection activeCell="D14" sqref="D14"/>
    </sheetView>
  </sheetViews>
  <sheetFormatPr defaultColWidth="9" defaultRowHeight="14"/>
  <cols>
    <col min="1" max="1" width="5.25454545454545" style="53" customWidth="1"/>
    <col min="2" max="2" width="16.1272727272727" style="53" customWidth="1"/>
    <col min="3" max="4" width="8.25454545454545" style="78" customWidth="1"/>
    <col min="5" max="9" width="9.85454545454546" customWidth="1"/>
    <col min="10" max="10" width="9.85454545454546" style="12" customWidth="1"/>
    <col min="11" max="12" width="9.85454545454546" customWidth="1"/>
    <col min="13" max="13" width="8.11818181818182" customWidth="1"/>
  </cols>
  <sheetData>
    <row r="1" ht="17.45" customHeight="1" spans="1:12">
      <c r="A1" s="32" t="s">
        <v>94</v>
      </c>
      <c r="B1" s="32"/>
      <c r="C1" s="15"/>
      <c r="D1" s="15"/>
      <c r="E1" s="32"/>
      <c r="F1" s="32"/>
      <c r="G1" s="32"/>
      <c r="H1" s="32"/>
      <c r="I1" s="32"/>
      <c r="J1" s="1"/>
      <c r="K1" s="32"/>
      <c r="L1" s="32"/>
    </row>
    <row r="2" spans="12:12">
      <c r="L2" t="s">
        <v>1</v>
      </c>
    </row>
    <row r="3" ht="16.15" customHeight="1" spans="1:13">
      <c r="A3" s="36" t="s">
        <v>2</v>
      </c>
      <c r="B3" s="35" t="s">
        <v>84</v>
      </c>
      <c r="C3" s="79" t="s">
        <v>8</v>
      </c>
      <c r="D3" s="80" t="s">
        <v>87</v>
      </c>
      <c r="E3" s="81"/>
      <c r="F3" s="81"/>
      <c r="G3" s="81"/>
      <c r="H3" s="81"/>
      <c r="I3" s="81"/>
      <c r="J3" s="81"/>
      <c r="K3" s="81"/>
      <c r="L3" s="81"/>
      <c r="M3" s="84"/>
    </row>
    <row r="4" spans="1:13">
      <c r="A4" s="36"/>
      <c r="B4" s="82"/>
      <c r="C4" s="83"/>
      <c r="D4" s="84">
        <v>0.5</v>
      </c>
      <c r="E4" s="85">
        <v>2</v>
      </c>
      <c r="F4" s="85">
        <v>3</v>
      </c>
      <c r="G4" s="85">
        <v>4</v>
      </c>
      <c r="H4" s="85">
        <v>5</v>
      </c>
      <c r="I4" s="85">
        <v>6</v>
      </c>
      <c r="J4" s="85">
        <v>7</v>
      </c>
      <c r="K4" s="85">
        <v>8</v>
      </c>
      <c r="L4" s="85">
        <v>9</v>
      </c>
      <c r="M4" s="85">
        <v>10</v>
      </c>
    </row>
    <row r="5" s="74" customFormat="1" ht="17" customHeight="1" spans="1:13">
      <c r="A5" s="85">
        <v>1</v>
      </c>
      <c r="B5" s="36" t="s">
        <v>95</v>
      </c>
      <c r="C5" s="86">
        <f>SUM((E5:M5))</f>
        <v>12832.0801787927</v>
      </c>
      <c r="D5" s="87">
        <f t="shared" ref="D5:M5" si="0">D6+D12+D15+D18</f>
        <v>714.3036345</v>
      </c>
      <c r="E5" s="87">
        <f t="shared" si="0"/>
        <v>1428.788432655</v>
      </c>
      <c r="F5" s="87">
        <f t="shared" si="0"/>
        <v>1428.98273049172</v>
      </c>
      <c r="G5" s="87">
        <f t="shared" si="0"/>
        <v>1429.19009683927</v>
      </c>
      <c r="H5" s="87">
        <f t="shared" si="0"/>
        <v>1429.41046635507</v>
      </c>
      <c r="I5" s="87">
        <f t="shared" si="0"/>
        <v>1428.2397740233</v>
      </c>
      <c r="J5" s="87">
        <f t="shared" si="0"/>
        <v>1425.67795515318</v>
      </c>
      <c r="K5" s="87">
        <f t="shared" si="0"/>
        <v>1423.12894537741</v>
      </c>
      <c r="L5" s="87">
        <f t="shared" si="0"/>
        <v>1420.59268065052</v>
      </c>
      <c r="M5" s="87">
        <f t="shared" si="0"/>
        <v>1418.06909724727</v>
      </c>
    </row>
    <row r="6" s="12" customFormat="1" ht="13" customHeight="1" spans="1:13">
      <c r="A6" s="88">
        <v>1.1</v>
      </c>
      <c r="B6" s="64" t="s">
        <v>96</v>
      </c>
      <c r="C6" s="61">
        <f>SUM(D6:M6)</f>
        <v>4874.34381329274</v>
      </c>
      <c r="D6" s="23">
        <f t="shared" ref="D6:M6" si="1">D7*D9*D10*D11/10000</f>
        <v>262.6836345</v>
      </c>
      <c r="E6" s="23">
        <f t="shared" si="1"/>
        <v>522.740432655</v>
      </c>
      <c r="F6" s="23">
        <f t="shared" si="1"/>
        <v>520.126730491725</v>
      </c>
      <c r="G6" s="23">
        <f t="shared" si="1"/>
        <v>517.526096839266</v>
      </c>
      <c r="H6" s="23">
        <f t="shared" si="1"/>
        <v>514.93846635507</v>
      </c>
      <c r="I6" s="23">
        <f t="shared" si="1"/>
        <v>512.363774023295</v>
      </c>
      <c r="J6" s="23">
        <f t="shared" si="1"/>
        <v>509.801955153178</v>
      </c>
      <c r="K6" s="23">
        <f t="shared" si="1"/>
        <v>507.252945377412</v>
      </c>
      <c r="L6" s="23">
        <f t="shared" si="1"/>
        <v>504.716680650525</v>
      </c>
      <c r="M6" s="23">
        <f t="shared" si="1"/>
        <v>502.193097247273</v>
      </c>
    </row>
    <row r="7" customFormat="1" ht="12" customHeight="1" spans="1:13">
      <c r="A7" s="40" t="s">
        <v>97</v>
      </c>
      <c r="B7" s="64" t="s">
        <v>98</v>
      </c>
      <c r="C7" s="61"/>
      <c r="D7" s="23">
        <f>5950*(1-D8)</f>
        <v>5831</v>
      </c>
      <c r="E7" s="89">
        <f t="shared" ref="E7:M7" si="2">D7*(1-E8)</f>
        <v>5801.845</v>
      </c>
      <c r="F7" s="89">
        <f t="shared" si="2"/>
        <v>5772.835775</v>
      </c>
      <c r="G7" s="89">
        <f t="shared" si="2"/>
        <v>5743.971596125</v>
      </c>
      <c r="H7" s="89">
        <f t="shared" si="2"/>
        <v>5715.25173814437</v>
      </c>
      <c r="I7" s="89">
        <f t="shared" si="2"/>
        <v>5686.67547945365</v>
      </c>
      <c r="J7" s="89">
        <f t="shared" si="2"/>
        <v>5658.24210205638</v>
      </c>
      <c r="K7" s="89">
        <f t="shared" si="2"/>
        <v>5629.9508915461</v>
      </c>
      <c r="L7" s="89">
        <f t="shared" si="2"/>
        <v>5601.80113708837</v>
      </c>
      <c r="M7" s="89">
        <f t="shared" si="2"/>
        <v>5573.79213140293</v>
      </c>
    </row>
    <row r="8" s="75" customFormat="1" ht="12" customHeight="1" spans="1:13">
      <c r="A8" s="40" t="s">
        <v>99</v>
      </c>
      <c r="B8" s="90" t="s">
        <v>100</v>
      </c>
      <c r="C8" s="91"/>
      <c r="D8" s="92">
        <v>0.02</v>
      </c>
      <c r="E8" s="93">
        <v>0.005</v>
      </c>
      <c r="F8" s="92">
        <v>0.005</v>
      </c>
      <c r="G8" s="92">
        <v>0.005</v>
      </c>
      <c r="H8" s="92">
        <v>0.005</v>
      </c>
      <c r="I8" s="92">
        <v>0.005</v>
      </c>
      <c r="J8" s="92">
        <v>0.005</v>
      </c>
      <c r="K8" s="92">
        <v>0.005</v>
      </c>
      <c r="L8" s="92">
        <v>0.005</v>
      </c>
      <c r="M8" s="92">
        <f>L8</f>
        <v>0.005</v>
      </c>
    </row>
    <row r="9" customFormat="1" ht="23" customHeight="1" spans="1:13">
      <c r="A9" s="40" t="s">
        <v>101</v>
      </c>
      <c r="B9" s="64" t="s">
        <v>102</v>
      </c>
      <c r="C9" s="61"/>
      <c r="D9" s="23">
        <v>3.337</v>
      </c>
      <c r="E9" s="89">
        <v>3.337</v>
      </c>
      <c r="F9" s="23">
        <v>3.337</v>
      </c>
      <c r="G9" s="23">
        <v>3.337</v>
      </c>
      <c r="H9" s="23">
        <v>3.337</v>
      </c>
      <c r="I9" s="23">
        <v>3.337</v>
      </c>
      <c r="J9" s="23">
        <v>3.337</v>
      </c>
      <c r="K9" s="23">
        <v>3.337</v>
      </c>
      <c r="L9" s="23">
        <v>3.337</v>
      </c>
      <c r="M9" s="23">
        <f>L9</f>
        <v>3.337</v>
      </c>
    </row>
    <row r="10" customFormat="1" ht="12" customHeight="1" spans="1:13">
      <c r="A10" s="40" t="s">
        <v>103</v>
      </c>
      <c r="B10" s="64" t="s">
        <v>104</v>
      </c>
      <c r="C10" s="61"/>
      <c r="D10" s="23">
        <v>180</v>
      </c>
      <c r="E10" s="89">
        <v>360</v>
      </c>
      <c r="F10" s="23">
        <f t="shared" ref="F10:M10" si="3">E10</f>
        <v>360</v>
      </c>
      <c r="G10" s="23">
        <f t="shared" si="3"/>
        <v>360</v>
      </c>
      <c r="H10" s="23">
        <f t="shared" si="3"/>
        <v>360</v>
      </c>
      <c r="I10" s="23">
        <f t="shared" si="3"/>
        <v>360</v>
      </c>
      <c r="J10" s="23">
        <f t="shared" si="3"/>
        <v>360</v>
      </c>
      <c r="K10" s="23">
        <f t="shared" si="3"/>
        <v>360</v>
      </c>
      <c r="L10" s="23">
        <f t="shared" si="3"/>
        <v>360</v>
      </c>
      <c r="M10" s="23">
        <f t="shared" si="3"/>
        <v>360</v>
      </c>
    </row>
    <row r="11" customFormat="1" ht="12" customHeight="1" spans="1:13">
      <c r="A11" s="40" t="s">
        <v>105</v>
      </c>
      <c r="B11" s="64" t="s">
        <v>106</v>
      </c>
      <c r="C11" s="61"/>
      <c r="D11" s="23">
        <v>0.75</v>
      </c>
      <c r="E11" s="89">
        <f t="shared" ref="E11:M11" si="4">D11</f>
        <v>0.75</v>
      </c>
      <c r="F11" s="89">
        <f t="shared" si="4"/>
        <v>0.75</v>
      </c>
      <c r="G11" s="89">
        <f t="shared" si="4"/>
        <v>0.75</v>
      </c>
      <c r="H11" s="89">
        <f t="shared" si="4"/>
        <v>0.75</v>
      </c>
      <c r="I11" s="89">
        <f t="shared" si="4"/>
        <v>0.75</v>
      </c>
      <c r="J11" s="89">
        <f t="shared" si="4"/>
        <v>0.75</v>
      </c>
      <c r="K11" s="89">
        <f t="shared" si="4"/>
        <v>0.75</v>
      </c>
      <c r="L11" s="89">
        <f t="shared" si="4"/>
        <v>0.75</v>
      </c>
      <c r="M11" s="89">
        <f t="shared" si="4"/>
        <v>0.75</v>
      </c>
    </row>
    <row r="12" s="74" customFormat="1" ht="12" customHeight="1" spans="1:13">
      <c r="A12" s="94">
        <v>1.2</v>
      </c>
      <c r="B12" s="36" t="s">
        <v>107</v>
      </c>
      <c r="C12" s="86">
        <f>SUM((D12:L12))</f>
        <v>7558.2</v>
      </c>
      <c r="D12" s="87">
        <f>D13*D14*180/10000</f>
        <v>444.6</v>
      </c>
      <c r="E12" s="87">
        <f t="shared" ref="E12:M12" si="5">E13*E14*360/10000</f>
        <v>889.2</v>
      </c>
      <c r="F12" s="87">
        <f t="shared" si="5"/>
        <v>889.2</v>
      </c>
      <c r="G12" s="87">
        <f t="shared" si="5"/>
        <v>889.2</v>
      </c>
      <c r="H12" s="87">
        <f t="shared" si="5"/>
        <v>889.2</v>
      </c>
      <c r="I12" s="87">
        <f t="shared" si="5"/>
        <v>889.2</v>
      </c>
      <c r="J12" s="87">
        <f t="shared" si="5"/>
        <v>889.2</v>
      </c>
      <c r="K12" s="87">
        <f t="shared" si="5"/>
        <v>889.2</v>
      </c>
      <c r="L12" s="87">
        <f t="shared" si="5"/>
        <v>889.2</v>
      </c>
      <c r="M12" s="87">
        <f t="shared" si="5"/>
        <v>889.2</v>
      </c>
    </row>
    <row r="13" ht="12" customHeight="1" spans="1:13">
      <c r="A13" s="86" t="s">
        <v>108</v>
      </c>
      <c r="B13" s="41" t="s">
        <v>109</v>
      </c>
      <c r="C13" s="61"/>
      <c r="D13" s="23">
        <f>0.65</f>
        <v>0.65</v>
      </c>
      <c r="E13" s="41">
        <f t="shared" ref="E13:M13" si="6">D13</f>
        <v>0.65</v>
      </c>
      <c r="F13" s="41">
        <f t="shared" si="6"/>
        <v>0.65</v>
      </c>
      <c r="G13" s="41">
        <f t="shared" si="6"/>
        <v>0.65</v>
      </c>
      <c r="H13" s="41">
        <f t="shared" si="6"/>
        <v>0.65</v>
      </c>
      <c r="I13" s="41">
        <f t="shared" si="6"/>
        <v>0.65</v>
      </c>
      <c r="J13" s="45">
        <f t="shared" si="6"/>
        <v>0.65</v>
      </c>
      <c r="K13" s="41">
        <f t="shared" si="6"/>
        <v>0.65</v>
      </c>
      <c r="L13" s="41">
        <f t="shared" si="6"/>
        <v>0.65</v>
      </c>
      <c r="M13" s="41">
        <f t="shared" si="6"/>
        <v>0.65</v>
      </c>
    </row>
    <row r="14" s="76" customFormat="1" ht="12" customHeight="1" spans="1:13">
      <c r="A14" s="95" t="s">
        <v>110</v>
      </c>
      <c r="B14" s="96" t="s">
        <v>111</v>
      </c>
      <c r="C14" s="97"/>
      <c r="D14" s="23">
        <f>40000*0.95</f>
        <v>38000</v>
      </c>
      <c r="E14" s="23">
        <f>D14</f>
        <v>38000</v>
      </c>
      <c r="F14" s="96">
        <f t="shared" ref="F14:M14" si="7">E14</f>
        <v>38000</v>
      </c>
      <c r="G14" s="96">
        <f t="shared" si="7"/>
        <v>38000</v>
      </c>
      <c r="H14" s="96">
        <f t="shared" si="7"/>
        <v>38000</v>
      </c>
      <c r="I14" s="96">
        <f t="shared" si="7"/>
        <v>38000</v>
      </c>
      <c r="J14" s="103">
        <f t="shared" si="7"/>
        <v>38000</v>
      </c>
      <c r="K14" s="103">
        <f t="shared" si="7"/>
        <v>38000</v>
      </c>
      <c r="L14" s="103">
        <f t="shared" si="7"/>
        <v>38000</v>
      </c>
      <c r="M14" s="103">
        <f t="shared" si="7"/>
        <v>38000</v>
      </c>
    </row>
    <row r="15" s="74" customFormat="1" ht="16" customHeight="1" spans="1:13">
      <c r="A15" s="85">
        <v>1.3</v>
      </c>
      <c r="B15" s="36" t="s">
        <v>112</v>
      </c>
      <c r="C15" s="86"/>
      <c r="D15" s="23">
        <f>D16*D17/10000</f>
        <v>0</v>
      </c>
      <c r="E15" s="87"/>
      <c r="F15" s="87"/>
      <c r="G15" s="87"/>
      <c r="H15" s="87"/>
      <c r="I15" s="87"/>
      <c r="J15" s="87"/>
      <c r="K15" s="87"/>
      <c r="L15" s="87"/>
      <c r="M15" s="87"/>
    </row>
    <row r="16" customFormat="1" ht="12" customHeight="1" spans="1:13">
      <c r="A16" s="98" t="s">
        <v>113</v>
      </c>
      <c r="B16" s="96" t="s">
        <v>114</v>
      </c>
      <c r="C16" s="61"/>
      <c r="D16" s="23">
        <v>0</v>
      </c>
      <c r="E16" s="23"/>
      <c r="F16" s="23"/>
      <c r="G16" s="23"/>
      <c r="H16" s="23"/>
      <c r="I16" s="23"/>
      <c r="J16" s="23"/>
      <c r="K16" s="23"/>
      <c r="L16" s="23"/>
      <c r="M16" s="23"/>
    </row>
    <row r="17" customFormat="1" ht="12" customHeight="1" spans="1:13">
      <c r="A17" s="98" t="s">
        <v>115</v>
      </c>
      <c r="B17" s="96" t="s">
        <v>116</v>
      </c>
      <c r="C17" s="61"/>
      <c r="D17" s="23">
        <v>120</v>
      </c>
      <c r="E17" s="23"/>
      <c r="F17" s="23"/>
      <c r="G17" s="23"/>
      <c r="H17" s="23"/>
      <c r="I17" s="23"/>
      <c r="J17" s="23"/>
      <c r="K17" s="23"/>
      <c r="L17" s="23"/>
      <c r="M17" s="23"/>
    </row>
    <row r="18" s="74" customFormat="1" ht="17" customHeight="1" spans="1:13">
      <c r="A18" s="85">
        <v>1.4</v>
      </c>
      <c r="B18" s="36" t="s">
        <v>117</v>
      </c>
      <c r="C18" s="86">
        <f>SUM(D18:M18)</f>
        <v>224.64</v>
      </c>
      <c r="D18" s="87">
        <f t="shared" ref="D18:M18" si="8">D19*D20*D21*D22*D23*D24/10000</f>
        <v>7.02</v>
      </c>
      <c r="E18" s="87">
        <f t="shared" si="8"/>
        <v>16.848</v>
      </c>
      <c r="F18" s="87">
        <f t="shared" si="8"/>
        <v>19.656</v>
      </c>
      <c r="G18" s="87">
        <f t="shared" si="8"/>
        <v>22.464</v>
      </c>
      <c r="H18" s="87">
        <f t="shared" si="8"/>
        <v>25.272</v>
      </c>
      <c r="I18" s="87">
        <f t="shared" si="8"/>
        <v>26.676</v>
      </c>
      <c r="J18" s="87">
        <f t="shared" si="8"/>
        <v>26.676</v>
      </c>
      <c r="K18" s="87">
        <f t="shared" si="8"/>
        <v>26.676</v>
      </c>
      <c r="L18" s="87">
        <f t="shared" si="8"/>
        <v>26.676</v>
      </c>
      <c r="M18" s="87">
        <f t="shared" si="8"/>
        <v>26.676</v>
      </c>
    </row>
    <row r="19" customFormat="1" ht="12" customHeight="1" spans="1:13">
      <c r="A19" s="98" t="s">
        <v>118</v>
      </c>
      <c r="B19" s="96" t="s">
        <v>119</v>
      </c>
      <c r="C19" s="61"/>
      <c r="D19" s="23">
        <v>5</v>
      </c>
      <c r="E19" s="23">
        <f>D19</f>
        <v>5</v>
      </c>
      <c r="F19" s="23">
        <f t="shared" ref="F19:M19" si="9">E19</f>
        <v>5</v>
      </c>
      <c r="G19" s="23">
        <f t="shared" si="9"/>
        <v>5</v>
      </c>
      <c r="H19" s="23">
        <f t="shared" si="9"/>
        <v>5</v>
      </c>
      <c r="I19" s="23">
        <f t="shared" si="9"/>
        <v>5</v>
      </c>
      <c r="J19" s="23">
        <f t="shared" si="9"/>
        <v>5</v>
      </c>
      <c r="K19" s="23">
        <f t="shared" si="9"/>
        <v>5</v>
      </c>
      <c r="L19" s="23">
        <f t="shared" si="9"/>
        <v>5</v>
      </c>
      <c r="M19" s="23">
        <f t="shared" si="9"/>
        <v>5</v>
      </c>
    </row>
    <row r="20" s="77" customFormat="1" ht="12" customHeight="1" spans="1:13">
      <c r="A20" s="99" t="s">
        <v>120</v>
      </c>
      <c r="B20" s="100" t="s">
        <v>121</v>
      </c>
      <c r="C20" s="101"/>
      <c r="D20" s="100">
        <v>0.5</v>
      </c>
      <c r="E20" s="100">
        <v>0.6</v>
      </c>
      <c r="F20" s="100">
        <v>0.7</v>
      </c>
      <c r="G20" s="100">
        <v>0.8</v>
      </c>
      <c r="H20" s="100">
        <v>0.9</v>
      </c>
      <c r="I20" s="100">
        <v>0.95</v>
      </c>
      <c r="J20" s="100">
        <v>0.95</v>
      </c>
      <c r="K20" s="100">
        <v>0.95</v>
      </c>
      <c r="L20" s="100">
        <v>0.95</v>
      </c>
      <c r="M20" s="23">
        <f>L20</f>
        <v>0.95</v>
      </c>
    </row>
    <row r="21" customFormat="1" ht="12" customHeight="1" spans="1:13">
      <c r="A21" s="98" t="s">
        <v>122</v>
      </c>
      <c r="B21" s="96" t="s">
        <v>123</v>
      </c>
      <c r="C21" s="61"/>
      <c r="D21" s="23">
        <v>0.65</v>
      </c>
      <c r="E21" s="23">
        <f t="shared" ref="E21:M21" si="10">D21</f>
        <v>0.65</v>
      </c>
      <c r="F21" s="23">
        <f t="shared" si="10"/>
        <v>0.65</v>
      </c>
      <c r="G21" s="23">
        <f t="shared" si="10"/>
        <v>0.65</v>
      </c>
      <c r="H21" s="23">
        <f t="shared" si="10"/>
        <v>0.65</v>
      </c>
      <c r="I21" s="23">
        <f t="shared" si="10"/>
        <v>0.65</v>
      </c>
      <c r="J21" s="23">
        <f t="shared" si="10"/>
        <v>0.65</v>
      </c>
      <c r="K21" s="23">
        <f t="shared" si="10"/>
        <v>0.65</v>
      </c>
      <c r="L21" s="23">
        <f t="shared" si="10"/>
        <v>0.65</v>
      </c>
      <c r="M21" s="23">
        <f t="shared" si="10"/>
        <v>0.65</v>
      </c>
    </row>
    <row r="22" customFormat="1" ht="12" customHeight="1" spans="1:13">
      <c r="A22" s="98" t="s">
        <v>124</v>
      </c>
      <c r="B22" s="96" t="s">
        <v>125</v>
      </c>
      <c r="C22" s="61"/>
      <c r="D22" s="23">
        <v>60</v>
      </c>
      <c r="E22" s="23">
        <v>60</v>
      </c>
      <c r="F22" s="23">
        <v>60</v>
      </c>
      <c r="G22" s="23">
        <v>60</v>
      </c>
      <c r="H22" s="23">
        <v>60</v>
      </c>
      <c r="I22" s="23">
        <v>60</v>
      </c>
      <c r="J22" s="23">
        <v>60</v>
      </c>
      <c r="K22" s="23">
        <v>60</v>
      </c>
      <c r="L22" s="23">
        <v>60</v>
      </c>
      <c r="M22" s="23">
        <f>L22</f>
        <v>60</v>
      </c>
    </row>
    <row r="23" customFormat="1" ht="12" customHeight="1" spans="1:13">
      <c r="A23" s="98" t="s">
        <v>126</v>
      </c>
      <c r="B23" s="96" t="s">
        <v>127</v>
      </c>
      <c r="C23" s="61"/>
      <c r="D23" s="23">
        <v>4</v>
      </c>
      <c r="E23" s="23">
        <f t="shared" ref="E23:M23" si="11">D23</f>
        <v>4</v>
      </c>
      <c r="F23" s="23">
        <f t="shared" si="11"/>
        <v>4</v>
      </c>
      <c r="G23" s="23">
        <f t="shared" si="11"/>
        <v>4</v>
      </c>
      <c r="H23" s="23">
        <f t="shared" si="11"/>
        <v>4</v>
      </c>
      <c r="I23" s="23">
        <f t="shared" si="11"/>
        <v>4</v>
      </c>
      <c r="J23" s="23">
        <f t="shared" si="11"/>
        <v>4</v>
      </c>
      <c r="K23" s="23">
        <f t="shared" si="11"/>
        <v>4</v>
      </c>
      <c r="L23" s="23">
        <f t="shared" si="11"/>
        <v>4</v>
      </c>
      <c r="M23" s="23">
        <f t="shared" si="11"/>
        <v>4</v>
      </c>
    </row>
    <row r="24" customFormat="1" ht="12" customHeight="1" spans="1:13">
      <c r="A24" s="98" t="s">
        <v>128</v>
      </c>
      <c r="B24" s="96" t="s">
        <v>129</v>
      </c>
      <c r="C24" s="61"/>
      <c r="D24" s="23">
        <v>180</v>
      </c>
      <c r="E24" s="23">
        <v>360</v>
      </c>
      <c r="F24" s="23">
        <f t="shared" ref="F24:M24" si="12">E24</f>
        <v>360</v>
      </c>
      <c r="G24" s="23">
        <f t="shared" si="12"/>
        <v>360</v>
      </c>
      <c r="H24" s="23">
        <f t="shared" si="12"/>
        <v>360</v>
      </c>
      <c r="I24" s="23">
        <f t="shared" si="12"/>
        <v>360</v>
      </c>
      <c r="J24" s="23">
        <f t="shared" si="12"/>
        <v>360</v>
      </c>
      <c r="K24" s="23">
        <f t="shared" si="12"/>
        <v>360</v>
      </c>
      <c r="L24" s="23">
        <f t="shared" si="12"/>
        <v>360</v>
      </c>
      <c r="M24" s="23">
        <f t="shared" si="12"/>
        <v>360</v>
      </c>
    </row>
    <row r="25" s="74" customFormat="1" ht="12" customHeight="1" spans="1:13">
      <c r="A25" s="85">
        <v>2</v>
      </c>
      <c r="B25" s="36" t="s">
        <v>130</v>
      </c>
      <c r="C25" s="86">
        <f>SUM((D25:M25))</f>
        <v>166.474338322806</v>
      </c>
      <c r="D25" s="87">
        <f t="shared" ref="D25:M25" si="13">D26+D27+D28+D29</f>
        <v>8.8152222485</v>
      </c>
      <c r="E25" s="87">
        <f t="shared" si="13"/>
        <v>17.591721374515</v>
      </c>
      <c r="F25" s="87">
        <f t="shared" si="13"/>
        <v>17.5824952463924</v>
      </c>
      <c r="G25" s="87">
        <f t="shared" si="13"/>
        <v>17.5707390089105</v>
      </c>
      <c r="H25" s="87">
        <f t="shared" si="13"/>
        <v>17.5617218126159</v>
      </c>
      <c r="I25" s="87">
        <f t="shared" si="13"/>
        <v>17.5402368123028</v>
      </c>
      <c r="J25" s="19">
        <f t="shared" si="13"/>
        <v>17.5034031669913</v>
      </c>
      <c r="K25" s="87">
        <f t="shared" si="13"/>
        <v>17.4696160399064</v>
      </c>
      <c r="L25" s="87">
        <f t="shared" si="13"/>
        <v>17.4359945984568</v>
      </c>
      <c r="M25" s="87">
        <f t="shared" si="13"/>
        <v>17.4031880142145</v>
      </c>
    </row>
    <row r="26" ht="12" customHeight="1" spans="1:13">
      <c r="A26" s="98">
        <v>2.1</v>
      </c>
      <c r="B26" s="41" t="s">
        <v>131</v>
      </c>
      <c r="C26" s="61"/>
      <c r="D26" s="61"/>
      <c r="E26" s="24"/>
      <c r="F26" s="24"/>
      <c r="G26" s="24"/>
      <c r="H26" s="24"/>
      <c r="I26" s="24"/>
      <c r="J26" s="104"/>
      <c r="K26" s="24"/>
      <c r="L26" s="24"/>
      <c r="M26" s="24"/>
    </row>
    <row r="27" ht="12" customHeight="1" spans="1:13">
      <c r="A27" s="98">
        <v>2.2</v>
      </c>
      <c r="B27" s="41" t="s">
        <v>132</v>
      </c>
      <c r="C27" s="61"/>
      <c r="D27" s="61"/>
      <c r="E27" s="24"/>
      <c r="F27" s="24"/>
      <c r="G27" s="24"/>
      <c r="H27" s="24"/>
      <c r="I27" s="24"/>
      <c r="J27" s="104"/>
      <c r="K27" s="24"/>
      <c r="L27" s="24"/>
      <c r="M27" s="24"/>
    </row>
    <row r="28" ht="12" customHeight="1" spans="1:13">
      <c r="A28" s="98">
        <v>2.3</v>
      </c>
      <c r="B28" s="102" t="s">
        <v>133</v>
      </c>
      <c r="C28" s="61">
        <f>SUM((D28:M28))</f>
        <v>116.532036825964</v>
      </c>
      <c r="D28" s="23">
        <f t="shared" ref="D28:M28" si="14">D30*0.07</f>
        <v>6.17065557395</v>
      </c>
      <c r="E28" s="23">
        <f t="shared" si="14"/>
        <v>12.3142049621605</v>
      </c>
      <c r="F28" s="23">
        <f t="shared" si="14"/>
        <v>12.3077466724747</v>
      </c>
      <c r="G28" s="23">
        <f t="shared" si="14"/>
        <v>12.2995173062373</v>
      </c>
      <c r="H28" s="23">
        <f t="shared" si="14"/>
        <v>12.2932052688311</v>
      </c>
      <c r="I28" s="23">
        <f t="shared" si="14"/>
        <v>12.278165768612</v>
      </c>
      <c r="J28" s="25">
        <f t="shared" si="14"/>
        <v>12.2523822168939</v>
      </c>
      <c r="K28" s="23">
        <f t="shared" si="14"/>
        <v>12.2287312279344</v>
      </c>
      <c r="L28" s="23">
        <f t="shared" si="14"/>
        <v>12.2051962189198</v>
      </c>
      <c r="M28" s="23">
        <f t="shared" si="14"/>
        <v>12.1822316099502</v>
      </c>
    </row>
    <row r="29" ht="12" customHeight="1" spans="1:13">
      <c r="A29" s="98">
        <v>2.4</v>
      </c>
      <c r="B29" s="41" t="s">
        <v>134</v>
      </c>
      <c r="C29" s="61">
        <f>SUM((D29:M29))</f>
        <v>49.9423014968417</v>
      </c>
      <c r="D29" s="23">
        <f t="shared" ref="D29:M29" si="15">D30*0.03</f>
        <v>2.64456667455</v>
      </c>
      <c r="E29" s="23">
        <f t="shared" si="15"/>
        <v>5.2775164123545</v>
      </c>
      <c r="F29" s="23">
        <f t="shared" si="15"/>
        <v>5.27474857391773</v>
      </c>
      <c r="G29" s="23">
        <f t="shared" si="15"/>
        <v>5.27122170267314</v>
      </c>
      <c r="H29" s="23">
        <f t="shared" si="15"/>
        <v>5.26851654378477</v>
      </c>
      <c r="I29" s="23">
        <f t="shared" si="15"/>
        <v>5.26207104369085</v>
      </c>
      <c r="J29" s="25">
        <f t="shared" si="15"/>
        <v>5.25102095009739</v>
      </c>
      <c r="K29" s="23">
        <f t="shared" si="15"/>
        <v>5.24088481197191</v>
      </c>
      <c r="L29" s="23">
        <f t="shared" si="15"/>
        <v>5.23079837953705</v>
      </c>
      <c r="M29" s="23">
        <f t="shared" si="15"/>
        <v>5.22095640426436</v>
      </c>
    </row>
    <row r="30" ht="12" customHeight="1" spans="1:13">
      <c r="A30" s="98">
        <v>3</v>
      </c>
      <c r="B30" s="41" t="s">
        <v>135</v>
      </c>
      <c r="C30" s="61">
        <f>SUM((D30:M30))</f>
        <v>1664.74338322806</v>
      </c>
      <c r="D30" s="23">
        <f t="shared" ref="D30:M30" si="16">D31-D32</f>
        <v>88.152222485</v>
      </c>
      <c r="E30" s="23">
        <f t="shared" si="16"/>
        <v>175.91721374515</v>
      </c>
      <c r="F30" s="23">
        <f t="shared" si="16"/>
        <v>175.824952463924</v>
      </c>
      <c r="G30" s="23">
        <f t="shared" si="16"/>
        <v>175.707390089105</v>
      </c>
      <c r="H30" s="23">
        <f t="shared" si="16"/>
        <v>175.617218126159</v>
      </c>
      <c r="I30" s="23">
        <f t="shared" si="16"/>
        <v>175.402368123028</v>
      </c>
      <c r="J30" s="23">
        <f t="shared" si="16"/>
        <v>175.034031669913</v>
      </c>
      <c r="K30" s="23">
        <f t="shared" si="16"/>
        <v>174.696160399064</v>
      </c>
      <c r="L30" s="23">
        <f t="shared" si="16"/>
        <v>174.359945984568</v>
      </c>
      <c r="M30" s="23">
        <f t="shared" si="16"/>
        <v>174.031880142145</v>
      </c>
    </row>
    <row r="31" ht="12" customHeight="1" spans="1:13">
      <c r="A31" s="98">
        <v>3.1</v>
      </c>
      <c r="B31" s="41" t="s">
        <v>136</v>
      </c>
      <c r="C31" s="61">
        <f>SUM((D31:M31))</f>
        <v>1752.04429572806</v>
      </c>
      <c r="D31" s="23">
        <f t="shared" ref="D31:M31" si="17">(D6+D12)*0.13+D18*0.09</f>
        <v>92.578672485</v>
      </c>
      <c r="E31" s="23">
        <f t="shared" si="17"/>
        <v>185.06857624515</v>
      </c>
      <c r="F31" s="23">
        <f t="shared" si="17"/>
        <v>184.981514963924</v>
      </c>
      <c r="G31" s="23">
        <f t="shared" si="17"/>
        <v>184.896152589105</v>
      </c>
      <c r="H31" s="23">
        <f t="shared" si="17"/>
        <v>184.812480626159</v>
      </c>
      <c r="I31" s="23">
        <f t="shared" si="17"/>
        <v>184.604130623028</v>
      </c>
      <c r="J31" s="23">
        <f t="shared" si="17"/>
        <v>184.271094169913</v>
      </c>
      <c r="K31" s="23">
        <f t="shared" si="17"/>
        <v>183.939722899064</v>
      </c>
      <c r="L31" s="23">
        <f t="shared" si="17"/>
        <v>183.610008484568</v>
      </c>
      <c r="M31" s="23">
        <f t="shared" si="17"/>
        <v>183.281942642146</v>
      </c>
    </row>
    <row r="32" ht="12" customHeight="1" spans="1:13">
      <c r="A32" s="98">
        <v>3.2</v>
      </c>
      <c r="B32" s="41" t="s">
        <v>137</v>
      </c>
      <c r="C32" s="61">
        <f>SUM((D32:M32))</f>
        <v>87.3009125</v>
      </c>
      <c r="D32" s="23">
        <f>总成本费用表!D5*0.13+总成本费用表!D8*0.09</f>
        <v>4.42645</v>
      </c>
      <c r="E32" s="23">
        <f>总成本费用表!E5*0.13+总成本费用表!E8*0.09</f>
        <v>9.1513625</v>
      </c>
      <c r="F32" s="23">
        <f>总成本费用表!F5*0.13+总成本费用表!F8*0.09</f>
        <v>9.1565625</v>
      </c>
      <c r="G32" s="23">
        <f>总成本费用表!G5*0.13+总成本费用表!G8*0.09</f>
        <v>9.1887625</v>
      </c>
      <c r="H32" s="23">
        <f>总成本费用表!H5*0.13+总成本费用表!H8*0.09</f>
        <v>9.1952625</v>
      </c>
      <c r="I32" s="23">
        <f>总成本费用表!I5*0.13+总成本费用表!I8*0.09</f>
        <v>9.2017625</v>
      </c>
      <c r="J32" s="23">
        <f>总成本费用表!J5*0.13+总成本费用表!J8*0.09</f>
        <v>9.2370625</v>
      </c>
      <c r="K32" s="23">
        <f>总成本费用表!K5*0.13+总成本费用表!K8*0.09</f>
        <v>9.2435625</v>
      </c>
      <c r="L32" s="23">
        <f>总成本费用表!L5*0.13+总成本费用表!L8*0.09</f>
        <v>9.2500625</v>
      </c>
      <c r="M32" s="23">
        <f>总成本费用表!M5*0.13+总成本费用表!M8*0.09</f>
        <v>9.2500625</v>
      </c>
    </row>
  </sheetData>
  <mergeCells count="5">
    <mergeCell ref="A1:L1"/>
    <mergeCell ref="D3:M3"/>
    <mergeCell ref="A3:A4"/>
    <mergeCell ref="B3:B4"/>
    <mergeCell ref="C3:C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20" zoomScaleNormal="120" workbookViewId="0">
      <selection activeCell="D9" sqref="D9"/>
    </sheetView>
  </sheetViews>
  <sheetFormatPr defaultColWidth="9" defaultRowHeight="14"/>
  <cols>
    <col min="1" max="1" width="3.37272727272727" style="53" customWidth="1"/>
    <col min="2" max="2" width="14.1272727272727" style="53" customWidth="1"/>
    <col min="3" max="3" width="13.3272727272727" customWidth="1"/>
    <col min="4" max="4" width="7.87272727272727" customWidth="1"/>
    <col min="5" max="13" width="8.60909090909091" customWidth="1"/>
    <col min="14" max="14" width="10.5"/>
  </cols>
  <sheetData>
    <row r="1" spans="1:13">
      <c r="A1" s="66" t="s">
        <v>138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ht="15.4" customHeight="1" spans="12:12">
      <c r="L2" t="s">
        <v>1</v>
      </c>
    </row>
    <row r="3" s="30" customFormat="1" ht="14.1" customHeight="1" spans="1:13">
      <c r="A3" s="67" t="s">
        <v>2</v>
      </c>
      <c r="B3" s="67" t="s">
        <v>84</v>
      </c>
      <c r="C3" s="67" t="s">
        <v>8</v>
      </c>
      <c r="D3" s="36" t="s">
        <v>87</v>
      </c>
      <c r="E3" s="36"/>
      <c r="F3" s="36"/>
      <c r="G3" s="36"/>
      <c r="H3" s="36"/>
      <c r="I3" s="36"/>
      <c r="J3" s="36"/>
      <c r="K3" s="36"/>
      <c r="L3" s="36"/>
      <c r="M3" s="36"/>
    </row>
    <row r="4" s="30" customFormat="1" ht="12" customHeight="1" spans="1:13">
      <c r="A4" s="68"/>
      <c r="B4" s="68"/>
      <c r="C4" s="68"/>
      <c r="D4" s="69">
        <v>0.5</v>
      </c>
      <c r="E4" s="39">
        <v>2</v>
      </c>
      <c r="F4" s="39">
        <v>3</v>
      </c>
      <c r="G4" s="39">
        <v>4</v>
      </c>
      <c r="H4" s="39">
        <v>5</v>
      </c>
      <c r="I4" s="39">
        <v>6</v>
      </c>
      <c r="J4" s="39">
        <v>7</v>
      </c>
      <c r="K4" s="39">
        <v>8</v>
      </c>
      <c r="L4" s="39">
        <v>9</v>
      </c>
      <c r="M4" s="39">
        <v>10</v>
      </c>
    </row>
    <row r="5" s="31" customFormat="1" ht="15" customHeight="1" spans="1:13">
      <c r="A5" s="44">
        <v>2</v>
      </c>
      <c r="B5" s="45" t="s">
        <v>139</v>
      </c>
      <c r="C5" s="63">
        <f>SUM(D5:M5)</f>
        <v>630.43625</v>
      </c>
      <c r="D5" s="63">
        <f>2.6*0.5+5000*180*0.3485/10000</f>
        <v>32.665</v>
      </c>
      <c r="E5" s="63">
        <f>2.64+5000*365*0.3485/10000</f>
        <v>66.24125</v>
      </c>
      <c r="F5" s="63">
        <f>2.68+5000*365*0.3485/10000</f>
        <v>66.28125</v>
      </c>
      <c r="G5" s="63">
        <f>2.72+5000*365*0.3485/10000</f>
        <v>66.32125</v>
      </c>
      <c r="H5" s="63">
        <f>2.77+5000*365*0.3485/10000</f>
        <v>66.37125</v>
      </c>
      <c r="I5" s="63">
        <f>2.82+5000*365*0.3485/10000</f>
        <v>66.42125</v>
      </c>
      <c r="J5" s="63">
        <f>2.87+5000*365*0.3485/10000</f>
        <v>66.47125</v>
      </c>
      <c r="K5" s="63">
        <f>2.92+5000*365*0.3485/10000</f>
        <v>66.52125</v>
      </c>
      <c r="L5" s="63">
        <f>2.97+5000*365*0.3485/10000</f>
        <v>66.57125</v>
      </c>
      <c r="M5" s="63">
        <f>L5</f>
        <v>66.57125</v>
      </c>
    </row>
    <row r="6" s="31" customFormat="1" ht="15" customHeight="1" spans="1:14">
      <c r="A6" s="40">
        <v>3</v>
      </c>
      <c r="B6" s="45" t="s">
        <v>140</v>
      </c>
      <c r="C6" s="63">
        <f>SUM(D6:M6)</f>
        <v>636.9075</v>
      </c>
      <c r="D6" s="63">
        <v>60</v>
      </c>
      <c r="E6" s="63">
        <v>60</v>
      </c>
      <c r="F6" s="63">
        <v>60</v>
      </c>
      <c r="G6" s="63">
        <v>63</v>
      </c>
      <c r="H6" s="63">
        <v>63</v>
      </c>
      <c r="I6" s="63">
        <v>63</v>
      </c>
      <c r="J6" s="63">
        <v>66.15</v>
      </c>
      <c r="K6" s="63">
        <v>66.15</v>
      </c>
      <c r="L6" s="63">
        <v>66.15</v>
      </c>
      <c r="M6" s="63">
        <f>L6*1.05</f>
        <v>69.4575</v>
      </c>
      <c r="N6" s="12"/>
    </row>
    <row r="7" s="31" customFormat="1" ht="15" customHeight="1" spans="1:14">
      <c r="A7" s="40">
        <v>4</v>
      </c>
      <c r="B7" s="45" t="s">
        <v>141</v>
      </c>
      <c r="C7" s="63">
        <f>SUM(D7:M7)</f>
        <v>297.0658</v>
      </c>
      <c r="D7" s="63">
        <f>29.43/2</f>
        <v>14.715</v>
      </c>
      <c r="E7" s="63">
        <v>29.43</v>
      </c>
      <c r="F7" s="63">
        <v>29.43</v>
      </c>
      <c r="G7" s="63">
        <v>30.9015</v>
      </c>
      <c r="H7" s="63">
        <v>30.9015</v>
      </c>
      <c r="I7" s="63">
        <v>30.9015</v>
      </c>
      <c r="J7" s="63">
        <v>32.446575</v>
      </c>
      <c r="K7" s="63">
        <v>32.446575</v>
      </c>
      <c r="L7" s="63">
        <v>32.446575</v>
      </c>
      <c r="M7" s="63">
        <v>33.446575</v>
      </c>
      <c r="N7" s="12"/>
    </row>
    <row r="8" s="30" customFormat="1" ht="15" customHeight="1" spans="1:13">
      <c r="A8" s="40">
        <v>5</v>
      </c>
      <c r="B8" s="41" t="s">
        <v>142</v>
      </c>
      <c r="C8" s="63">
        <f>SUM(D8:M8)</f>
        <v>59.38</v>
      </c>
      <c r="D8" s="61">
        <f>6/3</f>
        <v>2</v>
      </c>
      <c r="E8" s="61">
        <v>6</v>
      </c>
      <c r="F8" s="61">
        <v>6</v>
      </c>
      <c r="G8" s="61">
        <v>6.3</v>
      </c>
      <c r="H8" s="61">
        <v>6.3</v>
      </c>
      <c r="I8" s="61">
        <v>6.3</v>
      </c>
      <c r="J8" s="61">
        <v>6.62</v>
      </c>
      <c r="K8" s="61">
        <v>6.62</v>
      </c>
      <c r="L8" s="61">
        <v>6.62</v>
      </c>
      <c r="M8" s="61">
        <f>L8</f>
        <v>6.62</v>
      </c>
    </row>
    <row r="9" s="30" customFormat="1" ht="21" customHeight="1" spans="1:13">
      <c r="A9" s="70">
        <v>4</v>
      </c>
      <c r="B9" s="71" t="s">
        <v>143</v>
      </c>
      <c r="C9" s="63"/>
      <c r="D9" s="72">
        <f>(营业收入及税金表!D7*营业收入及税金表!D9*营业收入及税金表!D10-1000*180)*0.05/10000</f>
        <v>16.6122423</v>
      </c>
      <c r="E9" s="72">
        <f>(营业收入及税金表!E7*营业收入及税金表!E9*营业收入及税金表!E10-1000*360)*0.05/10000</f>
        <v>33.049362177</v>
      </c>
      <c r="F9" s="72">
        <f>(营业收入及税金表!F7*营业收入及税金表!F9*营业收入及税金表!F10-1000*360)*0.05/10000</f>
        <v>32.875115366115</v>
      </c>
      <c r="G9" s="72">
        <f>(营业收入及税金表!G7*营业收入及税金表!G9*营业收入及税金表!G10-1000*360)*0.05/10000</f>
        <v>32.7017397892844</v>
      </c>
      <c r="H9" s="72">
        <f>(营业收入及税金表!H7*营业收入及税金表!H9*营业收入及税金表!H10-1000*360)*0.05/10000</f>
        <v>32.529231090338</v>
      </c>
      <c r="I9" s="72">
        <f>(营业收入及税金表!I7*营业收入及税金表!I9*营业收入及税金表!I10-1000*360)*0.05/10000</f>
        <v>32.3575849348863</v>
      </c>
      <c r="J9" s="72">
        <f>(营业收入及税金表!J7*营业收入及税金表!J9*营业收入及税金表!J10-1000*360)*0.05/10000</f>
        <v>32.1867970102119</v>
      </c>
      <c r="K9" s="72">
        <f>(营业收入及税金表!K7*营业收入及税金表!K9*营业收入及税金表!K10-1000*360)*0.05/10000</f>
        <v>32.0168630251608</v>
      </c>
      <c r="L9" s="72">
        <f>(营业收入及税金表!L7*营业收入及税金表!L9*营业收入及税金表!L10-1000*360)*0.05/10000</f>
        <v>31.847778710035</v>
      </c>
      <c r="M9" s="72">
        <f>(营业收入及税金表!M7*营业收入及税金表!M9*营业收入及税金表!M10-1000*360)*0.05/10000</f>
        <v>31.6795398164848</v>
      </c>
    </row>
    <row r="10" s="30" customFormat="1" ht="21" customHeight="1" spans="1:13">
      <c r="A10" s="40">
        <v>8</v>
      </c>
      <c r="B10" s="41" t="s">
        <v>144</v>
      </c>
      <c r="C10" s="63">
        <f>SUM(D10:M10)</f>
        <v>1931.64580421952</v>
      </c>
      <c r="D10" s="72">
        <f>SUM(D5:D9)</f>
        <v>125.9922423</v>
      </c>
      <c r="E10" s="72">
        <f t="shared" ref="E10:M10" si="0">SUM(E5:E9)</f>
        <v>194.720612177</v>
      </c>
      <c r="F10" s="72">
        <f t="shared" si="0"/>
        <v>194.586365366115</v>
      </c>
      <c r="G10" s="72">
        <f t="shared" si="0"/>
        <v>199.224489789284</v>
      </c>
      <c r="H10" s="72">
        <f t="shared" si="0"/>
        <v>199.101981090338</v>
      </c>
      <c r="I10" s="72">
        <f t="shared" si="0"/>
        <v>198.980334934886</v>
      </c>
      <c r="J10" s="72">
        <f t="shared" si="0"/>
        <v>203.874622010212</v>
      </c>
      <c r="K10" s="72">
        <f t="shared" si="0"/>
        <v>203.754688025161</v>
      </c>
      <c r="L10" s="72">
        <f t="shared" si="0"/>
        <v>203.635603710035</v>
      </c>
      <c r="M10" s="72">
        <f t="shared" si="0"/>
        <v>207.774864816485</v>
      </c>
    </row>
    <row r="11" s="30" customFormat="1" ht="15" customHeight="1" spans="1:13">
      <c r="A11" s="40">
        <v>9</v>
      </c>
      <c r="B11" s="41" t="s">
        <v>92</v>
      </c>
      <c r="C11" s="63">
        <f>SUM(D11:M11)</f>
        <v>4776.06781665153</v>
      </c>
      <c r="D11" s="61">
        <f>固定资产折旧!F9</f>
        <v>251.371990350081</v>
      </c>
      <c r="E11" s="61">
        <f>固定资产折旧!G9</f>
        <v>502.743980700161</v>
      </c>
      <c r="F11" s="61">
        <f>固定资产折旧!H9</f>
        <v>502.743980700161</v>
      </c>
      <c r="G11" s="61">
        <f>固定资产折旧!I9</f>
        <v>502.743980700161</v>
      </c>
      <c r="H11" s="61">
        <f>固定资产折旧!J9</f>
        <v>502.743980700161</v>
      </c>
      <c r="I11" s="61">
        <f>固定资产折旧!K9</f>
        <v>502.743980700161</v>
      </c>
      <c r="J11" s="61">
        <f>固定资产折旧!L9</f>
        <v>502.743980700161</v>
      </c>
      <c r="K11" s="61">
        <f>固定资产折旧!M9</f>
        <v>502.743980700161</v>
      </c>
      <c r="L11" s="61">
        <f>固定资产折旧!N9</f>
        <v>502.743980700161</v>
      </c>
      <c r="M11" s="61">
        <f>固定资产折旧!O9</f>
        <v>502.743980700161</v>
      </c>
    </row>
    <row r="12" s="30" customFormat="1" ht="15" customHeight="1" spans="1:13">
      <c r="A12" s="40">
        <v>10</v>
      </c>
      <c r="B12" s="41" t="s">
        <v>145</v>
      </c>
      <c r="C12" s="63"/>
      <c r="D12" s="61"/>
      <c r="E12" s="72"/>
      <c r="F12" s="72"/>
      <c r="G12" s="72"/>
      <c r="H12" s="72"/>
      <c r="I12" s="72"/>
      <c r="J12" s="72"/>
      <c r="K12" s="72"/>
      <c r="L12" s="72"/>
      <c r="M12" s="72"/>
    </row>
    <row r="13" s="31" customFormat="1" ht="15" customHeight="1" spans="1:13">
      <c r="A13" s="44">
        <v>11</v>
      </c>
      <c r="B13" s="45" t="s">
        <v>146</v>
      </c>
      <c r="C13" s="63">
        <f>SUM(D13:M13)</f>
        <v>1723.68</v>
      </c>
      <c r="D13" s="63">
        <f>还本付息表!E9</f>
        <v>171.36</v>
      </c>
      <c r="E13" s="63">
        <f>还本付息表!F9</f>
        <v>315</v>
      </c>
      <c r="F13" s="63">
        <f>还本付息表!G9</f>
        <v>279.72</v>
      </c>
      <c r="G13" s="63">
        <f>还本付息表!H9</f>
        <v>244.44</v>
      </c>
      <c r="H13" s="63">
        <f>还本付息表!I9</f>
        <v>209.16</v>
      </c>
      <c r="I13" s="63">
        <f>还本付息表!J9</f>
        <v>173.88</v>
      </c>
      <c r="J13" s="63">
        <f>还本付息表!K9</f>
        <v>138.6</v>
      </c>
      <c r="K13" s="63">
        <f>还本付息表!L9</f>
        <v>100.8</v>
      </c>
      <c r="L13" s="63">
        <f>还本付息表!M9</f>
        <v>60.48</v>
      </c>
      <c r="M13" s="63">
        <f>还本付息表!N9</f>
        <v>30.24</v>
      </c>
    </row>
    <row r="14" s="30" customFormat="1" ht="18.95" customHeight="1" spans="1:13">
      <c r="A14" s="40">
        <v>12</v>
      </c>
      <c r="B14" s="41" t="s">
        <v>147</v>
      </c>
      <c r="C14" s="63">
        <f>SUM(D14:M14)</f>
        <v>8431.39362087105</v>
      </c>
      <c r="D14" s="72">
        <f t="shared" ref="D14:M14" si="1">SUM(D10:D13)</f>
        <v>548.724232650081</v>
      </c>
      <c r="E14" s="72">
        <f t="shared" si="1"/>
        <v>1012.46459287716</v>
      </c>
      <c r="F14" s="72">
        <f t="shared" si="1"/>
        <v>977.050346066276</v>
      </c>
      <c r="G14" s="72">
        <f t="shared" si="1"/>
        <v>946.408470489445</v>
      </c>
      <c r="H14" s="72">
        <f t="shared" si="1"/>
        <v>911.005961790499</v>
      </c>
      <c r="I14" s="72">
        <f t="shared" si="1"/>
        <v>875.604315635047</v>
      </c>
      <c r="J14" s="72">
        <f t="shared" si="1"/>
        <v>845.218602710373</v>
      </c>
      <c r="K14" s="72">
        <f t="shared" si="1"/>
        <v>807.298668725322</v>
      </c>
      <c r="L14" s="72">
        <f t="shared" si="1"/>
        <v>766.859584410196</v>
      </c>
      <c r="M14" s="72">
        <f t="shared" si="1"/>
        <v>740.758845516646</v>
      </c>
    </row>
    <row r="15" s="30" customFormat="1" ht="15" customHeight="1" spans="1:13">
      <c r="A15" s="73">
        <v>12.1</v>
      </c>
      <c r="B15" s="41" t="s">
        <v>148</v>
      </c>
      <c r="C15" s="63">
        <f>SUM(D15:M15)</f>
        <v>6559.12781665153</v>
      </c>
      <c r="D15" s="72">
        <f t="shared" ref="D15:M15" si="2">D8+D11+D12+D13</f>
        <v>424.731990350081</v>
      </c>
      <c r="E15" s="72">
        <f t="shared" si="2"/>
        <v>823.743980700161</v>
      </c>
      <c r="F15" s="72">
        <f t="shared" si="2"/>
        <v>788.463980700161</v>
      </c>
      <c r="G15" s="72">
        <f t="shared" si="2"/>
        <v>753.483980700161</v>
      </c>
      <c r="H15" s="72">
        <f t="shared" si="2"/>
        <v>718.203980700161</v>
      </c>
      <c r="I15" s="72">
        <f t="shared" si="2"/>
        <v>682.923980700161</v>
      </c>
      <c r="J15" s="72">
        <f t="shared" si="2"/>
        <v>647.963980700161</v>
      </c>
      <c r="K15" s="72">
        <f t="shared" si="2"/>
        <v>610.163980700161</v>
      </c>
      <c r="L15" s="72">
        <f t="shared" si="2"/>
        <v>569.843980700161</v>
      </c>
      <c r="M15" s="72">
        <f t="shared" si="2"/>
        <v>539.603980700161</v>
      </c>
    </row>
    <row r="16" s="30" customFormat="1" ht="15" customHeight="1" spans="1:13">
      <c r="A16" s="73">
        <v>12.2</v>
      </c>
      <c r="B16" s="41" t="s">
        <v>149</v>
      </c>
      <c r="C16" s="63">
        <f>SUM(D16:M16)</f>
        <v>1267.34375</v>
      </c>
      <c r="D16" s="61">
        <f t="shared" ref="D16:M16" si="3">D5+D6</f>
        <v>92.665</v>
      </c>
      <c r="E16" s="61">
        <f t="shared" si="3"/>
        <v>126.24125</v>
      </c>
      <c r="F16" s="61">
        <f t="shared" si="3"/>
        <v>126.28125</v>
      </c>
      <c r="G16" s="61">
        <f t="shared" si="3"/>
        <v>129.32125</v>
      </c>
      <c r="H16" s="61">
        <f t="shared" si="3"/>
        <v>129.37125</v>
      </c>
      <c r="I16" s="61">
        <f t="shared" si="3"/>
        <v>129.42125</v>
      </c>
      <c r="J16" s="61">
        <f t="shared" si="3"/>
        <v>132.62125</v>
      </c>
      <c r="K16" s="61">
        <f t="shared" si="3"/>
        <v>132.67125</v>
      </c>
      <c r="L16" s="61">
        <f t="shared" si="3"/>
        <v>132.72125</v>
      </c>
      <c r="M16" s="61">
        <f t="shared" si="3"/>
        <v>136.02875</v>
      </c>
    </row>
  </sheetData>
  <mergeCells count="5">
    <mergeCell ref="A1:M1"/>
    <mergeCell ref="D3:M3"/>
    <mergeCell ref="A3:A4"/>
    <mergeCell ref="B3:B4"/>
    <mergeCell ref="C3:C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zoomScale="120" zoomScaleNormal="120" workbookViewId="0">
      <selection activeCell="A1" sqref="A1:M1"/>
    </sheetView>
  </sheetViews>
  <sheetFormatPr defaultColWidth="9" defaultRowHeight="14"/>
  <cols>
    <col min="1" max="1" width="3.62727272727273" customWidth="1"/>
    <col min="2" max="2" width="26.5090909090909" customWidth="1"/>
    <col min="3" max="3" width="9.93636363636364" style="53" customWidth="1"/>
    <col min="4" max="4" width="7.5" style="53" customWidth="1"/>
    <col min="5" max="13" width="8.23636363636364" customWidth="1"/>
    <col min="14" max="14" width="12.7545454545455"/>
  </cols>
  <sheetData>
    <row r="1" ht="27" customHeight="1" spans="1:13">
      <c r="A1" s="32" t="s">
        <v>150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1:11">
      <c r="K2" t="s">
        <v>1</v>
      </c>
    </row>
    <row r="3" spans="1:13">
      <c r="A3" s="49" t="s">
        <v>2</v>
      </c>
      <c r="B3" s="54"/>
      <c r="C3" s="55"/>
      <c r="D3" s="56" t="s">
        <v>87</v>
      </c>
      <c r="E3" s="57"/>
      <c r="F3" s="57"/>
      <c r="G3" s="57"/>
      <c r="H3" s="57"/>
      <c r="I3" s="57"/>
      <c r="J3" s="57"/>
      <c r="K3" s="57"/>
      <c r="L3" s="57"/>
      <c r="M3" s="65"/>
    </row>
    <row r="4" spans="1:13">
      <c r="A4" s="49"/>
      <c r="B4" s="41" t="s">
        <v>151</v>
      </c>
      <c r="C4" s="41" t="s">
        <v>8</v>
      </c>
      <c r="D4" s="58">
        <v>0.5</v>
      </c>
      <c r="E4" s="59">
        <v>2</v>
      </c>
      <c r="F4" s="59">
        <v>3</v>
      </c>
      <c r="G4" s="59">
        <v>4</v>
      </c>
      <c r="H4" s="59">
        <v>5</v>
      </c>
      <c r="I4" s="59">
        <v>6</v>
      </c>
      <c r="J4" s="59">
        <v>7</v>
      </c>
      <c r="K4" s="59">
        <v>8</v>
      </c>
      <c r="L4" s="59">
        <v>9</v>
      </c>
      <c r="M4" s="59">
        <v>10</v>
      </c>
    </row>
    <row r="5" ht="12" customHeight="1" spans="1:13">
      <c r="A5" s="60">
        <v>1</v>
      </c>
      <c r="B5" s="41" t="s">
        <v>95</v>
      </c>
      <c r="C5" s="61">
        <f>SUM(D5:M5)</f>
        <v>13546.3838132927</v>
      </c>
      <c r="D5" s="61">
        <f>营业收入及税金表!D5</f>
        <v>714.3036345</v>
      </c>
      <c r="E5" s="61">
        <f>营业收入及税金表!E5</f>
        <v>1428.788432655</v>
      </c>
      <c r="F5" s="61">
        <f>营业收入及税金表!F5</f>
        <v>1428.98273049172</v>
      </c>
      <c r="G5" s="61">
        <f>营业收入及税金表!G5</f>
        <v>1429.19009683927</v>
      </c>
      <c r="H5" s="61">
        <f>营业收入及税金表!H5</f>
        <v>1429.41046635507</v>
      </c>
      <c r="I5" s="61">
        <f>营业收入及税金表!I5</f>
        <v>1428.2397740233</v>
      </c>
      <c r="J5" s="61">
        <f>营业收入及税金表!J5</f>
        <v>1425.67795515318</v>
      </c>
      <c r="K5" s="61">
        <f>营业收入及税金表!K5</f>
        <v>1423.12894537741</v>
      </c>
      <c r="L5" s="61">
        <f>营业收入及税金表!L5</f>
        <v>1420.59268065052</v>
      </c>
      <c r="M5" s="61">
        <f>营业收入及税金表!M5</f>
        <v>1418.06909724727</v>
      </c>
    </row>
    <row r="6" ht="12" customHeight="1" spans="1:13">
      <c r="A6" s="60">
        <v>2</v>
      </c>
      <c r="B6" s="41" t="s">
        <v>152</v>
      </c>
      <c r="C6" s="61">
        <f>SUM(D6:M6)</f>
        <v>166.474338322806</v>
      </c>
      <c r="D6" s="62">
        <f>营业收入及税金表!D25</f>
        <v>8.8152222485</v>
      </c>
      <c r="E6" s="62">
        <f>营业收入及税金表!E25</f>
        <v>17.591721374515</v>
      </c>
      <c r="F6" s="62">
        <f>营业收入及税金表!F25</f>
        <v>17.5824952463924</v>
      </c>
      <c r="G6" s="62">
        <f>营业收入及税金表!G25</f>
        <v>17.5707390089105</v>
      </c>
      <c r="H6" s="62">
        <f>营业收入及税金表!H25</f>
        <v>17.5617218126159</v>
      </c>
      <c r="I6" s="62">
        <f>营业收入及税金表!I25</f>
        <v>17.5402368123028</v>
      </c>
      <c r="J6" s="62">
        <f>营业收入及税金表!J25</f>
        <v>17.5034031669913</v>
      </c>
      <c r="K6" s="62">
        <f>营业收入及税金表!K25</f>
        <v>17.4696160399064</v>
      </c>
      <c r="L6" s="62">
        <f>营业收入及税金表!L25</f>
        <v>17.4359945984568</v>
      </c>
      <c r="M6" s="62">
        <f>营业收入及税金表!M25</f>
        <v>17.4031880142145</v>
      </c>
    </row>
    <row r="7" ht="12" customHeight="1" spans="1:13">
      <c r="A7" s="60">
        <v>3</v>
      </c>
      <c r="B7" s="41" t="s">
        <v>135</v>
      </c>
      <c r="C7" s="61">
        <f>SUM(D7:M7)</f>
        <v>1664.74338322806</v>
      </c>
      <c r="D7" s="61">
        <f>营业收入及税金表!D30</f>
        <v>88.152222485</v>
      </c>
      <c r="E7" s="61">
        <f>营业收入及税金表!E30</f>
        <v>175.91721374515</v>
      </c>
      <c r="F7" s="61">
        <f>营业收入及税金表!F30</f>
        <v>175.824952463924</v>
      </c>
      <c r="G7" s="61">
        <f>营业收入及税金表!G30</f>
        <v>175.707390089105</v>
      </c>
      <c r="H7" s="61">
        <f>营业收入及税金表!H30</f>
        <v>175.617218126159</v>
      </c>
      <c r="I7" s="61">
        <f>营业收入及税金表!I30</f>
        <v>175.402368123028</v>
      </c>
      <c r="J7" s="61">
        <f>营业收入及税金表!J30</f>
        <v>175.034031669913</v>
      </c>
      <c r="K7" s="61">
        <f>营业收入及税金表!K30</f>
        <v>174.696160399064</v>
      </c>
      <c r="L7" s="61">
        <f>营业收入及税金表!L30</f>
        <v>174.359945984568</v>
      </c>
      <c r="M7" s="61">
        <f>营业收入及税金表!M30</f>
        <v>174.031880142145</v>
      </c>
    </row>
    <row r="8" ht="12" customHeight="1" spans="1:13">
      <c r="A8" s="60">
        <v>4</v>
      </c>
      <c r="B8" s="41" t="s">
        <v>153</v>
      </c>
      <c r="C8" s="61">
        <f>SUM(D8:M8)</f>
        <v>8431.39362087105</v>
      </c>
      <c r="D8" s="61">
        <f>总成本费用表!D14</f>
        <v>548.724232650081</v>
      </c>
      <c r="E8" s="61">
        <f>总成本费用表!E14</f>
        <v>1012.46459287716</v>
      </c>
      <c r="F8" s="61">
        <f>总成本费用表!F14</f>
        <v>977.050346066276</v>
      </c>
      <c r="G8" s="61">
        <f>总成本费用表!G14</f>
        <v>946.408470489445</v>
      </c>
      <c r="H8" s="61">
        <f>总成本费用表!H14</f>
        <v>911.005961790499</v>
      </c>
      <c r="I8" s="61">
        <f>总成本费用表!I14</f>
        <v>875.604315635047</v>
      </c>
      <c r="J8" s="61">
        <f>总成本费用表!J14</f>
        <v>845.218602710373</v>
      </c>
      <c r="K8" s="61">
        <f>总成本费用表!K14</f>
        <v>807.298668725322</v>
      </c>
      <c r="L8" s="61">
        <f>总成本费用表!L14</f>
        <v>766.859584410196</v>
      </c>
      <c r="M8" s="61">
        <f>总成本费用表!M14</f>
        <v>740.758845516646</v>
      </c>
    </row>
    <row r="9" ht="12" customHeight="1" spans="1:13">
      <c r="A9" s="60">
        <v>5</v>
      </c>
      <c r="B9" s="41" t="s">
        <v>154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ht="12" customHeight="1" spans="1:13">
      <c r="A10" s="60">
        <v>6</v>
      </c>
      <c r="B10" s="49" t="s">
        <v>155</v>
      </c>
      <c r="C10" s="61">
        <f>SUM(D10:M10)</f>
        <v>3283.77247087083</v>
      </c>
      <c r="D10" s="63">
        <f t="shared" ref="D10:M10" si="0">D5-D6-D7-D8+D9</f>
        <v>68.6119571164193</v>
      </c>
      <c r="E10" s="63">
        <f t="shared" si="0"/>
        <v>222.814904658174</v>
      </c>
      <c r="F10" s="63">
        <f t="shared" si="0"/>
        <v>258.524936715132</v>
      </c>
      <c r="G10" s="61">
        <f t="shared" si="0"/>
        <v>289.503497251806</v>
      </c>
      <c r="H10" s="61">
        <f t="shared" si="0"/>
        <v>325.225564625796</v>
      </c>
      <c r="I10" s="61">
        <f t="shared" si="0"/>
        <v>359.692853452917</v>
      </c>
      <c r="J10" s="61">
        <f t="shared" si="0"/>
        <v>387.9219176059</v>
      </c>
      <c r="K10" s="61">
        <f t="shared" si="0"/>
        <v>423.66450021312</v>
      </c>
      <c r="L10" s="61">
        <f t="shared" si="0"/>
        <v>461.937155657304</v>
      </c>
      <c r="M10" s="61">
        <f t="shared" si="0"/>
        <v>485.875183574267</v>
      </c>
    </row>
    <row r="11" ht="12" customHeight="1" spans="1:13">
      <c r="A11" s="60">
        <v>7</v>
      </c>
      <c r="B11" s="49" t="s">
        <v>156</v>
      </c>
      <c r="C11" s="61"/>
      <c r="D11" s="63"/>
      <c r="E11" s="63"/>
      <c r="F11" s="63"/>
      <c r="G11" s="61"/>
      <c r="H11" s="61"/>
      <c r="I11" s="61"/>
      <c r="J11" s="61"/>
      <c r="K11" s="61"/>
      <c r="L11" s="61"/>
      <c r="M11" s="61"/>
    </row>
    <row r="12" ht="12" customHeight="1" spans="1:13">
      <c r="A12" s="60">
        <v>8</v>
      </c>
      <c r="B12" s="49" t="s">
        <v>157</v>
      </c>
      <c r="C12" s="61">
        <f t="shared" ref="C12:C18" si="1">SUM(D12:M12)</f>
        <v>3283.77247087083</v>
      </c>
      <c r="D12" s="64">
        <f t="shared" ref="D12:M12" si="2">D10-D11</f>
        <v>68.6119571164193</v>
      </c>
      <c r="E12" s="63">
        <f t="shared" si="2"/>
        <v>222.814904658174</v>
      </c>
      <c r="F12" s="63">
        <f t="shared" si="2"/>
        <v>258.524936715132</v>
      </c>
      <c r="G12" s="63">
        <f t="shared" si="2"/>
        <v>289.503497251806</v>
      </c>
      <c r="H12" s="63">
        <f t="shared" si="2"/>
        <v>325.225564625796</v>
      </c>
      <c r="I12" s="61">
        <f t="shared" si="2"/>
        <v>359.692853452917</v>
      </c>
      <c r="J12" s="61">
        <f t="shared" si="2"/>
        <v>387.9219176059</v>
      </c>
      <c r="K12" s="61">
        <f t="shared" si="2"/>
        <v>423.66450021312</v>
      </c>
      <c r="L12" s="61">
        <f t="shared" si="2"/>
        <v>461.937155657304</v>
      </c>
      <c r="M12" s="61">
        <f t="shared" si="2"/>
        <v>485.875183574267</v>
      </c>
    </row>
    <row r="13" ht="12" customHeight="1" spans="1:13">
      <c r="A13" s="60">
        <v>9</v>
      </c>
      <c r="B13" s="41" t="s">
        <v>158</v>
      </c>
      <c r="C13" s="61">
        <f t="shared" si="1"/>
        <v>820.943117717708</v>
      </c>
      <c r="D13" s="63">
        <f t="shared" ref="D13:M13" si="3">D12*0.25</f>
        <v>17.1529892791048</v>
      </c>
      <c r="E13" s="63">
        <f t="shared" si="3"/>
        <v>55.7037261645434</v>
      </c>
      <c r="F13" s="63">
        <f t="shared" si="3"/>
        <v>64.631234178783</v>
      </c>
      <c r="G13" s="63">
        <f t="shared" si="3"/>
        <v>72.3758743129514</v>
      </c>
      <c r="H13" s="63">
        <f t="shared" si="3"/>
        <v>81.306391156449</v>
      </c>
      <c r="I13" s="61">
        <f t="shared" si="3"/>
        <v>89.9232133632292</v>
      </c>
      <c r="J13" s="61">
        <f t="shared" si="3"/>
        <v>96.9804794014751</v>
      </c>
      <c r="K13" s="61">
        <f t="shared" si="3"/>
        <v>105.91612505328</v>
      </c>
      <c r="L13" s="61">
        <f t="shared" si="3"/>
        <v>115.484288914326</v>
      </c>
      <c r="M13" s="61">
        <f t="shared" si="3"/>
        <v>121.468795893567</v>
      </c>
    </row>
    <row r="14" ht="12" customHeight="1" spans="1:13">
      <c r="A14" s="60">
        <v>10</v>
      </c>
      <c r="B14" s="49" t="s">
        <v>159</v>
      </c>
      <c r="C14" s="61">
        <f t="shared" si="1"/>
        <v>2462.82935315313</v>
      </c>
      <c r="D14" s="63">
        <f t="shared" ref="D14:M14" si="4">D10-D11-D13</f>
        <v>51.4589678373144</v>
      </c>
      <c r="E14" s="63">
        <f t="shared" si="4"/>
        <v>167.11117849363</v>
      </c>
      <c r="F14" s="63">
        <f t="shared" si="4"/>
        <v>193.893702536349</v>
      </c>
      <c r="G14" s="63">
        <f t="shared" si="4"/>
        <v>217.127622938854</v>
      </c>
      <c r="H14" s="63">
        <f t="shared" si="4"/>
        <v>243.919173469347</v>
      </c>
      <c r="I14" s="63">
        <f t="shared" si="4"/>
        <v>269.769640089688</v>
      </c>
      <c r="J14" s="63">
        <f t="shared" si="4"/>
        <v>290.941438204425</v>
      </c>
      <c r="K14" s="63">
        <f t="shared" si="4"/>
        <v>317.74837515984</v>
      </c>
      <c r="L14" s="63">
        <f t="shared" si="4"/>
        <v>346.452866742978</v>
      </c>
      <c r="M14" s="63">
        <f t="shared" si="4"/>
        <v>364.4063876807</v>
      </c>
    </row>
    <row r="15" ht="12" customHeight="1" spans="1:13">
      <c r="A15" s="60">
        <v>11</v>
      </c>
      <c r="B15" s="49" t="s">
        <v>160</v>
      </c>
      <c r="C15" s="61">
        <f t="shared" si="1"/>
        <v>7752.14113792847</v>
      </c>
      <c r="D15" s="63">
        <v>0</v>
      </c>
      <c r="E15" s="63">
        <f t="shared" ref="E15:M15" si="5">D24</f>
        <v>46.313071053583</v>
      </c>
      <c r="F15" s="63">
        <f t="shared" si="5"/>
        <v>196.71313169785</v>
      </c>
      <c r="G15" s="63">
        <f t="shared" si="5"/>
        <v>371.217463980564</v>
      </c>
      <c r="H15" s="63">
        <f t="shared" si="5"/>
        <v>566.632324625533</v>
      </c>
      <c r="I15" s="63">
        <f t="shared" si="5"/>
        <v>786.159580747945</v>
      </c>
      <c r="J15" s="63">
        <f t="shared" si="5"/>
        <v>1028.95225682866</v>
      </c>
      <c r="K15" s="63">
        <f t="shared" si="5"/>
        <v>1290.79955121265</v>
      </c>
      <c r="L15" s="63">
        <f t="shared" si="5"/>
        <v>1576.7730888565</v>
      </c>
      <c r="M15" s="63">
        <f t="shared" si="5"/>
        <v>1888.58066892518</v>
      </c>
    </row>
    <row r="16" ht="12" customHeight="1" spans="1:13">
      <c r="A16" s="60">
        <v>12</v>
      </c>
      <c r="B16" s="49" t="s">
        <v>161</v>
      </c>
      <c r="C16" s="61">
        <f t="shared" si="1"/>
        <v>10214.9704910816</v>
      </c>
      <c r="D16" s="63">
        <f t="shared" ref="D16:M16" si="6">D14+D15+D11</f>
        <v>51.4589678373144</v>
      </c>
      <c r="E16" s="63">
        <f t="shared" si="6"/>
        <v>213.424249547213</v>
      </c>
      <c r="F16" s="63">
        <f t="shared" si="6"/>
        <v>390.606834234199</v>
      </c>
      <c r="G16" s="63">
        <f t="shared" si="6"/>
        <v>588.345086919418</v>
      </c>
      <c r="H16" s="63">
        <f t="shared" si="6"/>
        <v>810.55149809488</v>
      </c>
      <c r="I16" s="63">
        <f t="shared" si="6"/>
        <v>1055.92922083763</v>
      </c>
      <c r="J16" s="63">
        <f t="shared" si="6"/>
        <v>1319.89369503309</v>
      </c>
      <c r="K16" s="63">
        <f t="shared" si="6"/>
        <v>1608.54792637249</v>
      </c>
      <c r="L16" s="63">
        <f t="shared" si="6"/>
        <v>1923.22595559948</v>
      </c>
      <c r="M16" s="63">
        <f t="shared" si="6"/>
        <v>2252.98705660588</v>
      </c>
    </row>
    <row r="17" ht="12" customHeight="1" spans="1:13">
      <c r="A17" s="60">
        <v>13</v>
      </c>
      <c r="B17" s="49" t="s">
        <v>162</v>
      </c>
      <c r="C17" s="61">
        <f t="shared" si="1"/>
        <v>246.282935315313</v>
      </c>
      <c r="D17" s="63">
        <f t="shared" ref="D17:M17" si="7">D14*0.1</f>
        <v>5.14589678373144</v>
      </c>
      <c r="E17" s="63">
        <f t="shared" si="7"/>
        <v>16.711117849363</v>
      </c>
      <c r="F17" s="63">
        <f t="shared" si="7"/>
        <v>19.3893702536349</v>
      </c>
      <c r="G17" s="63">
        <f t="shared" si="7"/>
        <v>21.7127622938854</v>
      </c>
      <c r="H17" s="63">
        <f t="shared" si="7"/>
        <v>24.3919173469347</v>
      </c>
      <c r="I17" s="63">
        <f t="shared" si="7"/>
        <v>26.9769640089688</v>
      </c>
      <c r="J17" s="63">
        <f t="shared" si="7"/>
        <v>29.0941438204425</v>
      </c>
      <c r="K17" s="63">
        <f t="shared" si="7"/>
        <v>31.774837515984</v>
      </c>
      <c r="L17" s="63">
        <f t="shared" si="7"/>
        <v>34.6452866742978</v>
      </c>
      <c r="M17" s="63">
        <f t="shared" si="7"/>
        <v>36.44063876807</v>
      </c>
    </row>
    <row r="18" ht="12" customHeight="1" spans="1:13">
      <c r="A18" s="60">
        <v>14</v>
      </c>
      <c r="B18" s="41" t="s">
        <v>163</v>
      </c>
      <c r="C18" s="61">
        <f t="shared" si="1"/>
        <v>9968.68755576629</v>
      </c>
      <c r="D18" s="61">
        <f t="shared" ref="D18:M18" si="8">D16-D17</f>
        <v>46.313071053583</v>
      </c>
      <c r="E18" s="61">
        <f t="shared" si="8"/>
        <v>196.71313169785</v>
      </c>
      <c r="F18" s="61">
        <f t="shared" si="8"/>
        <v>371.217463980564</v>
      </c>
      <c r="G18" s="61">
        <f t="shared" si="8"/>
        <v>566.632324625533</v>
      </c>
      <c r="H18" s="61">
        <f t="shared" si="8"/>
        <v>786.159580747945</v>
      </c>
      <c r="I18" s="61">
        <f t="shared" si="8"/>
        <v>1028.95225682866</v>
      </c>
      <c r="J18" s="61">
        <f t="shared" si="8"/>
        <v>1290.79955121265</v>
      </c>
      <c r="K18" s="61">
        <f t="shared" si="8"/>
        <v>1576.7730888565</v>
      </c>
      <c r="L18" s="61">
        <f t="shared" si="8"/>
        <v>1888.58066892518</v>
      </c>
      <c r="M18" s="61">
        <f t="shared" si="8"/>
        <v>2216.54641783781</v>
      </c>
    </row>
    <row r="19" ht="12" customHeight="1" spans="1:13">
      <c r="A19" s="60">
        <v>15</v>
      </c>
      <c r="B19" s="49" t="s">
        <v>164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ht="12" customHeight="1" spans="1:13">
      <c r="A20" s="60">
        <v>16</v>
      </c>
      <c r="B20" s="49" t="s">
        <v>165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ht="12" customHeight="1" spans="1:13">
      <c r="A21" s="60">
        <v>17</v>
      </c>
      <c r="B21" s="49" t="s">
        <v>166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ht="12" customHeight="1" spans="1:13">
      <c r="A22" s="60">
        <v>18</v>
      </c>
      <c r="B22" s="49" t="s">
        <v>167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ht="12" customHeight="1" spans="1:13">
      <c r="A23" s="60"/>
      <c r="B23" s="49" t="s">
        <v>168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ht="12" customHeight="1" spans="1:13">
      <c r="A24" s="60">
        <v>19</v>
      </c>
      <c r="B24" s="41" t="s">
        <v>169</v>
      </c>
      <c r="C24" s="61">
        <f>SUM(D24:M24)</f>
        <v>9968.68755576629</v>
      </c>
      <c r="D24" s="61">
        <f t="shared" ref="D24:M24" si="9">D18-D19-D20-D21-D22</f>
        <v>46.313071053583</v>
      </c>
      <c r="E24" s="61">
        <f t="shared" si="9"/>
        <v>196.71313169785</v>
      </c>
      <c r="F24" s="61">
        <f t="shared" si="9"/>
        <v>371.217463980564</v>
      </c>
      <c r="G24" s="61">
        <f t="shared" si="9"/>
        <v>566.632324625533</v>
      </c>
      <c r="H24" s="61">
        <f t="shared" si="9"/>
        <v>786.159580747945</v>
      </c>
      <c r="I24" s="61">
        <f t="shared" si="9"/>
        <v>1028.95225682866</v>
      </c>
      <c r="J24" s="61">
        <f t="shared" si="9"/>
        <v>1290.79955121265</v>
      </c>
      <c r="K24" s="61">
        <f t="shared" si="9"/>
        <v>1576.7730888565</v>
      </c>
      <c r="L24" s="61">
        <f t="shared" si="9"/>
        <v>1888.58066892518</v>
      </c>
      <c r="M24" s="61">
        <f t="shared" si="9"/>
        <v>2216.54641783781</v>
      </c>
    </row>
    <row r="25" ht="12" customHeight="1" spans="1:13">
      <c r="A25" s="60">
        <v>20</v>
      </c>
      <c r="B25" s="41" t="s">
        <v>170</v>
      </c>
      <c r="C25" s="61">
        <f>SUM(D25:M25)</f>
        <v>5007.45247087083</v>
      </c>
      <c r="D25" s="61">
        <f>D10+总成本费用表!D13</f>
        <v>239.971957116419</v>
      </c>
      <c r="E25" s="61">
        <f>E10+总成本费用表!E13</f>
        <v>537.814904658174</v>
      </c>
      <c r="F25" s="61">
        <f>F10+总成本费用表!F13</f>
        <v>538.244936715132</v>
      </c>
      <c r="G25" s="61">
        <f>G10+总成本费用表!G13</f>
        <v>533.943497251806</v>
      </c>
      <c r="H25" s="61">
        <f>H10+总成本费用表!H13</f>
        <v>534.385564625796</v>
      </c>
      <c r="I25" s="61">
        <f>I10+总成本费用表!I13</f>
        <v>533.572853452917</v>
      </c>
      <c r="J25" s="61">
        <f>J10+总成本费用表!J13</f>
        <v>526.5219176059</v>
      </c>
      <c r="K25" s="61">
        <f>K10+总成本费用表!K13</f>
        <v>524.46450021312</v>
      </c>
      <c r="L25" s="61">
        <f>L10+总成本费用表!L13</f>
        <v>522.417155657304</v>
      </c>
      <c r="M25" s="61">
        <f>M10+总成本费用表!M13</f>
        <v>516.115183574267</v>
      </c>
    </row>
    <row r="26" ht="18" customHeight="1" spans="1:13">
      <c r="A26" s="60">
        <v>21</v>
      </c>
      <c r="B26" s="41" t="s">
        <v>171</v>
      </c>
      <c r="C26" s="61">
        <f>SUM(D26:M26)</f>
        <v>9783.52028752237</v>
      </c>
      <c r="D26" s="61">
        <f>D25+总成本费用表!D11+总成本费用表!D12</f>
        <v>491.3439474665</v>
      </c>
      <c r="E26" s="61">
        <f>E25+总成本费用表!E11+总成本费用表!E12</f>
        <v>1040.55888535833</v>
      </c>
      <c r="F26" s="61">
        <f>F25+总成本费用表!F11+总成本费用表!F12</f>
        <v>1040.98891741529</v>
      </c>
      <c r="G26" s="61">
        <f>G25+总成本费用表!G11+总成本费用表!G12</f>
        <v>1036.68747795197</v>
      </c>
      <c r="H26" s="61">
        <f>H25+总成本费用表!H11+总成本费用表!H12</f>
        <v>1037.12954532596</v>
      </c>
      <c r="I26" s="61">
        <f>I25+总成本费用表!I11+总成本费用表!I12</f>
        <v>1036.31683415308</v>
      </c>
      <c r="J26" s="61">
        <f>J25+总成本费用表!J11+总成本费用表!J12</f>
        <v>1029.26589830606</v>
      </c>
      <c r="K26" s="61">
        <f>K25+总成本费用表!K11+总成本费用表!K12</f>
        <v>1027.20848091328</v>
      </c>
      <c r="L26" s="61">
        <f>L25+总成本费用表!L11+总成本费用表!L12</f>
        <v>1025.16113635747</v>
      </c>
      <c r="M26" s="61">
        <f>M25+总成本费用表!M11+总成本费用表!M12</f>
        <v>1018.85916427443</v>
      </c>
    </row>
  </sheetData>
  <mergeCells count="3">
    <mergeCell ref="A1:M1"/>
    <mergeCell ref="D3:M3"/>
    <mergeCell ref="A3:A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selection activeCell="O15" sqref="O15"/>
    </sheetView>
  </sheetViews>
  <sheetFormatPr defaultColWidth="9" defaultRowHeight="14"/>
  <cols>
    <col min="1" max="1" width="4.12727272727273" customWidth="1"/>
    <col min="2" max="2" width="17.5545454545455" customWidth="1"/>
    <col min="3" max="3" width="9.62727272727273" customWidth="1"/>
    <col min="4" max="13" width="11.5545454545455" customWidth="1"/>
  </cols>
  <sheetData>
    <row r="1" ht="17.85" customHeight="1" spans="1:13">
      <c r="A1" s="32" t="s">
        <v>172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3:13">
      <c r="M2" t="s">
        <v>1</v>
      </c>
    </row>
    <row r="3" s="30" customFormat="1" ht="15" customHeight="1" spans="1:13">
      <c r="A3" s="34" t="s">
        <v>2</v>
      </c>
      <c r="B3" s="35" t="s">
        <v>173</v>
      </c>
      <c r="C3" s="35" t="s">
        <v>8</v>
      </c>
      <c r="D3" s="36" t="s">
        <v>174</v>
      </c>
      <c r="E3" s="36"/>
      <c r="F3" s="36"/>
      <c r="G3" s="36"/>
      <c r="H3" s="36"/>
      <c r="I3" s="36"/>
      <c r="J3" s="36"/>
      <c r="K3" s="36"/>
      <c r="L3" s="36"/>
      <c r="M3" s="36"/>
    </row>
    <row r="4" s="30" customFormat="1" ht="15" customHeight="1" spans="1:13">
      <c r="A4" s="34"/>
      <c r="B4" s="37"/>
      <c r="C4" s="38"/>
      <c r="D4" s="39">
        <v>1</v>
      </c>
      <c r="E4" s="39">
        <v>2</v>
      </c>
      <c r="F4" s="39">
        <v>3</v>
      </c>
      <c r="G4" s="39">
        <v>4</v>
      </c>
      <c r="H4" s="39">
        <v>5</v>
      </c>
      <c r="I4" s="39">
        <v>6</v>
      </c>
      <c r="J4" s="39">
        <v>7</v>
      </c>
      <c r="K4" s="39">
        <v>8</v>
      </c>
      <c r="L4" s="39">
        <v>9</v>
      </c>
      <c r="M4" s="39">
        <v>10</v>
      </c>
    </row>
    <row r="5" s="30" customFormat="1" ht="15" customHeight="1" spans="1:13">
      <c r="A5" s="40">
        <v>1</v>
      </c>
      <c r="B5" s="41" t="s">
        <v>175</v>
      </c>
      <c r="C5" s="42">
        <f>SUM(D5:M5)</f>
        <v>17493.4619891252</v>
      </c>
      <c r="D5" s="43">
        <f t="shared" ref="D5:M5" si="0">D6+D7+D8+D9</f>
        <v>1499.38677382356</v>
      </c>
      <c r="E5" s="43">
        <f t="shared" si="0"/>
        <v>1428.788432655</v>
      </c>
      <c r="F5" s="43">
        <f t="shared" si="0"/>
        <v>1428.98273049172</v>
      </c>
      <c r="G5" s="43">
        <f t="shared" si="0"/>
        <v>1429.19009683927</v>
      </c>
      <c r="H5" s="43">
        <f t="shared" si="0"/>
        <v>1429.41046635507</v>
      </c>
      <c r="I5" s="43">
        <f t="shared" si="0"/>
        <v>1428.2397740233</v>
      </c>
      <c r="J5" s="43">
        <f t="shared" si="0"/>
        <v>1425.67795515318</v>
      </c>
      <c r="K5" s="43">
        <f t="shared" si="0"/>
        <v>1423.12894537741</v>
      </c>
      <c r="L5" s="43">
        <f t="shared" si="0"/>
        <v>1420.59268065052</v>
      </c>
      <c r="M5" s="43">
        <f t="shared" si="0"/>
        <v>4580.06413375618</v>
      </c>
    </row>
    <row r="6" s="30" customFormat="1" ht="15" customHeight="1" spans="1:13">
      <c r="A6" s="40">
        <v>1.1</v>
      </c>
      <c r="B6" s="41" t="s">
        <v>95</v>
      </c>
      <c r="C6" s="42">
        <f>SUM(D6:M6)</f>
        <v>13546.3838132927</v>
      </c>
      <c r="D6" s="43">
        <f>营业收入及税金表!D5</f>
        <v>714.3036345</v>
      </c>
      <c r="E6" s="43">
        <f>营业收入及税金表!E5</f>
        <v>1428.788432655</v>
      </c>
      <c r="F6" s="43">
        <f>营业收入及税金表!F5</f>
        <v>1428.98273049172</v>
      </c>
      <c r="G6" s="43">
        <f>营业收入及税金表!G5</f>
        <v>1429.19009683927</v>
      </c>
      <c r="H6" s="43">
        <f>营业收入及税金表!H5</f>
        <v>1429.41046635507</v>
      </c>
      <c r="I6" s="43">
        <f>营业收入及税金表!I5</f>
        <v>1428.2397740233</v>
      </c>
      <c r="J6" s="43">
        <f>营业收入及税金表!J5</f>
        <v>1425.67795515318</v>
      </c>
      <c r="K6" s="43">
        <f>营业收入及税金表!K5</f>
        <v>1423.12894537741</v>
      </c>
      <c r="L6" s="43">
        <f>营业收入及税金表!L5</f>
        <v>1420.59268065052</v>
      </c>
      <c r="M6" s="43">
        <f>营业收入及税金表!M5</f>
        <v>1418.06909724727</v>
      </c>
    </row>
    <row r="7" s="31" customFormat="1" ht="15" customHeight="1" spans="1:13">
      <c r="A7" s="44">
        <v>1.2</v>
      </c>
      <c r="B7" s="45" t="s">
        <v>176</v>
      </c>
      <c r="C7" s="46"/>
      <c r="D7" s="47">
        <f>D11*0.09</f>
        <v>785.08313932356</v>
      </c>
      <c r="E7" s="47"/>
      <c r="F7" s="48"/>
      <c r="G7" s="47"/>
      <c r="H7" s="47"/>
      <c r="I7" s="47"/>
      <c r="J7" s="47"/>
      <c r="K7" s="47"/>
      <c r="L7" s="47"/>
      <c r="M7" s="47"/>
    </row>
    <row r="8" s="30" customFormat="1" ht="15" customHeight="1" spans="1:13">
      <c r="A8" s="40">
        <v>1.3</v>
      </c>
      <c r="B8" s="41" t="s">
        <v>177</v>
      </c>
      <c r="C8" s="42">
        <f>SUM(D8:M8)</f>
        <v>3161.99503650891</v>
      </c>
      <c r="D8" s="43"/>
      <c r="E8" s="43"/>
      <c r="F8" s="43"/>
      <c r="G8" s="43"/>
      <c r="H8" s="43"/>
      <c r="I8" s="43"/>
      <c r="J8" s="43"/>
      <c r="K8" s="43"/>
      <c r="L8" s="43"/>
      <c r="M8" s="43">
        <f>固定资产折旧!O8</f>
        <v>3161.99503650891</v>
      </c>
    </row>
    <row r="9" s="30" customFormat="1" ht="15" customHeight="1" spans="1:13">
      <c r="A9" s="40">
        <v>1.4</v>
      </c>
      <c r="B9" s="41" t="s">
        <v>178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="30" customFormat="1" ht="15" customHeight="1" spans="1:13">
      <c r="A10" s="40">
        <v>2</v>
      </c>
      <c r="B10" s="41" t="s">
        <v>179</v>
      </c>
      <c r="C10" s="42">
        <f>SUM(D10:M10)</f>
        <v>12486.0095182544</v>
      </c>
      <c r="D10" s="43">
        <f t="shared" ref="D10:M10" si="1">D11+D12+D13+D14+D15+D16</f>
        <v>8946.1056795175</v>
      </c>
      <c r="E10" s="43">
        <f t="shared" si="1"/>
        <v>388.229547296665</v>
      </c>
      <c r="F10" s="43">
        <f t="shared" si="1"/>
        <v>387.993813076432</v>
      </c>
      <c r="G10" s="43">
        <f t="shared" si="1"/>
        <v>392.502618887299</v>
      </c>
      <c r="H10" s="43">
        <f t="shared" si="1"/>
        <v>392.280921029113</v>
      </c>
      <c r="I10" s="43">
        <f t="shared" si="1"/>
        <v>391.922939870217</v>
      </c>
      <c r="J10" s="43">
        <f t="shared" si="1"/>
        <v>396.412056847116</v>
      </c>
      <c r="K10" s="43">
        <f t="shared" si="1"/>
        <v>395.920464464131</v>
      </c>
      <c r="L10" s="43">
        <f t="shared" si="1"/>
        <v>395.43154429306</v>
      </c>
      <c r="M10" s="43">
        <f t="shared" si="1"/>
        <v>399.209932972845</v>
      </c>
    </row>
    <row r="11" s="30" customFormat="1" ht="15" customHeight="1" spans="1:13">
      <c r="A11" s="40">
        <v>2.1</v>
      </c>
      <c r="B11" s="41" t="s">
        <v>180</v>
      </c>
      <c r="C11" s="42">
        <f>SUM(D11:M11)</f>
        <v>8723.145992484</v>
      </c>
      <c r="D11" s="43">
        <f>总投资!G51</f>
        <v>8723.145992484</v>
      </c>
      <c r="E11" s="43"/>
      <c r="F11" s="43"/>
      <c r="G11" s="43"/>
      <c r="H11" s="43"/>
      <c r="I11" s="43"/>
      <c r="J11" s="43"/>
      <c r="K11" s="43"/>
      <c r="L11" s="43"/>
      <c r="M11" s="43"/>
    </row>
    <row r="12" s="30" customFormat="1" ht="15" customHeight="1" spans="1:13">
      <c r="A12" s="40">
        <v>2.2</v>
      </c>
      <c r="B12" s="41" t="s">
        <v>181</v>
      </c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="30" customFormat="1" ht="15" customHeight="1" spans="1:13">
      <c r="A13" s="40">
        <v>2.3</v>
      </c>
      <c r="B13" s="41" t="s">
        <v>182</v>
      </c>
      <c r="C13" s="42">
        <f>SUM(D13:M13)</f>
        <v>1931.64580421952</v>
      </c>
      <c r="D13" s="43">
        <f>总成本费用表!D10</f>
        <v>125.9922423</v>
      </c>
      <c r="E13" s="43">
        <f>总成本费用表!E10</f>
        <v>194.720612177</v>
      </c>
      <c r="F13" s="43">
        <f>总成本费用表!F10</f>
        <v>194.586365366115</v>
      </c>
      <c r="G13" s="43">
        <f>总成本费用表!G10</f>
        <v>199.224489789284</v>
      </c>
      <c r="H13" s="43">
        <f>总成本费用表!H10</f>
        <v>199.101981090338</v>
      </c>
      <c r="I13" s="43">
        <f>总成本费用表!I10</f>
        <v>198.980334934886</v>
      </c>
      <c r="J13" s="43">
        <f>总成本费用表!J10</f>
        <v>203.874622010212</v>
      </c>
      <c r="K13" s="43">
        <f>总成本费用表!K10</f>
        <v>203.754688025161</v>
      </c>
      <c r="L13" s="43">
        <f>总成本费用表!L10</f>
        <v>203.635603710035</v>
      </c>
      <c r="M13" s="43">
        <f>总成本费用表!M10</f>
        <v>207.774864816485</v>
      </c>
    </row>
    <row r="14" s="30" customFormat="1" ht="15" customHeight="1" spans="1:13">
      <c r="A14" s="40">
        <v>2.4</v>
      </c>
      <c r="B14" s="41" t="s">
        <v>152</v>
      </c>
      <c r="C14" s="42">
        <f>SUM(D14:M14)</f>
        <v>166.474338322806</v>
      </c>
      <c r="D14" s="43">
        <f>营业收入及税金表!D25</f>
        <v>8.8152222485</v>
      </c>
      <c r="E14" s="43">
        <f>营业收入及税金表!E25</f>
        <v>17.591721374515</v>
      </c>
      <c r="F14" s="43">
        <f>营业收入及税金表!F25</f>
        <v>17.5824952463924</v>
      </c>
      <c r="G14" s="43">
        <f>营业收入及税金表!G25</f>
        <v>17.5707390089105</v>
      </c>
      <c r="H14" s="43">
        <f>营业收入及税金表!H25</f>
        <v>17.5617218126159</v>
      </c>
      <c r="I14" s="43">
        <f>营业收入及税金表!I25</f>
        <v>17.5402368123028</v>
      </c>
      <c r="J14" s="43">
        <f>营业收入及税金表!J25</f>
        <v>17.5034031669913</v>
      </c>
      <c r="K14" s="43">
        <f>营业收入及税金表!K25</f>
        <v>17.4696160399064</v>
      </c>
      <c r="L14" s="43">
        <f>营业收入及税金表!L25</f>
        <v>17.4359945984568</v>
      </c>
      <c r="M14" s="43">
        <f>营业收入及税金表!M25</f>
        <v>17.4031880142145</v>
      </c>
    </row>
    <row r="15" s="30" customFormat="1" ht="15" customHeight="1" spans="1:13">
      <c r="A15" s="40">
        <v>2.5</v>
      </c>
      <c r="B15" s="41" t="s">
        <v>135</v>
      </c>
      <c r="C15" s="42">
        <f>SUM(D15:M15)</f>
        <v>1664.74338322806</v>
      </c>
      <c r="D15" s="43">
        <f>利润及利润分配表!D7</f>
        <v>88.152222485</v>
      </c>
      <c r="E15" s="43">
        <f>利润及利润分配表!E7</f>
        <v>175.91721374515</v>
      </c>
      <c r="F15" s="43">
        <f>利润及利润分配表!F7</f>
        <v>175.824952463924</v>
      </c>
      <c r="G15" s="43">
        <f>利润及利润分配表!G7</f>
        <v>175.707390089105</v>
      </c>
      <c r="H15" s="43">
        <f>利润及利润分配表!H7</f>
        <v>175.617218126159</v>
      </c>
      <c r="I15" s="43">
        <f>利润及利润分配表!I7</f>
        <v>175.402368123028</v>
      </c>
      <c r="J15" s="43">
        <f>利润及利润分配表!J7</f>
        <v>175.034031669913</v>
      </c>
      <c r="K15" s="43">
        <f>利润及利润分配表!K7</f>
        <v>174.696160399064</v>
      </c>
      <c r="L15" s="43">
        <f>利润及利润分配表!L7</f>
        <v>174.359945984568</v>
      </c>
      <c r="M15" s="43">
        <f>利润及利润分配表!M7</f>
        <v>174.031880142145</v>
      </c>
    </row>
    <row r="16" s="30" customFormat="1" ht="15" customHeight="1" spans="1:13">
      <c r="A16" s="40">
        <v>2.6</v>
      </c>
      <c r="B16" s="41" t="s">
        <v>183</v>
      </c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="30" customFormat="1" ht="22" customHeight="1" spans="1:13">
      <c r="A17" s="40">
        <v>3</v>
      </c>
      <c r="B17" s="49" t="s">
        <v>184</v>
      </c>
      <c r="C17" s="42">
        <f>SUM(D17:M17)</f>
        <v>5007.45247087083</v>
      </c>
      <c r="D17" s="43">
        <f t="shared" ref="D17:M17" si="2">D5-D10</f>
        <v>-7446.71890569394</v>
      </c>
      <c r="E17" s="43">
        <f t="shared" si="2"/>
        <v>1040.55888535833</v>
      </c>
      <c r="F17" s="43">
        <f t="shared" si="2"/>
        <v>1040.98891741529</v>
      </c>
      <c r="G17" s="43">
        <f t="shared" si="2"/>
        <v>1036.68747795197</v>
      </c>
      <c r="H17" s="43">
        <f t="shared" si="2"/>
        <v>1037.12954532596</v>
      </c>
      <c r="I17" s="43">
        <f t="shared" si="2"/>
        <v>1036.31683415308</v>
      </c>
      <c r="J17" s="43">
        <f t="shared" si="2"/>
        <v>1029.26589830606</v>
      </c>
      <c r="K17" s="43">
        <f t="shared" si="2"/>
        <v>1027.20848091328</v>
      </c>
      <c r="L17" s="43">
        <f t="shared" si="2"/>
        <v>1025.16113635746</v>
      </c>
      <c r="M17" s="43">
        <f t="shared" si="2"/>
        <v>4180.85420078334</v>
      </c>
    </row>
    <row r="18" s="30" customFormat="1" ht="22" customHeight="1" spans="1:13">
      <c r="A18" s="40">
        <v>4</v>
      </c>
      <c r="B18" s="49" t="s">
        <v>185</v>
      </c>
      <c r="C18" s="42"/>
      <c r="D18" s="43">
        <f>D17</f>
        <v>-7446.71890569394</v>
      </c>
      <c r="E18" s="43">
        <f t="shared" ref="E18:M18" si="3">D18+E17</f>
        <v>-6406.16002033561</v>
      </c>
      <c r="F18" s="43">
        <f t="shared" si="3"/>
        <v>-5365.17110292031</v>
      </c>
      <c r="G18" s="43">
        <f t="shared" si="3"/>
        <v>-4328.48362496835</v>
      </c>
      <c r="H18" s="43">
        <f t="shared" si="3"/>
        <v>-3291.35407964239</v>
      </c>
      <c r="I18" s="43">
        <f t="shared" si="3"/>
        <v>-2255.03724548931</v>
      </c>
      <c r="J18" s="43">
        <f t="shared" si="3"/>
        <v>-1225.77134718325</v>
      </c>
      <c r="K18" s="43">
        <f t="shared" si="3"/>
        <v>-198.562866269968</v>
      </c>
      <c r="L18" s="43">
        <f t="shared" si="3"/>
        <v>826.598270087497</v>
      </c>
      <c r="M18" s="43">
        <f t="shared" si="3"/>
        <v>5007.45247087083</v>
      </c>
    </row>
    <row r="19" s="30" customFormat="1" ht="22" customHeight="1" spans="1:13">
      <c r="A19" s="40">
        <v>5</v>
      </c>
      <c r="B19" s="49" t="s">
        <v>186</v>
      </c>
      <c r="C19" s="42">
        <f>SUM(D19:M19)</f>
        <v>2254.66371017502</v>
      </c>
      <c r="D19" s="43">
        <f>D17/POWER(1.042,1)</f>
        <v>-7146.56324922643</v>
      </c>
      <c r="E19" s="43">
        <f>E17/POWER(1.042,2)</f>
        <v>958.365616614969</v>
      </c>
      <c r="F19" s="43">
        <f>F17/POWER(1.042,3)</f>
        <v>920.116776043311</v>
      </c>
      <c r="G19" s="43">
        <f>G17/POWER(1.042,4)</f>
        <v>879.380795368675</v>
      </c>
      <c r="H19" s="43">
        <f>H17/POWER(1.042,5)</f>
        <v>844.295377693607</v>
      </c>
      <c r="I19" s="43">
        <f>I17/POWER(1.042,6)</f>
        <v>809.629342068253</v>
      </c>
      <c r="J19" s="43">
        <f>J17/POWER(1.042,7)</f>
        <v>771.708975112247</v>
      </c>
      <c r="K19" s="43">
        <f>K17/POWER(1.042,8)</f>
        <v>739.123217566755</v>
      </c>
      <c r="L19" s="43">
        <f>L17/POWER(1.042,9)</f>
        <v>707.917524039718</v>
      </c>
      <c r="M19" s="43">
        <f>M17/POWER(1.042,10)</f>
        <v>2770.68933489391</v>
      </c>
    </row>
    <row r="20" s="30" customFormat="1" ht="22" customHeight="1" spans="1:13">
      <c r="A20" s="40">
        <v>6</v>
      </c>
      <c r="B20" s="49" t="s">
        <v>187</v>
      </c>
      <c r="C20" s="42"/>
      <c r="D20" s="43">
        <f>D19</f>
        <v>-7146.56324922643</v>
      </c>
      <c r="E20" s="43">
        <f t="shared" ref="E20:M20" si="4">D20+E19</f>
        <v>-6188.19763261146</v>
      </c>
      <c r="F20" s="43">
        <f t="shared" si="4"/>
        <v>-5268.08085656815</v>
      </c>
      <c r="G20" s="43">
        <f t="shared" si="4"/>
        <v>-4388.70006119948</v>
      </c>
      <c r="H20" s="43">
        <f t="shared" si="4"/>
        <v>-3544.40468350587</v>
      </c>
      <c r="I20" s="43">
        <f t="shared" si="4"/>
        <v>-2734.77534143762</v>
      </c>
      <c r="J20" s="43">
        <f t="shared" si="4"/>
        <v>-1963.06636632537</v>
      </c>
      <c r="K20" s="43">
        <f t="shared" si="4"/>
        <v>-1223.94314875861</v>
      </c>
      <c r="L20" s="43">
        <f t="shared" si="4"/>
        <v>-516.025624718896</v>
      </c>
      <c r="M20" s="43">
        <f t="shared" si="4"/>
        <v>2254.66371017502</v>
      </c>
    </row>
    <row r="21" s="30" customFormat="1" ht="22" customHeight="1" spans="1:13">
      <c r="A21" s="40">
        <v>7</v>
      </c>
      <c r="B21" s="49" t="s">
        <v>188</v>
      </c>
      <c r="C21" s="42">
        <f>SUM(D21:M21)</f>
        <v>803.790128438604</v>
      </c>
      <c r="D21" s="43"/>
      <c r="E21" s="43">
        <f>利润及利润分配表!E13</f>
        <v>55.7037261645434</v>
      </c>
      <c r="F21" s="43">
        <f>利润及利润分配表!F13</f>
        <v>64.631234178783</v>
      </c>
      <c r="G21" s="43">
        <f>利润及利润分配表!G13</f>
        <v>72.3758743129514</v>
      </c>
      <c r="H21" s="43">
        <f>利润及利润分配表!H13</f>
        <v>81.306391156449</v>
      </c>
      <c r="I21" s="43">
        <f>利润及利润分配表!I13</f>
        <v>89.9232133632292</v>
      </c>
      <c r="J21" s="43">
        <f>利润及利润分配表!J13</f>
        <v>96.9804794014751</v>
      </c>
      <c r="K21" s="43">
        <f>利润及利润分配表!K13</f>
        <v>105.91612505328</v>
      </c>
      <c r="L21" s="43">
        <f>利润及利润分配表!L13</f>
        <v>115.484288914326</v>
      </c>
      <c r="M21" s="43">
        <f>利润及利润分配表!M13</f>
        <v>121.468795893567</v>
      </c>
    </row>
    <row r="22" s="30" customFormat="1" ht="22" customHeight="1" spans="1:13">
      <c r="A22" s="40">
        <v>8</v>
      </c>
      <c r="B22" s="49" t="s">
        <v>189</v>
      </c>
      <c r="C22" s="42">
        <f>SUM(D22:M22)</f>
        <v>4203.66234243223</v>
      </c>
      <c r="D22" s="43">
        <f t="shared" ref="D22:M22" si="5">D17-D21</f>
        <v>-7446.71890569394</v>
      </c>
      <c r="E22" s="43">
        <f t="shared" si="5"/>
        <v>984.855159193791</v>
      </c>
      <c r="F22" s="43">
        <f t="shared" si="5"/>
        <v>976.35768323651</v>
      </c>
      <c r="G22" s="43">
        <f t="shared" si="5"/>
        <v>964.311603639016</v>
      </c>
      <c r="H22" s="43">
        <f t="shared" si="5"/>
        <v>955.823154169508</v>
      </c>
      <c r="I22" s="43">
        <f t="shared" si="5"/>
        <v>946.393620789848</v>
      </c>
      <c r="J22" s="43">
        <f t="shared" si="5"/>
        <v>932.285418904587</v>
      </c>
      <c r="K22" s="43">
        <f t="shared" si="5"/>
        <v>921.292355860001</v>
      </c>
      <c r="L22" s="43">
        <f t="shared" si="5"/>
        <v>909.676847443139</v>
      </c>
      <c r="M22" s="43">
        <f t="shared" si="5"/>
        <v>4059.38540488977</v>
      </c>
    </row>
    <row r="23" s="30" customFormat="1" ht="22" customHeight="1" spans="1:13">
      <c r="A23" s="40">
        <v>9</v>
      </c>
      <c r="B23" s="49" t="s">
        <v>190</v>
      </c>
      <c r="C23" s="42"/>
      <c r="D23" s="43">
        <f>D22</f>
        <v>-7446.71890569394</v>
      </c>
      <c r="E23" s="43">
        <f t="shared" ref="E23:M23" si="6">D23+E22</f>
        <v>-6461.86374650015</v>
      </c>
      <c r="F23" s="43">
        <f t="shared" si="6"/>
        <v>-5485.50606326364</v>
      </c>
      <c r="G23" s="43">
        <f t="shared" si="6"/>
        <v>-4521.19445962462</v>
      </c>
      <c r="H23" s="43">
        <f t="shared" si="6"/>
        <v>-3565.37130545512</v>
      </c>
      <c r="I23" s="43">
        <f t="shared" si="6"/>
        <v>-2618.97768466527</v>
      </c>
      <c r="J23" s="43">
        <f t="shared" si="6"/>
        <v>-1686.69226576068</v>
      </c>
      <c r="K23" s="43">
        <f t="shared" si="6"/>
        <v>-765.39990990068</v>
      </c>
      <c r="L23" s="43">
        <f t="shared" si="6"/>
        <v>144.276937542459</v>
      </c>
      <c r="M23" s="43">
        <f t="shared" si="6"/>
        <v>4203.66234243223</v>
      </c>
    </row>
    <row r="24" s="30" customFormat="1" ht="22" customHeight="1" spans="1:13">
      <c r="A24" s="40">
        <v>10</v>
      </c>
      <c r="B24" s="49" t="s">
        <v>191</v>
      </c>
      <c r="C24" s="42">
        <f>SUM(D24:M24)</f>
        <v>1636.68881626704</v>
      </c>
      <c r="D24" s="43">
        <f>D22/POWER(1.042,1)</f>
        <v>-7146.56324922643</v>
      </c>
      <c r="E24" s="43">
        <f>E22/POWER(1.042,2)</f>
        <v>907.061902212443</v>
      </c>
      <c r="F24" s="43">
        <f>F22/POWER(1.042,3)</f>
        <v>862.990055643696</v>
      </c>
      <c r="G24" s="43">
        <f>G22/POWER(1.042,4)</f>
        <v>817.987217002548</v>
      </c>
      <c r="H24" s="43">
        <f>H22/POWER(1.042,5)</f>
        <v>778.106336469482</v>
      </c>
      <c r="I24" s="43">
        <f>I22/POWER(1.042,6)</f>
        <v>739.376240244009</v>
      </c>
      <c r="J24" s="43">
        <f>J22/POWER(1.042,7)</f>
        <v>698.996271341552</v>
      </c>
      <c r="K24" s="43">
        <f>K22/POWER(1.0425,8)</f>
        <v>660.372468091312</v>
      </c>
      <c r="L24" s="43">
        <f>L22/POWER(1.042,9)</f>
        <v>628.170693054495</v>
      </c>
      <c r="M24" s="43">
        <f>M22/POWER(1.042,10)</f>
        <v>2690.19088143394</v>
      </c>
    </row>
    <row r="25" s="30" customFormat="1" ht="22" customHeight="1" spans="1:13">
      <c r="A25" s="40">
        <v>11</v>
      </c>
      <c r="B25" s="49" t="s">
        <v>192</v>
      </c>
      <c r="C25" s="42"/>
      <c r="D25" s="43">
        <f>D24</f>
        <v>-7146.56324922643</v>
      </c>
      <c r="E25" s="43">
        <f t="shared" ref="E25:M25" si="7">D25+E24</f>
        <v>-6239.50134701399</v>
      </c>
      <c r="F25" s="43">
        <f t="shared" si="7"/>
        <v>-5376.51129137029</v>
      </c>
      <c r="G25" s="43">
        <f t="shared" si="7"/>
        <v>-4558.52407436774</v>
      </c>
      <c r="H25" s="43">
        <f t="shared" si="7"/>
        <v>-3780.41773789826</v>
      </c>
      <c r="I25" s="43">
        <f t="shared" si="7"/>
        <v>-3041.04149765425</v>
      </c>
      <c r="J25" s="43">
        <f t="shared" si="7"/>
        <v>-2342.0452263127</v>
      </c>
      <c r="K25" s="43">
        <f t="shared" si="7"/>
        <v>-1681.67275822139</v>
      </c>
      <c r="L25" s="43">
        <f t="shared" si="7"/>
        <v>-1053.50206516689</v>
      </c>
      <c r="M25" s="43">
        <f t="shared" si="7"/>
        <v>1636.68881626704</v>
      </c>
    </row>
    <row r="26" spans="2:2">
      <c r="B26" s="50" t="s">
        <v>193</v>
      </c>
    </row>
    <row r="27" spans="2:12">
      <c r="B27" s="31" t="s">
        <v>194</v>
      </c>
      <c r="C27" s="31"/>
      <c r="D27" s="31"/>
      <c r="E27" s="31"/>
      <c r="F27" s="51">
        <f>IRR(D17:M17)</f>
        <v>0.0957179914657618</v>
      </c>
      <c r="G27" s="31"/>
      <c r="H27" s="50" t="s">
        <v>195</v>
      </c>
      <c r="L27" s="51">
        <f>IRR(D22:M22,4.2%)</f>
        <v>0.0816577830733063</v>
      </c>
    </row>
    <row r="28" spans="2:12">
      <c r="B28" s="31" t="s">
        <v>196</v>
      </c>
      <c r="C28" s="31"/>
      <c r="D28" s="31"/>
      <c r="E28" s="31"/>
      <c r="F28" s="52">
        <f>M20</f>
        <v>2254.66371017502</v>
      </c>
      <c r="H28" s="50" t="s">
        <v>197</v>
      </c>
      <c r="L28" s="52">
        <f>M25</f>
        <v>1636.68881626704</v>
      </c>
    </row>
    <row r="29" spans="2:12">
      <c r="B29" s="31" t="s">
        <v>198</v>
      </c>
      <c r="C29" s="31"/>
      <c r="D29" s="31"/>
      <c r="E29" s="31"/>
      <c r="F29" s="52">
        <f>10-1+ABS(L20)/M19</f>
        <v>9.18624449093592</v>
      </c>
      <c r="H29" s="50" t="s">
        <v>199</v>
      </c>
      <c r="L29" s="52">
        <f>10-1+ABS(L25/M24)</f>
        <v>9.391608667042</v>
      </c>
    </row>
    <row r="30" spans="6:6">
      <c r="F30" s="52"/>
    </row>
  </sheetData>
  <mergeCells count="5">
    <mergeCell ref="A1:M1"/>
    <mergeCell ref="D3:M3"/>
    <mergeCell ref="A3:A4"/>
    <mergeCell ref="B3:B4"/>
    <mergeCell ref="C3:C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0" zoomScaleNormal="120" workbookViewId="0">
      <selection activeCell="H25" sqref="H25"/>
    </sheetView>
  </sheetViews>
  <sheetFormatPr defaultColWidth="8.62727272727273" defaultRowHeight="14"/>
  <cols>
    <col min="1" max="1" width="4.12727272727273" style="13" customWidth="1"/>
    <col min="2" max="2" width="9.62727272727273" style="13" customWidth="1"/>
    <col min="3" max="3" width="9.37272727272727" style="13"/>
    <col min="4" max="4" width="7.5" style="14" customWidth="1"/>
    <col min="5" max="5" width="8.60909090909091" style="14" customWidth="1"/>
    <col min="6" max="6" width="8.7" style="14" customWidth="1"/>
    <col min="7" max="14" width="8.7" style="13" customWidth="1"/>
    <col min="15" max="15" width="13.6272727272727" style="13"/>
    <col min="16" max="26" width="8.62727272727273" style="13"/>
  </cols>
  <sheetData>
    <row r="1" ht="17.5" spans="1:14">
      <c r="A1" s="15" t="s">
        <v>200</v>
      </c>
      <c r="B1" s="15"/>
      <c r="C1" s="15"/>
      <c r="D1" s="16"/>
      <c r="E1" s="16"/>
      <c r="F1" s="16"/>
      <c r="G1" s="15"/>
      <c r="H1" s="15"/>
      <c r="I1" s="15"/>
      <c r="J1" s="15"/>
      <c r="K1" s="15"/>
      <c r="L1" s="15"/>
      <c r="M1" s="15"/>
      <c r="N1" s="15"/>
    </row>
    <row r="2" ht="16.15" customHeight="1" spans="14:14">
      <c r="N2" s="13" t="s">
        <v>1</v>
      </c>
    </row>
    <row r="3" spans="1:14">
      <c r="A3" s="17" t="s">
        <v>2</v>
      </c>
      <c r="B3" s="18"/>
      <c r="C3" s="18"/>
      <c r="D3" s="19" t="s">
        <v>174</v>
      </c>
      <c r="E3" s="19"/>
      <c r="F3" s="19"/>
      <c r="G3" s="19"/>
      <c r="H3" s="19"/>
      <c r="I3" s="19"/>
      <c r="J3" s="19"/>
      <c r="K3" s="19"/>
      <c r="L3" s="19"/>
      <c r="M3" s="19"/>
      <c r="N3" s="19"/>
    </row>
    <row r="4" ht="19" spans="1:14">
      <c r="A4" s="17"/>
      <c r="B4" s="17" t="s">
        <v>173</v>
      </c>
      <c r="C4" s="17" t="s">
        <v>8</v>
      </c>
      <c r="D4" s="20" t="s">
        <v>201</v>
      </c>
      <c r="E4" s="21">
        <v>0.5</v>
      </c>
      <c r="F4" s="20">
        <v>2</v>
      </c>
      <c r="G4" s="20">
        <v>3</v>
      </c>
      <c r="H4" s="20">
        <v>4</v>
      </c>
      <c r="I4" s="20">
        <v>5</v>
      </c>
      <c r="J4" s="20">
        <v>6</v>
      </c>
      <c r="K4" s="20">
        <v>7</v>
      </c>
      <c r="L4" s="20">
        <v>8</v>
      </c>
      <c r="M4" s="20">
        <v>9</v>
      </c>
      <c r="N4" s="20">
        <v>10</v>
      </c>
    </row>
    <row r="5" ht="12.95" customHeight="1" spans="1:14">
      <c r="A5" s="22">
        <v>1</v>
      </c>
      <c r="B5" s="23" t="s">
        <v>202</v>
      </c>
      <c r="C5" s="24">
        <f t="shared" ref="C5:C11" si="0">SUM(D5:N5)</f>
        <v>7000</v>
      </c>
      <c r="D5" s="25">
        <f>7000</f>
        <v>7000</v>
      </c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26">
        <v>1.1</v>
      </c>
      <c r="B6" s="23" t="s">
        <v>203</v>
      </c>
      <c r="C6" s="24">
        <f t="shared" si="0"/>
        <v>40900</v>
      </c>
      <c r="D6" s="25"/>
      <c r="E6" s="25">
        <f t="shared" ref="E6:N6" si="1">D10</f>
        <v>7000</v>
      </c>
      <c r="F6" s="25">
        <f t="shared" si="1"/>
        <v>6600</v>
      </c>
      <c r="G6" s="25">
        <f t="shared" si="1"/>
        <v>5900</v>
      </c>
      <c r="H6" s="25">
        <f t="shared" si="1"/>
        <v>5200</v>
      </c>
      <c r="I6" s="25">
        <f t="shared" si="1"/>
        <v>4500</v>
      </c>
      <c r="J6" s="25">
        <f t="shared" si="1"/>
        <v>3800</v>
      </c>
      <c r="K6" s="25">
        <f t="shared" si="1"/>
        <v>3100</v>
      </c>
      <c r="L6" s="25">
        <f t="shared" si="1"/>
        <v>2400</v>
      </c>
      <c r="M6" s="25">
        <f t="shared" si="1"/>
        <v>1600</v>
      </c>
      <c r="N6" s="25">
        <f t="shared" si="1"/>
        <v>800</v>
      </c>
    </row>
    <row r="7" ht="12.95" customHeight="1" spans="1:14">
      <c r="A7" s="26">
        <v>1.2</v>
      </c>
      <c r="B7" s="23" t="s">
        <v>204</v>
      </c>
      <c r="C7" s="24">
        <f t="shared" si="0"/>
        <v>8811.88</v>
      </c>
      <c r="D7" s="25">
        <f t="shared" ref="D7:N7" si="2">D8+D9</f>
        <v>88.2</v>
      </c>
      <c r="E7" s="25">
        <f t="shared" si="2"/>
        <v>571.36</v>
      </c>
      <c r="F7" s="25">
        <f t="shared" si="2"/>
        <v>1015</v>
      </c>
      <c r="G7" s="25">
        <f t="shared" si="2"/>
        <v>979.72</v>
      </c>
      <c r="H7" s="25">
        <f t="shared" si="2"/>
        <v>944.44</v>
      </c>
      <c r="I7" s="25">
        <f t="shared" si="2"/>
        <v>909.16</v>
      </c>
      <c r="J7" s="25">
        <f t="shared" si="2"/>
        <v>873.88</v>
      </c>
      <c r="K7" s="25">
        <f t="shared" si="2"/>
        <v>838.6</v>
      </c>
      <c r="L7" s="25">
        <f t="shared" si="2"/>
        <v>900.8</v>
      </c>
      <c r="M7" s="25">
        <f t="shared" si="2"/>
        <v>860.48</v>
      </c>
      <c r="N7" s="25">
        <f t="shared" si="2"/>
        <v>830.24</v>
      </c>
    </row>
    <row r="8" ht="14.1" customHeight="1" spans="1:15">
      <c r="A8" s="26"/>
      <c r="B8" s="24" t="s">
        <v>205</v>
      </c>
      <c r="C8" s="24">
        <f t="shared" si="0"/>
        <v>7000</v>
      </c>
      <c r="D8" s="25"/>
      <c r="E8" s="25">
        <v>400</v>
      </c>
      <c r="F8" s="25">
        <v>700</v>
      </c>
      <c r="G8" s="25">
        <f>F8</f>
        <v>700</v>
      </c>
      <c r="H8" s="25">
        <f t="shared" ref="H8:N8" si="3">G8</f>
        <v>700</v>
      </c>
      <c r="I8" s="25">
        <f t="shared" si="3"/>
        <v>700</v>
      </c>
      <c r="J8" s="25">
        <f t="shared" si="3"/>
        <v>700</v>
      </c>
      <c r="K8" s="25">
        <f t="shared" si="3"/>
        <v>700</v>
      </c>
      <c r="L8" s="25">
        <v>800</v>
      </c>
      <c r="M8" s="25">
        <f t="shared" si="3"/>
        <v>800</v>
      </c>
      <c r="N8" s="25">
        <f t="shared" si="3"/>
        <v>800</v>
      </c>
      <c r="O8" s="29"/>
    </row>
    <row r="9" spans="1:14">
      <c r="A9" s="26"/>
      <c r="B9" s="27" t="s">
        <v>206</v>
      </c>
      <c r="C9" s="24">
        <f t="shared" si="0"/>
        <v>1811.88</v>
      </c>
      <c r="D9" s="25">
        <f>D5*0.0504*0.25</f>
        <v>88.2</v>
      </c>
      <c r="E9" s="25">
        <f>(E6+F6)/2*0.0504*0.5</f>
        <v>171.36</v>
      </c>
      <c r="F9" s="25">
        <f t="shared" ref="F9:M9" si="4">(F6+G6)/2*0.0504</f>
        <v>315</v>
      </c>
      <c r="G9" s="25">
        <f t="shared" si="4"/>
        <v>279.72</v>
      </c>
      <c r="H9" s="25">
        <f t="shared" si="4"/>
        <v>244.44</v>
      </c>
      <c r="I9" s="25">
        <f t="shared" si="4"/>
        <v>209.16</v>
      </c>
      <c r="J9" s="25">
        <f t="shared" si="4"/>
        <v>173.88</v>
      </c>
      <c r="K9" s="25">
        <f t="shared" si="4"/>
        <v>138.6</v>
      </c>
      <c r="L9" s="25">
        <f t="shared" si="4"/>
        <v>100.8</v>
      </c>
      <c r="M9" s="25">
        <f t="shared" si="4"/>
        <v>60.48</v>
      </c>
      <c r="N9" s="25">
        <f>(N6+N6/2)/2*0.0504</f>
        <v>30.24</v>
      </c>
    </row>
    <row r="10" spans="1:14">
      <c r="A10" s="26">
        <v>1.3</v>
      </c>
      <c r="B10" s="23" t="s">
        <v>207</v>
      </c>
      <c r="C10" s="24">
        <f t="shared" si="0"/>
        <v>40900</v>
      </c>
      <c r="D10" s="25">
        <f>D5</f>
        <v>7000</v>
      </c>
      <c r="E10" s="25">
        <f t="shared" ref="E10:N10" si="5">E6-E8</f>
        <v>6600</v>
      </c>
      <c r="F10" s="25">
        <f t="shared" si="5"/>
        <v>5900</v>
      </c>
      <c r="G10" s="25">
        <f t="shared" si="5"/>
        <v>5200</v>
      </c>
      <c r="H10" s="25">
        <f t="shared" si="5"/>
        <v>4500</v>
      </c>
      <c r="I10" s="25">
        <f t="shared" si="5"/>
        <v>3800</v>
      </c>
      <c r="J10" s="25">
        <f t="shared" si="5"/>
        <v>3100</v>
      </c>
      <c r="K10" s="25">
        <f t="shared" si="5"/>
        <v>2400</v>
      </c>
      <c r="L10" s="25">
        <f t="shared" si="5"/>
        <v>1600</v>
      </c>
      <c r="M10" s="25">
        <f t="shared" si="5"/>
        <v>800</v>
      </c>
      <c r="N10" s="25">
        <f t="shared" si="5"/>
        <v>0</v>
      </c>
    </row>
    <row r="11" ht="19.9" customHeight="1" spans="1:14">
      <c r="A11" s="22">
        <v>4</v>
      </c>
      <c r="B11" s="24" t="s">
        <v>208</v>
      </c>
      <c r="C11" s="24">
        <f t="shared" si="0"/>
        <v>9783.52028752237</v>
      </c>
      <c r="D11" s="25"/>
      <c r="E11" s="25">
        <f>利润及利润分配表!D26</f>
        <v>491.3439474665</v>
      </c>
      <c r="F11" s="25">
        <f>利润及利润分配表!E26</f>
        <v>1040.55888535833</v>
      </c>
      <c r="G11" s="25">
        <f>利润及利润分配表!F26</f>
        <v>1040.98891741529</v>
      </c>
      <c r="H11" s="25">
        <f>利润及利润分配表!G26</f>
        <v>1036.68747795197</v>
      </c>
      <c r="I11" s="25">
        <f>利润及利润分配表!H26</f>
        <v>1037.12954532596</v>
      </c>
      <c r="J11" s="25">
        <f>利润及利润分配表!I26</f>
        <v>1036.31683415308</v>
      </c>
      <c r="K11" s="25">
        <f>利润及利润分配表!J26</f>
        <v>1029.26589830606</v>
      </c>
      <c r="L11" s="25">
        <f>利润及利润分配表!K26</f>
        <v>1027.20848091328</v>
      </c>
      <c r="M11" s="25">
        <f>利润及利润分配表!L26</f>
        <v>1025.16113635747</v>
      </c>
      <c r="N11" s="25">
        <f>利润及利润分配表!M26</f>
        <v>1018.85916427443</v>
      </c>
    </row>
    <row r="12" spans="1:14">
      <c r="A12" s="28" t="s">
        <v>209</v>
      </c>
      <c r="B12" s="24" t="s">
        <v>210</v>
      </c>
      <c r="C12" s="23">
        <f>C11/C9</f>
        <v>5.39965134971541</v>
      </c>
      <c r="D12" s="25"/>
      <c r="E12" s="25">
        <f t="shared" ref="E12:N12" si="6">E11/E9</f>
        <v>2.86731995486986</v>
      </c>
      <c r="F12" s="25">
        <f t="shared" si="6"/>
        <v>3.30336154082011</v>
      </c>
      <c r="G12" s="25">
        <f t="shared" si="6"/>
        <v>3.72153910129877</v>
      </c>
      <c r="H12" s="25">
        <f t="shared" si="6"/>
        <v>4.24107133837329</v>
      </c>
      <c r="I12" s="25">
        <f t="shared" si="6"/>
        <v>4.95854630582309</v>
      </c>
      <c r="J12" s="25">
        <f t="shared" si="6"/>
        <v>5.95995418767586</v>
      </c>
      <c r="K12" s="25">
        <f t="shared" si="6"/>
        <v>7.42616088243912</v>
      </c>
      <c r="L12" s="25">
        <f t="shared" si="6"/>
        <v>10.1905603265206</v>
      </c>
      <c r="M12" s="25">
        <f t="shared" si="6"/>
        <v>16.9504156143761</v>
      </c>
      <c r="N12" s="25">
        <f t="shared" si="6"/>
        <v>33.6924326810327</v>
      </c>
    </row>
    <row r="13" spans="1:14">
      <c r="A13" s="28"/>
      <c r="B13" s="24" t="s">
        <v>211</v>
      </c>
      <c r="C13" s="23">
        <f>C11/C7</f>
        <v>1.11026481154105</v>
      </c>
      <c r="D13" s="25"/>
      <c r="E13" s="25">
        <f t="shared" ref="E13:N13" si="7">E11/E7</f>
        <v>0.859955102678696</v>
      </c>
      <c r="F13" s="25">
        <f t="shared" si="7"/>
        <v>1.02518116784072</v>
      </c>
      <c r="G13" s="25">
        <f t="shared" si="7"/>
        <v>1.06253717124821</v>
      </c>
      <c r="H13" s="25">
        <f t="shared" si="7"/>
        <v>1.09767425982801</v>
      </c>
      <c r="I13" s="25">
        <f t="shared" si="7"/>
        <v>1.14075580241757</v>
      </c>
      <c r="J13" s="25">
        <f t="shared" si="7"/>
        <v>1.18588002260388</v>
      </c>
      <c r="K13" s="25">
        <f t="shared" si="7"/>
        <v>1.22736214918443</v>
      </c>
      <c r="L13" s="25">
        <f t="shared" si="7"/>
        <v>1.14032913067638</v>
      </c>
      <c r="M13" s="25">
        <f t="shared" si="7"/>
        <v>1.19138287509003</v>
      </c>
      <c r="N13" s="25">
        <f t="shared" si="7"/>
        <v>1.22718631272214</v>
      </c>
    </row>
  </sheetData>
  <mergeCells count="4">
    <mergeCell ref="A1:N1"/>
    <mergeCell ref="D3:N3"/>
    <mergeCell ref="A3:A4"/>
    <mergeCell ref="A12:A1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opLeftCell="A6" workbookViewId="0">
      <selection activeCell="A1" sqref="A1:M1"/>
    </sheetView>
  </sheetViews>
  <sheetFormatPr defaultColWidth="8.89090909090909" defaultRowHeight="14"/>
  <cols>
    <col min="1" max="1" width="7.21818181818182" customWidth="1"/>
    <col min="2" max="2" width="17.6636363636364" customWidth="1"/>
    <col min="3" max="13" width="10.5545454545455" customWidth="1"/>
  </cols>
  <sheetData>
    <row r="1" ht="26" customHeight="1" spans="1:13">
      <c r="A1" s="1" t="s">
        <v>212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.9" customHeight="1" spans="1:19">
      <c r="A2" s="2" t="s">
        <v>2</v>
      </c>
      <c r="B2" s="3" t="s">
        <v>84</v>
      </c>
      <c r="C2" s="4" t="s">
        <v>213</v>
      </c>
      <c r="D2" s="4"/>
      <c r="E2" s="4"/>
      <c r="F2" s="4"/>
      <c r="G2" s="4"/>
      <c r="H2" s="4"/>
      <c r="I2" s="4"/>
      <c r="J2" s="4"/>
      <c r="K2" s="4"/>
      <c r="L2" s="4"/>
      <c r="M2" s="8"/>
      <c r="N2" s="8"/>
      <c r="O2" s="8"/>
      <c r="P2" s="8"/>
      <c r="Q2" s="8"/>
      <c r="R2" s="8"/>
      <c r="S2" s="8"/>
    </row>
    <row r="3" spans="1:19">
      <c r="A3" s="2"/>
      <c r="B3" s="3"/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9"/>
      <c r="N3" s="9"/>
      <c r="O3" s="9"/>
      <c r="P3" s="9"/>
      <c r="Q3" s="9"/>
      <c r="R3" s="9"/>
      <c r="S3" s="9"/>
    </row>
    <row r="4" spans="1:19">
      <c r="A4" s="2">
        <v>1</v>
      </c>
      <c r="B4" s="6" t="s">
        <v>214</v>
      </c>
      <c r="C4" s="7">
        <f t="shared" ref="C4:L4" si="0">C5-C9</f>
        <v>1259.27409751096</v>
      </c>
      <c r="D4" s="7">
        <f t="shared" si="0"/>
        <v>984.855159193791</v>
      </c>
      <c r="E4" s="7">
        <f t="shared" si="0"/>
        <v>976.35768323651</v>
      </c>
      <c r="F4" s="7">
        <f t="shared" si="0"/>
        <v>964.311603639016</v>
      </c>
      <c r="G4" s="7">
        <f t="shared" si="0"/>
        <v>955.823154169508</v>
      </c>
      <c r="H4" s="7">
        <f t="shared" si="0"/>
        <v>946.393620789849</v>
      </c>
      <c r="I4" s="7">
        <f t="shared" si="0"/>
        <v>932.285418904587</v>
      </c>
      <c r="J4" s="7">
        <f t="shared" si="0"/>
        <v>921.292355860001</v>
      </c>
      <c r="K4" s="7">
        <f t="shared" si="0"/>
        <v>909.676847443139</v>
      </c>
      <c r="L4" s="7">
        <f t="shared" si="0"/>
        <v>897.390368380861</v>
      </c>
      <c r="M4" s="10"/>
      <c r="N4" s="9"/>
      <c r="O4" s="9"/>
      <c r="P4" s="9"/>
      <c r="Q4" s="9"/>
      <c r="R4" s="9"/>
      <c r="S4" s="9"/>
    </row>
    <row r="5" spans="1:19">
      <c r="A5" s="2">
        <v>1.1</v>
      </c>
      <c r="B5" s="6" t="s">
        <v>175</v>
      </c>
      <c r="C5" s="7">
        <f t="shared" ref="C5:L5" si="1">SUM(C6:C8)</f>
        <v>1499.38677382356</v>
      </c>
      <c r="D5" s="7">
        <f t="shared" si="1"/>
        <v>1428.788432655</v>
      </c>
      <c r="E5" s="7">
        <f t="shared" si="1"/>
        <v>1428.98273049172</v>
      </c>
      <c r="F5" s="7">
        <f t="shared" si="1"/>
        <v>1429.19009683927</v>
      </c>
      <c r="G5" s="7">
        <f t="shared" si="1"/>
        <v>1429.41046635507</v>
      </c>
      <c r="H5" s="7">
        <f t="shared" si="1"/>
        <v>1428.2397740233</v>
      </c>
      <c r="I5" s="7">
        <f t="shared" si="1"/>
        <v>1425.67795515318</v>
      </c>
      <c r="J5" s="7">
        <f t="shared" si="1"/>
        <v>1423.12894537741</v>
      </c>
      <c r="K5" s="7">
        <f t="shared" si="1"/>
        <v>1420.59268065052</v>
      </c>
      <c r="L5" s="7">
        <f t="shared" si="1"/>
        <v>1418.06909724727</v>
      </c>
      <c r="M5" s="10"/>
      <c r="N5" s="9"/>
      <c r="O5" s="9"/>
      <c r="P5" s="9"/>
      <c r="Q5" s="9"/>
      <c r="R5" s="9"/>
      <c r="S5" s="9"/>
    </row>
    <row r="6" spans="1:19">
      <c r="A6" s="2" t="s">
        <v>97</v>
      </c>
      <c r="B6" s="6" t="s">
        <v>95</v>
      </c>
      <c r="C6" s="7">
        <f>营业收入及税金表!D5</f>
        <v>714.3036345</v>
      </c>
      <c r="D6" s="7">
        <f>营业收入及税金表!E5</f>
        <v>1428.788432655</v>
      </c>
      <c r="E6" s="7">
        <f>营业收入及税金表!F5</f>
        <v>1428.98273049172</v>
      </c>
      <c r="F6" s="7">
        <f>营业收入及税金表!G5</f>
        <v>1429.19009683927</v>
      </c>
      <c r="G6" s="7">
        <f>营业收入及税金表!H5</f>
        <v>1429.41046635507</v>
      </c>
      <c r="H6" s="7">
        <f>营业收入及税金表!I5</f>
        <v>1428.2397740233</v>
      </c>
      <c r="I6" s="7">
        <f>营业收入及税金表!J5</f>
        <v>1425.67795515318</v>
      </c>
      <c r="J6" s="7">
        <f>营业收入及税金表!K5</f>
        <v>1423.12894537741</v>
      </c>
      <c r="K6" s="7">
        <f>营业收入及税金表!L5</f>
        <v>1420.59268065052</v>
      </c>
      <c r="L6" s="7">
        <f>营业收入及税金表!M5</f>
        <v>1418.06909724727</v>
      </c>
      <c r="M6" s="10"/>
      <c r="N6" s="9"/>
      <c r="O6" s="9"/>
      <c r="P6" s="9"/>
      <c r="Q6" s="9"/>
      <c r="R6" s="9"/>
      <c r="S6" s="9"/>
    </row>
    <row r="7" spans="1:19">
      <c r="A7" s="2" t="s">
        <v>99</v>
      </c>
      <c r="B7" s="6" t="s">
        <v>154</v>
      </c>
      <c r="C7" s="7">
        <f>项目投资现金流量表!D7</f>
        <v>785.08313932356</v>
      </c>
      <c r="D7" s="7"/>
      <c r="E7" s="7"/>
      <c r="F7" s="7"/>
      <c r="G7" s="7"/>
      <c r="H7" s="7"/>
      <c r="I7" s="7"/>
      <c r="J7" s="7"/>
      <c r="K7" s="7"/>
      <c r="L7" s="7"/>
      <c r="M7" s="10"/>
      <c r="N7" s="9"/>
      <c r="O7" s="9"/>
      <c r="P7" s="9"/>
      <c r="Q7" s="9"/>
      <c r="R7" s="9"/>
      <c r="S7" s="9"/>
    </row>
    <row r="8" spans="1:19">
      <c r="A8" s="2" t="s">
        <v>101</v>
      </c>
      <c r="B8" s="6" t="s">
        <v>215</v>
      </c>
      <c r="C8" s="7"/>
      <c r="D8" s="7"/>
      <c r="E8" s="7"/>
      <c r="F8" s="7"/>
      <c r="G8" s="7"/>
      <c r="H8" s="7"/>
      <c r="I8" s="7"/>
      <c r="J8" s="7"/>
      <c r="K8" s="7"/>
      <c r="L8" s="7"/>
      <c r="M8" s="10"/>
      <c r="N8" s="9"/>
      <c r="O8" s="9"/>
      <c r="P8" s="9"/>
      <c r="Q8" s="9"/>
      <c r="R8" s="9"/>
      <c r="S8" s="9"/>
    </row>
    <row r="9" spans="1:19">
      <c r="A9" s="2">
        <v>1.2</v>
      </c>
      <c r="B9" s="6" t="s">
        <v>179</v>
      </c>
      <c r="C9" s="7">
        <f t="shared" ref="C9:L9" si="2">SUM(C10:C13)</f>
        <v>240.112676312605</v>
      </c>
      <c r="D9" s="7">
        <f t="shared" si="2"/>
        <v>443.933273461209</v>
      </c>
      <c r="E9" s="7">
        <f t="shared" si="2"/>
        <v>452.625047255215</v>
      </c>
      <c r="F9" s="7">
        <f t="shared" si="2"/>
        <v>464.87849320025</v>
      </c>
      <c r="G9" s="7">
        <f t="shared" si="2"/>
        <v>473.587312185562</v>
      </c>
      <c r="H9" s="7">
        <f t="shared" si="2"/>
        <v>481.846153233446</v>
      </c>
      <c r="I9" s="7">
        <f t="shared" si="2"/>
        <v>493.392536248592</v>
      </c>
      <c r="J9" s="7">
        <f t="shared" si="2"/>
        <v>501.836589517411</v>
      </c>
      <c r="K9" s="7">
        <f t="shared" si="2"/>
        <v>510.915833207386</v>
      </c>
      <c r="L9" s="7">
        <f t="shared" si="2"/>
        <v>520.678728866412</v>
      </c>
      <c r="M9" s="10"/>
      <c r="N9" s="9"/>
      <c r="O9" s="9"/>
      <c r="P9" s="9"/>
      <c r="Q9" s="9"/>
      <c r="R9" s="9"/>
      <c r="S9" s="9"/>
    </row>
    <row r="10" spans="1:19">
      <c r="A10" s="2" t="s">
        <v>108</v>
      </c>
      <c r="B10" s="6" t="s">
        <v>182</v>
      </c>
      <c r="C10" s="7">
        <f>总成本费用表!D10</f>
        <v>125.9922423</v>
      </c>
      <c r="D10" s="7">
        <f>总成本费用表!E10</f>
        <v>194.720612177</v>
      </c>
      <c r="E10" s="7">
        <f>总成本费用表!F10</f>
        <v>194.586365366115</v>
      </c>
      <c r="F10" s="7">
        <f>总成本费用表!G10</f>
        <v>199.224489789284</v>
      </c>
      <c r="G10" s="7">
        <f>总成本费用表!H10</f>
        <v>199.101981090338</v>
      </c>
      <c r="H10" s="7">
        <f>总成本费用表!I10</f>
        <v>198.980334934886</v>
      </c>
      <c r="I10" s="7">
        <f>总成本费用表!J10</f>
        <v>203.874622010212</v>
      </c>
      <c r="J10" s="7">
        <f>总成本费用表!K10</f>
        <v>203.754688025161</v>
      </c>
      <c r="K10" s="7">
        <f>总成本费用表!L10</f>
        <v>203.635603710035</v>
      </c>
      <c r="L10" s="7">
        <f>总成本费用表!M10</f>
        <v>207.774864816485</v>
      </c>
      <c r="M10" s="10"/>
      <c r="N10" s="9"/>
      <c r="O10" s="9"/>
      <c r="P10" s="9"/>
      <c r="Q10" s="9"/>
      <c r="R10" s="9"/>
      <c r="S10" s="9"/>
    </row>
    <row r="11" spans="1:19">
      <c r="A11" s="2" t="s">
        <v>110</v>
      </c>
      <c r="B11" s="6" t="s">
        <v>216</v>
      </c>
      <c r="C11" s="7">
        <f>利润及利润分配表!D6+利润及利润分配表!D7</f>
        <v>96.9674447335</v>
      </c>
      <c r="D11" s="7">
        <f>利润及利润分配表!E6+利润及利润分配表!E7</f>
        <v>193.508935119665</v>
      </c>
      <c r="E11" s="7">
        <f>利润及利润分配表!F6+利润及利润分配表!F7</f>
        <v>193.407447710317</v>
      </c>
      <c r="F11" s="7">
        <f>利润及利润分配表!G6+利润及利润分配表!G7</f>
        <v>193.278129098015</v>
      </c>
      <c r="G11" s="7">
        <f>利润及利润分配表!H6+利润及利润分配表!H7</f>
        <v>193.178939938775</v>
      </c>
      <c r="H11" s="7">
        <f>利润及利润分配表!I6+利润及利润分配表!I7</f>
        <v>192.942604935331</v>
      </c>
      <c r="I11" s="7">
        <f>利润及利润分配表!J6+利润及利润分配表!J7</f>
        <v>192.537434836904</v>
      </c>
      <c r="J11" s="7">
        <f>利润及利润分配表!K6+利润及利润分配表!K7</f>
        <v>192.16577643897</v>
      </c>
      <c r="K11" s="7">
        <f>利润及利润分配表!L6+利润及利润分配表!L7</f>
        <v>191.795940583025</v>
      </c>
      <c r="L11" s="7">
        <f>利润及利润分配表!M6+利润及利润分配表!M7</f>
        <v>191.43506815636</v>
      </c>
      <c r="M11" s="10"/>
      <c r="N11" s="9"/>
      <c r="O11" s="9"/>
      <c r="P11" s="9"/>
      <c r="Q11" s="9"/>
      <c r="R11" s="9"/>
      <c r="S11" s="9"/>
    </row>
    <row r="12" spans="1:19">
      <c r="A12" s="2" t="s">
        <v>113</v>
      </c>
      <c r="B12" s="6" t="s">
        <v>158</v>
      </c>
      <c r="C12" s="7">
        <f>利润及利润分配表!D13</f>
        <v>17.1529892791048</v>
      </c>
      <c r="D12" s="7">
        <f>利润及利润分配表!E13</f>
        <v>55.7037261645434</v>
      </c>
      <c r="E12" s="7">
        <f>利润及利润分配表!F13</f>
        <v>64.631234178783</v>
      </c>
      <c r="F12" s="7">
        <f>利润及利润分配表!G13</f>
        <v>72.3758743129514</v>
      </c>
      <c r="G12" s="7">
        <f>利润及利润分配表!H13</f>
        <v>81.306391156449</v>
      </c>
      <c r="H12" s="7">
        <f>利润及利润分配表!I13</f>
        <v>89.9232133632292</v>
      </c>
      <c r="I12" s="7">
        <f>利润及利润分配表!J13</f>
        <v>96.9804794014751</v>
      </c>
      <c r="J12" s="7">
        <f>利润及利润分配表!K13</f>
        <v>105.91612505328</v>
      </c>
      <c r="K12" s="7">
        <f>利润及利润分配表!L13</f>
        <v>115.484288914326</v>
      </c>
      <c r="L12" s="7">
        <f>利润及利润分配表!M13</f>
        <v>121.468795893567</v>
      </c>
      <c r="M12" s="10"/>
      <c r="N12" s="9"/>
      <c r="O12" s="9"/>
      <c r="P12" s="9"/>
      <c r="Q12" s="9"/>
      <c r="R12" s="9"/>
      <c r="S12" s="9"/>
    </row>
    <row r="13" spans="1:19">
      <c r="A13" s="2" t="s">
        <v>115</v>
      </c>
      <c r="B13" s="6" t="s">
        <v>217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0"/>
      <c r="N13" s="9"/>
      <c r="O13" s="9"/>
      <c r="P13" s="9"/>
      <c r="Q13" s="9"/>
      <c r="R13" s="9"/>
      <c r="S13" s="9"/>
    </row>
    <row r="14" spans="1:19">
      <c r="A14" s="2">
        <v>2</v>
      </c>
      <c r="B14" s="6" t="s">
        <v>218</v>
      </c>
      <c r="C14" s="7">
        <f>C15-C16</f>
        <v>-8811.345992484</v>
      </c>
      <c r="D14" s="7"/>
      <c r="E14" s="7"/>
      <c r="F14" s="7"/>
      <c r="G14" s="7"/>
      <c r="H14" s="7"/>
      <c r="I14" s="7"/>
      <c r="J14" s="7"/>
      <c r="K14" s="7"/>
      <c r="L14" s="7"/>
      <c r="M14" s="10"/>
      <c r="N14" s="9"/>
      <c r="O14" s="9"/>
      <c r="P14" s="9"/>
      <c r="Q14" s="9"/>
      <c r="R14" s="9"/>
      <c r="S14" s="9"/>
    </row>
    <row r="15" spans="1:19">
      <c r="A15" s="2">
        <v>2.1</v>
      </c>
      <c r="B15" s="6" t="s">
        <v>175</v>
      </c>
      <c r="C15" s="7">
        <v>0</v>
      </c>
      <c r="D15" s="7"/>
      <c r="E15" s="7"/>
      <c r="F15" s="7"/>
      <c r="G15" s="7"/>
      <c r="H15" s="7"/>
      <c r="I15" s="7"/>
      <c r="J15" s="7"/>
      <c r="K15" s="7"/>
      <c r="L15" s="7"/>
      <c r="M15" s="10"/>
      <c r="N15" s="9"/>
      <c r="O15" s="9"/>
      <c r="P15" s="9"/>
      <c r="Q15" s="9"/>
      <c r="R15" s="9"/>
      <c r="S15" s="9"/>
    </row>
    <row r="16" spans="1:19">
      <c r="A16" s="2">
        <v>2.2</v>
      </c>
      <c r="B16" s="6" t="s">
        <v>179</v>
      </c>
      <c r="C16" s="7">
        <f>SUM(C17:C20)</f>
        <v>8811.345992484</v>
      </c>
      <c r="D16" s="7"/>
      <c r="E16" s="7"/>
      <c r="F16" s="7"/>
      <c r="G16" s="7"/>
      <c r="H16" s="7"/>
      <c r="I16" s="7"/>
      <c r="J16" s="7"/>
      <c r="K16" s="7"/>
      <c r="L16" s="7"/>
      <c r="M16" s="10"/>
      <c r="N16" s="9"/>
      <c r="O16" s="9"/>
      <c r="P16" s="9"/>
      <c r="Q16" s="9"/>
      <c r="R16" s="9"/>
      <c r="S16" s="9"/>
    </row>
    <row r="17" spans="1:19">
      <c r="A17" s="2" t="s">
        <v>219</v>
      </c>
      <c r="B17" s="6" t="s">
        <v>180</v>
      </c>
      <c r="C17" s="7">
        <f>总投资!G55</f>
        <v>8811.345992484</v>
      </c>
      <c r="D17" s="7"/>
      <c r="E17" s="7"/>
      <c r="F17" s="7"/>
      <c r="G17" s="7"/>
      <c r="H17" s="7"/>
      <c r="I17" s="7"/>
      <c r="J17" s="7"/>
      <c r="K17" s="7"/>
      <c r="L17" s="7"/>
      <c r="M17" s="10"/>
      <c r="N17" s="9"/>
      <c r="O17" s="9"/>
      <c r="P17" s="9"/>
      <c r="Q17" s="9"/>
      <c r="R17" s="9"/>
      <c r="S17" s="9"/>
    </row>
    <row r="18" spans="1:19">
      <c r="A18" s="2" t="s">
        <v>220</v>
      </c>
      <c r="B18" s="6" t="s">
        <v>183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0"/>
      <c r="N18" s="9"/>
      <c r="O18" s="9"/>
      <c r="P18" s="9"/>
      <c r="Q18" s="9"/>
      <c r="R18" s="9"/>
      <c r="S18" s="9"/>
    </row>
    <row r="19" spans="1:19">
      <c r="A19" s="2" t="s">
        <v>221</v>
      </c>
      <c r="B19" s="6" t="s">
        <v>181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0"/>
      <c r="N19" s="9"/>
      <c r="O19" s="9"/>
      <c r="P19" s="9"/>
      <c r="Q19" s="9"/>
      <c r="R19" s="9"/>
      <c r="S19" s="9"/>
    </row>
    <row r="20" spans="1:19">
      <c r="A20" s="2" t="s">
        <v>222</v>
      </c>
      <c r="B20" s="6" t="s">
        <v>217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0"/>
      <c r="N20" s="9"/>
      <c r="O20" s="9"/>
      <c r="P20" s="9"/>
      <c r="Q20" s="9"/>
      <c r="R20" s="9"/>
      <c r="S20" s="9"/>
    </row>
    <row r="21" spans="1:19">
      <c r="A21" s="2">
        <v>3</v>
      </c>
      <c r="B21" s="6" t="s">
        <v>223</v>
      </c>
      <c r="C21" s="7">
        <f t="shared" ref="C21:L21" si="3">C22-C26</f>
        <v>12160.16</v>
      </c>
      <c r="D21" s="7">
        <f t="shared" si="3"/>
        <v>-871.36</v>
      </c>
      <c r="E21" s="7">
        <f t="shared" si="3"/>
        <v>-1015</v>
      </c>
      <c r="F21" s="7">
        <f t="shared" si="3"/>
        <v>-979.72</v>
      </c>
      <c r="G21" s="7">
        <f t="shared" si="3"/>
        <v>-944.44</v>
      </c>
      <c r="H21" s="7">
        <f t="shared" si="3"/>
        <v>-909.16</v>
      </c>
      <c r="I21" s="7">
        <f t="shared" si="3"/>
        <v>-873.88</v>
      </c>
      <c r="J21" s="7">
        <f t="shared" si="3"/>
        <v>-938.6</v>
      </c>
      <c r="K21" s="7">
        <f t="shared" si="3"/>
        <v>-900.8</v>
      </c>
      <c r="L21" s="7">
        <f t="shared" si="3"/>
        <v>-860.48</v>
      </c>
      <c r="M21" s="10"/>
      <c r="N21" s="11"/>
      <c r="O21" s="11"/>
      <c r="P21" s="11"/>
      <c r="Q21" s="11"/>
      <c r="R21" s="11"/>
      <c r="S21" s="11"/>
    </row>
    <row r="22" spans="1:19">
      <c r="A22" s="2">
        <v>3.1</v>
      </c>
      <c r="B22" s="6" t="s">
        <v>175</v>
      </c>
      <c r="C22" s="7">
        <f>SUM(C23:C25)</f>
        <v>12648.36</v>
      </c>
      <c r="D22" s="7"/>
      <c r="E22" s="7"/>
      <c r="F22" s="7"/>
      <c r="G22" s="7"/>
      <c r="H22" s="7"/>
      <c r="I22" s="7"/>
      <c r="J22" s="7"/>
      <c r="K22" s="7"/>
      <c r="L22" s="7"/>
      <c r="M22" s="10"/>
      <c r="N22" s="9"/>
      <c r="O22" s="9"/>
      <c r="P22" s="9"/>
      <c r="Q22" s="9"/>
      <c r="R22" s="9"/>
      <c r="S22" s="9"/>
    </row>
    <row r="23" spans="1:19">
      <c r="A23" s="2" t="s">
        <v>224</v>
      </c>
      <c r="B23" s="6" t="s">
        <v>225</v>
      </c>
      <c r="C23" s="7">
        <v>2648.36</v>
      </c>
      <c r="D23" s="7"/>
      <c r="E23" s="7"/>
      <c r="F23" s="7"/>
      <c r="G23" s="7"/>
      <c r="H23" s="7"/>
      <c r="I23" s="7"/>
      <c r="J23" s="7"/>
      <c r="K23" s="7"/>
      <c r="L23" s="7"/>
      <c r="M23" s="10"/>
      <c r="N23" s="9"/>
      <c r="O23" s="9"/>
      <c r="P23" s="9"/>
      <c r="Q23" s="9"/>
      <c r="R23" s="9"/>
      <c r="S23" s="9"/>
    </row>
    <row r="24" spans="1:19">
      <c r="A24" s="2" t="s">
        <v>226</v>
      </c>
      <c r="B24" s="6" t="s">
        <v>202</v>
      </c>
      <c r="C24" s="7">
        <v>10000</v>
      </c>
      <c r="D24" s="7"/>
      <c r="E24" s="7"/>
      <c r="F24" s="7"/>
      <c r="G24" s="7"/>
      <c r="H24" s="7"/>
      <c r="I24" s="7"/>
      <c r="J24" s="7"/>
      <c r="K24" s="7"/>
      <c r="L24" s="7"/>
      <c r="M24" s="10"/>
      <c r="N24" s="9"/>
      <c r="O24" s="9"/>
      <c r="P24" s="9"/>
      <c r="Q24" s="9"/>
      <c r="R24" s="9"/>
      <c r="S24" s="9"/>
    </row>
    <row r="25" spans="1:19">
      <c r="A25" s="2" t="s">
        <v>227</v>
      </c>
      <c r="B25" s="6" t="s">
        <v>215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0"/>
      <c r="N25" s="9"/>
      <c r="O25" s="9"/>
      <c r="P25" s="9"/>
      <c r="Q25" s="9"/>
      <c r="R25" s="9"/>
      <c r="S25" s="9"/>
    </row>
    <row r="26" spans="1:19">
      <c r="A26" s="2">
        <v>3.2</v>
      </c>
      <c r="B26" s="6" t="s">
        <v>179</v>
      </c>
      <c r="C26" s="7">
        <f t="shared" ref="C26:L26" si="4">SUM(C27:C30)</f>
        <v>488.2</v>
      </c>
      <c r="D26" s="7">
        <f t="shared" si="4"/>
        <v>871.36</v>
      </c>
      <c r="E26" s="7">
        <f t="shared" si="4"/>
        <v>1015</v>
      </c>
      <c r="F26" s="7">
        <f t="shared" si="4"/>
        <v>979.72</v>
      </c>
      <c r="G26" s="7">
        <f t="shared" si="4"/>
        <v>944.44</v>
      </c>
      <c r="H26" s="7">
        <f t="shared" si="4"/>
        <v>909.16</v>
      </c>
      <c r="I26" s="7">
        <f t="shared" si="4"/>
        <v>873.88</v>
      </c>
      <c r="J26" s="7">
        <f t="shared" si="4"/>
        <v>938.6</v>
      </c>
      <c r="K26" s="7">
        <f t="shared" si="4"/>
        <v>900.8</v>
      </c>
      <c r="L26" s="7">
        <f t="shared" si="4"/>
        <v>860.48</v>
      </c>
      <c r="M26" s="10"/>
      <c r="N26" s="9"/>
      <c r="O26" s="9"/>
      <c r="P26" s="9"/>
      <c r="Q26" s="9"/>
      <c r="R26" s="9"/>
      <c r="S26" s="9"/>
    </row>
    <row r="27" spans="1:19">
      <c r="A27" s="2" t="s">
        <v>228</v>
      </c>
      <c r="B27" s="6" t="s">
        <v>146</v>
      </c>
      <c r="C27" s="7">
        <f>还本付息表!D9</f>
        <v>88.2</v>
      </c>
      <c r="D27" s="7">
        <f>还本付息表!E9</f>
        <v>171.36</v>
      </c>
      <c r="E27" s="7">
        <f>还本付息表!F9</f>
        <v>315</v>
      </c>
      <c r="F27" s="7">
        <f>还本付息表!G9</f>
        <v>279.72</v>
      </c>
      <c r="G27" s="7">
        <f>还本付息表!H9</f>
        <v>244.44</v>
      </c>
      <c r="H27" s="7">
        <f>还本付息表!I9</f>
        <v>209.16</v>
      </c>
      <c r="I27" s="7">
        <f>还本付息表!J9</f>
        <v>173.88</v>
      </c>
      <c r="J27" s="7">
        <f>还本付息表!K9</f>
        <v>138.6</v>
      </c>
      <c r="K27" s="7">
        <f>还本付息表!L9</f>
        <v>100.8</v>
      </c>
      <c r="L27" s="7">
        <f>还本付息表!M9</f>
        <v>60.48</v>
      </c>
      <c r="M27" s="10"/>
      <c r="N27" s="9"/>
      <c r="O27" s="9"/>
      <c r="P27" s="9"/>
      <c r="Q27" s="9"/>
      <c r="R27" s="9"/>
      <c r="S27" s="9"/>
    </row>
    <row r="28" spans="1:19">
      <c r="A28" s="2" t="s">
        <v>229</v>
      </c>
      <c r="B28" s="6" t="s">
        <v>230</v>
      </c>
      <c r="C28" s="7">
        <f>还本付息表!E8</f>
        <v>400</v>
      </c>
      <c r="D28" s="7">
        <f>还本付息表!F8</f>
        <v>700</v>
      </c>
      <c r="E28" s="7">
        <f>还本付息表!G8</f>
        <v>700</v>
      </c>
      <c r="F28" s="7">
        <f>还本付息表!H8</f>
        <v>700</v>
      </c>
      <c r="G28" s="7">
        <f>还本付息表!I8</f>
        <v>700</v>
      </c>
      <c r="H28" s="7">
        <f>还本付息表!J8</f>
        <v>700</v>
      </c>
      <c r="I28" s="7">
        <f>还本付息表!K8</f>
        <v>700</v>
      </c>
      <c r="J28" s="7">
        <f>还本付息表!L8</f>
        <v>800</v>
      </c>
      <c r="K28" s="7">
        <f>还本付息表!M8</f>
        <v>800</v>
      </c>
      <c r="L28" s="7">
        <f>还本付息表!N8</f>
        <v>800</v>
      </c>
      <c r="M28" s="10"/>
      <c r="N28" s="9"/>
      <c r="O28" s="9"/>
      <c r="P28" s="9"/>
      <c r="Q28" s="9"/>
      <c r="R28" s="9"/>
      <c r="S28" s="9"/>
    </row>
    <row r="29" spans="1:19">
      <c r="A29" s="2" t="s">
        <v>231</v>
      </c>
      <c r="B29" s="6" t="s">
        <v>232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0"/>
      <c r="N29" s="9"/>
      <c r="O29" s="9"/>
      <c r="P29" s="9"/>
      <c r="Q29" s="9"/>
      <c r="R29" s="9"/>
      <c r="S29" s="9"/>
    </row>
    <row r="30" spans="1:19">
      <c r="A30" s="2" t="s">
        <v>233</v>
      </c>
      <c r="B30" s="6" t="s">
        <v>217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0"/>
      <c r="N30" s="9"/>
      <c r="O30" s="9"/>
      <c r="P30" s="9"/>
      <c r="Q30" s="9"/>
      <c r="R30" s="9"/>
      <c r="S30" s="9"/>
    </row>
    <row r="31" spans="1:19">
      <c r="A31" s="2" t="s">
        <v>74</v>
      </c>
      <c r="B31" s="6" t="s">
        <v>234</v>
      </c>
      <c r="C31" s="7">
        <f t="shared" ref="C31:L31" si="5">C21+C14+C4</f>
        <v>4608.08810502695</v>
      </c>
      <c r="D31" s="7">
        <f t="shared" si="5"/>
        <v>113.495159193791</v>
      </c>
      <c r="E31" s="7">
        <f t="shared" si="5"/>
        <v>-38.6423167634898</v>
      </c>
      <c r="F31" s="7">
        <f t="shared" si="5"/>
        <v>-15.4083963609844</v>
      </c>
      <c r="G31" s="7">
        <f t="shared" si="5"/>
        <v>11.3831541695079</v>
      </c>
      <c r="H31" s="7">
        <f t="shared" si="5"/>
        <v>37.2336207898487</v>
      </c>
      <c r="I31" s="7">
        <f t="shared" si="5"/>
        <v>58.4054189045866</v>
      </c>
      <c r="J31" s="7">
        <f t="shared" si="5"/>
        <v>-17.3076441399988</v>
      </c>
      <c r="K31" s="7">
        <f t="shared" si="5"/>
        <v>8.87684744313901</v>
      </c>
      <c r="L31" s="7">
        <f t="shared" si="5"/>
        <v>36.9103683808612</v>
      </c>
      <c r="M31" s="10"/>
      <c r="N31" s="11"/>
      <c r="O31" s="11"/>
      <c r="P31" s="11"/>
      <c r="Q31" s="11"/>
      <c r="R31" s="11"/>
      <c r="S31" s="11"/>
    </row>
    <row r="32" spans="1:19">
      <c r="A32" s="2" t="s">
        <v>77</v>
      </c>
      <c r="B32" s="6" t="s">
        <v>235</v>
      </c>
      <c r="C32" s="7">
        <f>C31</f>
        <v>4608.08810502695</v>
      </c>
      <c r="D32" s="7">
        <f t="shared" ref="D32:L32" si="6">D31+C32</f>
        <v>4721.58326422075</v>
      </c>
      <c r="E32" s="7">
        <f t="shared" si="6"/>
        <v>4682.94094745726</v>
      </c>
      <c r="F32" s="7">
        <f t="shared" si="6"/>
        <v>4667.53255109627</v>
      </c>
      <c r="G32" s="7">
        <f t="shared" si="6"/>
        <v>4678.91570526578</v>
      </c>
      <c r="H32" s="7">
        <f t="shared" si="6"/>
        <v>4716.14932605563</v>
      </c>
      <c r="I32" s="7">
        <f t="shared" si="6"/>
        <v>4774.55474496022</v>
      </c>
      <c r="J32" s="7">
        <f t="shared" si="6"/>
        <v>4757.24710082022</v>
      </c>
      <c r="K32" s="7">
        <f t="shared" si="6"/>
        <v>4766.12394826336</v>
      </c>
      <c r="L32" s="7">
        <f t="shared" si="6"/>
        <v>4803.03431664422</v>
      </c>
      <c r="M32" s="10"/>
      <c r="N32" s="11"/>
      <c r="O32" s="11"/>
      <c r="P32" s="11"/>
      <c r="Q32" s="11"/>
      <c r="R32" s="11"/>
      <c r="S32" s="11"/>
    </row>
    <row r="33" spans="13:13">
      <c r="M33" s="12"/>
    </row>
  </sheetData>
  <mergeCells count="4">
    <mergeCell ref="A1:M1"/>
    <mergeCell ref="C2:L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总投资</vt:lpstr>
      <vt:lpstr>固定资产折旧</vt:lpstr>
      <vt:lpstr>营业收入及税金表</vt:lpstr>
      <vt:lpstr>总成本费用表</vt:lpstr>
      <vt:lpstr>利润及利润分配表</vt:lpstr>
      <vt:lpstr>项目投资现金流量表</vt:lpstr>
      <vt:lpstr>还本付息表</vt:lpstr>
      <vt:lpstr>项目财务现金流量表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小朋友</cp:lastModifiedBy>
  <dcterms:created xsi:type="dcterms:W3CDTF">2024-09-29T08:57:00Z</dcterms:created>
  <dcterms:modified xsi:type="dcterms:W3CDTF">2025-01-09T08:14:53Z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17C5D83FB9124FD4A80FA6A1DED4841D_12</vt:lpwstr>
  </property>
  <property fmtid="{D5CDD505-2E9C-101B-9397-08002B2CF9AE}" pid="3" name="KSOProductBuildVer">
    <vt:lpwstr>2052-12.1.0.19302</vt:lpwstr>
  </property>
</Properties>
</file>