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368" windowHeight="9420" tabRatio="865" activeTab="3"/>
  </bookViews>
  <sheets>
    <sheet name="总投资" sheetId="1" r:id="rId1"/>
    <sheet name="固定资产折旧" sheetId="2" r:id="rId2"/>
    <sheet name="营业收入及税金表" sheetId="3" r:id="rId3"/>
    <sheet name="总成本费用表" sheetId="4" r:id="rId4"/>
    <sheet name="利润及利润分配表" sheetId="5" r:id="rId5"/>
    <sheet name="项目投资现金流量表" sheetId="6" r:id="rId6"/>
    <sheet name="还本付息表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<sst xmlns="http://schemas.openxmlformats.org/spreadsheetml/2006/main" count="302" uniqueCount="187">
  <si>
    <t>建设投资估算表</t>
  </si>
  <si>
    <t>单位：万元</t>
  </si>
  <si>
    <t>序号</t>
  </si>
  <si>
    <t>工程或费用名称</t>
  </si>
  <si>
    <t>建筑工程费</t>
  </si>
  <si>
    <t>安装工程费</t>
  </si>
  <si>
    <t>设备购置费</t>
  </si>
  <si>
    <t>其他费用</t>
  </si>
  <si>
    <t>合计</t>
  </si>
  <si>
    <t>单位</t>
  </si>
  <si>
    <t>数量</t>
  </si>
  <si>
    <t>综合单价（万元）</t>
  </si>
  <si>
    <t>一</t>
  </si>
  <si>
    <t>工程费用</t>
  </si>
  <si>
    <t>光伏组件</t>
  </si>
  <si>
    <t>　</t>
  </si>
  <si>
    <t>KW</t>
  </si>
  <si>
    <t>640Wp单晶N型</t>
  </si>
  <si>
    <t>块</t>
  </si>
  <si>
    <t>逆变器</t>
  </si>
  <si>
    <t>台</t>
  </si>
  <si>
    <t>交流汇流箱</t>
  </si>
  <si>
    <t>光伏支架及配件</t>
  </si>
  <si>
    <t>km</t>
  </si>
  <si>
    <t>光伏直流电缆</t>
  </si>
  <si>
    <t>MC4连接器</t>
  </si>
  <si>
    <t>套</t>
  </si>
  <si>
    <t>交流电缆</t>
  </si>
  <si>
    <t>干式变压器（箱变)</t>
  </si>
  <si>
    <t>光伏接入柜</t>
  </si>
  <si>
    <t>并网柜</t>
  </si>
  <si>
    <t>站用变电柜</t>
  </si>
  <si>
    <t>10kV动态无功补偿装置</t>
  </si>
  <si>
    <t>高压电缆</t>
  </si>
  <si>
    <t>土建基础</t>
  </si>
  <si>
    <t>项</t>
  </si>
  <si>
    <t>组件、电气安装、辅材等</t>
  </si>
  <si>
    <t>电池储能集装箱</t>
  </si>
  <si>
    <t>KWH</t>
  </si>
  <si>
    <t>电池系统 2000KWH</t>
  </si>
  <si>
    <t>个</t>
  </si>
  <si>
    <t>储能变流器</t>
  </si>
  <si>
    <t>温控系统</t>
  </si>
  <si>
    <t>消防系统</t>
  </si>
  <si>
    <t>储能EMS</t>
  </si>
  <si>
    <t>储能箱基础及连接电缆</t>
  </si>
  <si>
    <t>超级芦竹种植</t>
  </si>
  <si>
    <t>亩</t>
  </si>
  <si>
    <t>配套工程</t>
  </si>
  <si>
    <t>㎡</t>
  </si>
  <si>
    <t>升压/降压变压器</t>
  </si>
  <si>
    <t>中压输电电缆</t>
  </si>
  <si>
    <t>m</t>
  </si>
  <si>
    <t>二</t>
  </si>
  <si>
    <t>工程建设其他费用</t>
  </si>
  <si>
    <t>建设管理费</t>
  </si>
  <si>
    <t>建设工程监理费</t>
  </si>
  <si>
    <t>建设项目前期工作咨询费</t>
  </si>
  <si>
    <t>工程勘察费</t>
  </si>
  <si>
    <t>工程设计费</t>
  </si>
  <si>
    <t>环境影响咨询服务费</t>
  </si>
  <si>
    <t>场地准备费及临时设施费</t>
  </si>
  <si>
    <t>工程保险费</t>
  </si>
  <si>
    <t>招标代理服务费</t>
  </si>
  <si>
    <t>造价咨询费</t>
  </si>
  <si>
    <t>三</t>
  </si>
  <si>
    <t>预备费</t>
  </si>
  <si>
    <t>基本预备费</t>
  </si>
  <si>
    <r>
      <rPr>
        <sz val="7"/>
        <rFont val="宋体"/>
        <charset val="134"/>
      </rPr>
      <t>（一</t>
    </r>
    <r>
      <rPr>
        <sz val="7"/>
        <rFont val="Times New Roman"/>
        <charset val="134"/>
      </rPr>
      <t>+</t>
    </r>
    <r>
      <rPr>
        <sz val="7"/>
        <rFont val="宋体"/>
        <charset val="134"/>
      </rPr>
      <t>二）</t>
    </r>
    <r>
      <rPr>
        <sz val="7"/>
        <rFont val="Times New Roman"/>
        <charset val="134"/>
      </rPr>
      <t>*5%</t>
    </r>
  </si>
  <si>
    <t>涨价预备费</t>
  </si>
  <si>
    <t>五</t>
  </si>
  <si>
    <t>建设投资合计</t>
  </si>
  <si>
    <t>比例（%）</t>
  </si>
  <si>
    <t>六</t>
  </si>
  <si>
    <t>建设期利息</t>
  </si>
  <si>
    <t>七</t>
  </si>
  <si>
    <t>固定资产投资</t>
  </si>
  <si>
    <t>八</t>
  </si>
  <si>
    <t>项目总投资</t>
  </si>
  <si>
    <t>固定资产折旧表</t>
  </si>
  <si>
    <t>项目</t>
  </si>
  <si>
    <t>残值率</t>
  </si>
  <si>
    <t>折旧年限</t>
  </si>
  <si>
    <t>光伏、储能及设备折旧</t>
  </si>
  <si>
    <t>原值</t>
  </si>
  <si>
    <t>当期折旧额</t>
  </si>
  <si>
    <t>净值</t>
  </si>
  <si>
    <t>折旧费</t>
  </si>
  <si>
    <t>无形资产摊销</t>
  </si>
  <si>
    <t>营业收入及税金表</t>
  </si>
  <si>
    <t>（一）</t>
  </si>
  <si>
    <t>营业收入</t>
  </si>
  <si>
    <t>光伏收入</t>
  </si>
  <si>
    <t>装机容量</t>
  </si>
  <si>
    <t>衰减值</t>
  </si>
  <si>
    <t>1KW 光伏装机容量平均日发电量</t>
  </si>
  <si>
    <t>年发电天数</t>
  </si>
  <si>
    <t>工商业用电平均电价</t>
  </si>
  <si>
    <t>储能收入</t>
  </si>
  <si>
    <t>储能销售电价</t>
  </si>
  <si>
    <t>360天一充一放扣能耗（万kwh/n)</t>
  </si>
  <si>
    <t>超级芦竹收入</t>
  </si>
  <si>
    <t>面积</t>
  </si>
  <si>
    <t>每亩价格</t>
  </si>
  <si>
    <t>（二）</t>
  </si>
  <si>
    <t>营业税金与附加</t>
  </si>
  <si>
    <t>营业税</t>
  </si>
  <si>
    <t>消费税</t>
  </si>
  <si>
    <t>城市建设维护税</t>
  </si>
  <si>
    <t>教育费附加</t>
  </si>
  <si>
    <t>（三）</t>
  </si>
  <si>
    <t>增值税</t>
  </si>
  <si>
    <t>销项税额</t>
  </si>
  <si>
    <t>进项税额</t>
  </si>
  <si>
    <t>总成本费用表</t>
  </si>
  <si>
    <t>外购燃料及动力费</t>
  </si>
  <si>
    <t>工资及福利费</t>
  </si>
  <si>
    <t>保洁维护费</t>
  </si>
  <si>
    <t>管理费及其他</t>
  </si>
  <si>
    <t>经营成本（1+2+3+4+5+6）</t>
  </si>
  <si>
    <t>摊销费</t>
  </si>
  <si>
    <t>利息支出</t>
  </si>
  <si>
    <t>总成本费用合计（6+7+8+9）</t>
  </si>
  <si>
    <t>其中：固定成本</t>
  </si>
  <si>
    <t>可变成本</t>
  </si>
  <si>
    <t>利润及利润分配表</t>
  </si>
  <si>
    <t>项	目</t>
  </si>
  <si>
    <t>营业税金及附加</t>
  </si>
  <si>
    <t>总成本费用</t>
  </si>
  <si>
    <t>补贴收入</t>
  </si>
  <si>
    <t>利润总额（1-2-3+4）</t>
  </si>
  <si>
    <t>弥补以前年度亏损</t>
  </si>
  <si>
    <t>应纳税所得额（5-6）</t>
  </si>
  <si>
    <t>所得税</t>
  </si>
  <si>
    <t>净利润（5-8）</t>
  </si>
  <si>
    <t>期初未分配利润</t>
  </si>
  <si>
    <t>可供分配的利润（9+10）</t>
  </si>
  <si>
    <t>提取法定盈余公积金</t>
  </si>
  <si>
    <t>可供投资者分配的利润（11-12）</t>
  </si>
  <si>
    <t>应付优先股股利</t>
  </si>
  <si>
    <t>提取任意盈余公积金</t>
  </si>
  <si>
    <t>应付普通股股利（13-14-15）</t>
  </si>
  <si>
    <t>各投资方利润分配</t>
  </si>
  <si>
    <t>其中：</t>
  </si>
  <si>
    <t>未分配利润（13-14-15-17）</t>
  </si>
  <si>
    <t>息税前利润（利润总额+利息支出）</t>
  </si>
  <si>
    <t>息税折旧摊销前利润（息税前利润+折旧+摊销）</t>
  </si>
  <si>
    <t>项目投资现金流量表</t>
  </si>
  <si>
    <r>
      <rPr>
        <b/>
        <sz val="8"/>
        <color rgb="FF000000"/>
        <rFont val="宋体"/>
        <charset val="134"/>
      </rPr>
      <t>项</t>
    </r>
    <r>
      <rPr>
        <b/>
        <sz val="8"/>
        <color rgb="FF000000"/>
        <rFont val="宋体"/>
        <charset val="134"/>
      </rPr>
      <t>目</t>
    </r>
  </si>
  <si>
    <t>计算期</t>
  </si>
  <si>
    <t>现金流入</t>
  </si>
  <si>
    <t>留抵退税</t>
  </si>
  <si>
    <t>回收固定资产余值</t>
  </si>
  <si>
    <t>回收流动资金</t>
  </si>
  <si>
    <t>现金流出</t>
  </si>
  <si>
    <t>建设投资</t>
  </si>
  <si>
    <t>流动资金</t>
  </si>
  <si>
    <t>经营成本</t>
  </si>
  <si>
    <t>维持运营投资</t>
  </si>
  <si>
    <t>所得税前净现金流量（1-2）</t>
  </si>
  <si>
    <t>累计所得税前净现金流量</t>
  </si>
  <si>
    <t>所得税前净现金流量现值</t>
  </si>
  <si>
    <t>累计所得税前净现金流量现值</t>
  </si>
  <si>
    <t>调整所得税</t>
  </si>
  <si>
    <t>所得税后净现金流量（3-5）</t>
  </si>
  <si>
    <t>累计所得税后净现金流量</t>
  </si>
  <si>
    <t>所得税后净现金流量现值</t>
  </si>
  <si>
    <t>累计所得税后净现金流量现值</t>
  </si>
  <si>
    <t>计算指标：</t>
  </si>
  <si>
    <r>
      <rPr>
        <sz val="8"/>
        <rFont val="宋体"/>
        <charset val="134"/>
      </rPr>
      <t>项目投资财务内部收益率（</t>
    </r>
    <r>
      <rPr>
        <sz val="8"/>
        <color rgb="FF000000"/>
        <rFont val="Times New Roman"/>
        <charset val="134"/>
      </rPr>
      <t>%</t>
    </r>
    <r>
      <rPr>
        <sz val="8"/>
        <color rgb="FF000000"/>
        <rFont val="宋体"/>
        <charset val="134"/>
      </rPr>
      <t>）（所得税前）</t>
    </r>
  </si>
  <si>
    <r>
      <rPr>
        <sz val="8"/>
        <color rgb="FF000000"/>
        <rFont val="宋体"/>
        <charset val="134"/>
      </rPr>
      <t>项目投资财务内部收益率（</t>
    </r>
    <r>
      <rPr>
        <sz val="8"/>
        <color rgb="FF000000"/>
        <rFont val="Times New Roman"/>
        <charset val="134"/>
      </rPr>
      <t>%</t>
    </r>
    <r>
      <rPr>
        <sz val="8"/>
        <color rgb="FF000000"/>
        <rFont val="宋体"/>
        <charset val="134"/>
      </rPr>
      <t>）（所得税后）</t>
    </r>
  </si>
  <si>
    <r>
      <rPr>
        <sz val="8"/>
        <rFont val="宋体"/>
        <charset val="134"/>
      </rPr>
      <t>项目投资财务净现值（所得税前）（</t>
    </r>
    <r>
      <rPr>
        <sz val="8"/>
        <color rgb="FF000000"/>
        <rFont val="Times New Roman"/>
        <charset val="134"/>
      </rPr>
      <t>ic=</t>
    </r>
    <r>
      <rPr>
        <sz val="8"/>
        <color rgb="FF000000"/>
        <rFont val="Arial"/>
        <charset val="134"/>
      </rPr>
      <t>4.2</t>
    </r>
    <r>
      <rPr>
        <sz val="8"/>
        <color rgb="FF000000"/>
        <rFont val="Times New Roman"/>
        <charset val="134"/>
      </rPr>
      <t>%</t>
    </r>
    <r>
      <rPr>
        <sz val="8"/>
        <color rgb="FF000000"/>
        <rFont val="宋体"/>
        <charset val="134"/>
      </rPr>
      <t>）</t>
    </r>
  </si>
  <si>
    <r>
      <rPr>
        <sz val="8"/>
        <color rgb="FF000000"/>
        <rFont val="宋体"/>
        <charset val="134"/>
      </rPr>
      <t>项目投资财务净现值（所得税后）（</t>
    </r>
    <r>
      <rPr>
        <sz val="8"/>
        <color rgb="FF000000"/>
        <rFont val="Times New Roman"/>
        <charset val="134"/>
      </rPr>
      <t>ic=</t>
    </r>
    <r>
      <rPr>
        <sz val="8"/>
        <color rgb="FF000000"/>
        <rFont val="Times New Roman"/>
        <charset val="134"/>
      </rPr>
      <t>4.2%</t>
    </r>
    <r>
      <rPr>
        <sz val="8"/>
        <color rgb="FF000000"/>
        <rFont val="宋体"/>
        <charset val="134"/>
      </rPr>
      <t>）</t>
    </r>
  </si>
  <si>
    <t>项目投资回收期（年）（所得税前）</t>
  </si>
  <si>
    <t>项目投资回收期（年）（所得税后）</t>
  </si>
  <si>
    <t>还本付息表</t>
  </si>
  <si>
    <t>1年建设期</t>
  </si>
  <si>
    <t>建设投资借款</t>
  </si>
  <si>
    <t>期初借款余额</t>
  </si>
  <si>
    <t>当期还本付息</t>
  </si>
  <si>
    <t>其中：还本</t>
  </si>
  <si>
    <t>付息</t>
  </si>
  <si>
    <t>期末借款余额</t>
  </si>
  <si>
    <t>可用于还本付息的资金</t>
  </si>
  <si>
    <t>指标</t>
  </si>
  <si>
    <t>利息备付率</t>
  </si>
  <si>
    <t>偿债备付率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</si>
</sst>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  <numFmt numFmtId="179" formatCode="0.000_ "/>
    <numFmt numFmtId="180" formatCode="0.0000_ "/>
  </numFmts>
  <fonts count="55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4"/>
      <color rgb="FF000000"/>
      <name val="宋体"/>
      <charset val="134"/>
    </font>
    <font>
      <b/>
      <sz val="14"/>
      <color rgb="FFFF0000"/>
      <name val="宋体"/>
      <charset val="134"/>
    </font>
    <font>
      <b/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name val="宋体"/>
      <charset val="134"/>
    </font>
    <font>
      <sz val="8"/>
      <color rgb="FF000000"/>
      <name val="宋体"/>
      <charset val="134"/>
    </font>
    <font>
      <sz val="8"/>
      <name val="宋体"/>
      <charset val="134"/>
    </font>
    <font>
      <sz val="8"/>
      <color rgb="FFFF0000"/>
      <name val="宋体"/>
      <charset val="134"/>
    </font>
    <font>
      <b/>
      <sz val="8"/>
      <color rgb="FF000000"/>
      <name val="Times New Roman"/>
      <charset val="134"/>
    </font>
    <font>
      <sz val="8"/>
      <color rgb="FF000000"/>
      <name val="Times New Roman"/>
      <charset val="134"/>
    </font>
    <font>
      <sz val="8"/>
      <name val="Times New Roman"/>
      <charset val="134"/>
    </font>
    <font>
      <sz val="9"/>
      <color rgb="FF000000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b/>
      <sz val="8"/>
      <color rgb="FF000000"/>
      <name val="Arial"/>
      <charset val="134"/>
    </font>
    <font>
      <b/>
      <sz val="8"/>
      <name val="Arial"/>
      <charset val="134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sz val="8"/>
      <color rgb="FF000000"/>
      <name val="宋体"/>
      <charset val="134"/>
      <scheme val="minor"/>
    </font>
    <font>
      <sz val="8"/>
      <name val="Arial"/>
      <charset val="134"/>
    </font>
    <font>
      <sz val="8"/>
      <color rgb="FF000000"/>
      <name val="Arial"/>
      <charset val="134"/>
    </font>
    <font>
      <b/>
      <sz val="16"/>
      <name val="黑体"/>
      <charset val="134"/>
    </font>
    <font>
      <b/>
      <sz val="16"/>
      <color rgb="FFFF0000"/>
      <name val="黑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11"/>
      <color rgb="FFFF0000"/>
      <name val="宋体"/>
      <charset val="134"/>
    </font>
    <font>
      <b/>
      <sz val="8"/>
      <name val="Times New Roman"/>
      <charset val="134"/>
    </font>
    <font>
      <b/>
      <sz val="7"/>
      <name val="Times New Roman"/>
      <charset val="134"/>
    </font>
    <font>
      <b/>
      <sz val="8"/>
      <color rgb="FFFF0000"/>
      <name val="宋体"/>
      <charset val="134"/>
    </font>
    <font>
      <sz val="7"/>
      <name val="宋体"/>
      <charset val="134"/>
    </font>
    <font>
      <sz val="7"/>
      <name val="Times New Roman"/>
      <charset val="134"/>
    </font>
    <font>
      <sz val="8"/>
      <color rgb="FFFF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4" borderId="10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5" borderId="13" applyNumberFormat="0" applyAlignment="0" applyProtection="0">
      <alignment vertical="center"/>
    </xf>
    <xf numFmtId="0" fontId="45" fillId="6" borderId="14" applyNumberFormat="0" applyAlignment="0" applyProtection="0">
      <alignment vertical="center"/>
    </xf>
    <xf numFmtId="0" fontId="46" fillId="6" borderId="13" applyNumberFormat="0" applyAlignment="0" applyProtection="0">
      <alignment vertical="center"/>
    </xf>
    <xf numFmtId="0" fontId="47" fillId="7" borderId="15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</cellStyleXfs>
  <cellXfs count="146">
    <xf numFmtId="0" fontId="0" fillId="0" borderId="0" xfId="0" applyFont="1">
      <alignment vertical="center"/>
    </xf>
    <xf numFmtId="176" fontId="1" fillId="0" borderId="0" xfId="0" applyNumberFormat="1" applyFont="1" applyFill="1">
      <alignment vertical="center"/>
    </xf>
    <xf numFmtId="176" fontId="2" fillId="0" borderId="0" xfId="0" applyNumberFormat="1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top" wrapText="1"/>
    </xf>
    <xf numFmtId="176" fontId="6" fillId="0" borderId="1" xfId="0" applyNumberFormat="1" applyFont="1" applyFill="1" applyBorder="1" applyAlignment="1">
      <alignment horizontal="left" vertical="top" wrapText="1"/>
    </xf>
    <xf numFmtId="176" fontId="7" fillId="0" borderId="1" xfId="0" applyNumberFormat="1" applyFont="1" applyFill="1" applyBorder="1" applyAlignment="1">
      <alignment horizontal="center" vertical="top" wrapText="1"/>
    </xf>
    <xf numFmtId="177" fontId="5" fillId="0" borderId="1" xfId="0" applyNumberFormat="1" applyFont="1" applyFill="1" applyBorder="1" applyAlignment="1">
      <alignment horizontal="center" vertical="top" wrapText="1"/>
    </xf>
    <xf numFmtId="177" fontId="7" fillId="0" borderId="1" xfId="0" applyNumberFormat="1" applyFont="1" applyFill="1" applyBorder="1" applyAlignment="1">
      <alignment horizontal="center" vertical="top" wrapText="1"/>
    </xf>
    <xf numFmtId="177" fontId="8" fillId="0" borderId="1" xfId="0" applyNumberFormat="1" applyFont="1" applyFill="1" applyBorder="1" applyAlignment="1">
      <alignment horizontal="left" vertical="top" wrapText="1"/>
    </xf>
    <xf numFmtId="176" fontId="8" fillId="0" borderId="1" xfId="0" applyNumberFormat="1" applyFont="1" applyFill="1" applyBorder="1" applyAlignment="1">
      <alignment horizontal="center" vertical="top" wrapText="1"/>
    </xf>
    <xf numFmtId="176" fontId="8" fillId="0" borderId="1" xfId="0" applyNumberFormat="1" applyFont="1" applyFill="1" applyBorder="1" applyAlignment="1">
      <alignment horizontal="left" vertical="top" wrapText="1"/>
    </xf>
    <xf numFmtId="176" fontId="9" fillId="0" borderId="1" xfId="0" applyNumberFormat="1" applyFont="1" applyFill="1" applyBorder="1" applyAlignment="1">
      <alignment horizontal="center" vertical="top" wrapText="1"/>
    </xf>
    <xf numFmtId="178" fontId="8" fillId="0" borderId="1" xfId="0" applyNumberFormat="1" applyFont="1" applyFill="1" applyBorder="1" applyAlignment="1">
      <alignment horizontal="left" vertical="top" wrapText="1"/>
    </xf>
    <xf numFmtId="176" fontId="8" fillId="0" borderId="1" xfId="0" applyNumberFormat="1" applyFont="1" applyFill="1" applyBorder="1" applyAlignment="1">
      <alignment horizontal="justify" vertical="top" wrapText="1"/>
    </xf>
    <xf numFmtId="176" fontId="8" fillId="0" borderId="1" xfId="0" applyNumberFormat="1" applyFont="1" applyFill="1" applyBorder="1" applyAlignment="1">
      <alignment horizontal="left" vertical="center" wrapText="1"/>
    </xf>
    <xf numFmtId="176" fontId="10" fillId="0" borderId="0" xfId="0" applyNumberFormat="1" applyFont="1" applyFill="1">
      <alignment vertical="center"/>
    </xf>
    <xf numFmtId="0" fontId="8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176" fontId="8" fillId="0" borderId="1" xfId="0" applyNumberFormat="1" applyFont="1" applyFill="1" applyBorder="1">
      <alignment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176" fontId="9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left" vertical="center"/>
    </xf>
    <xf numFmtId="10" fontId="8" fillId="0" borderId="0" xfId="0" applyNumberFormat="1" applyFont="1" applyFill="1">
      <alignment vertical="center"/>
    </xf>
    <xf numFmtId="176" fontId="8" fillId="0" borderId="0" xfId="0" applyNumberFormat="1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left" vertical="top" wrapText="1"/>
    </xf>
    <xf numFmtId="176" fontId="12" fillId="0" borderId="1" xfId="0" applyNumberFormat="1" applyFont="1" applyFill="1" applyBorder="1" applyAlignment="1">
      <alignment horizontal="center" vertical="top" wrapText="1"/>
    </xf>
    <xf numFmtId="176" fontId="12" fillId="0" borderId="3" xfId="0" applyNumberFormat="1" applyFont="1" applyFill="1" applyBorder="1" applyAlignment="1">
      <alignment horizontal="center" vertical="top" wrapText="1"/>
    </xf>
    <xf numFmtId="176" fontId="13" fillId="0" borderId="1" xfId="0" applyNumberFormat="1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top" wrapText="1"/>
    </xf>
    <xf numFmtId="0" fontId="15" fillId="0" borderId="0" xfId="0" applyFont="1" applyFill="1">
      <alignment vertical="center"/>
    </xf>
    <xf numFmtId="10" fontId="0" fillId="0" borderId="0" xfId="0" applyNumberFormat="1" applyFont="1" applyFill="1">
      <alignment vertical="center"/>
    </xf>
    <xf numFmtId="177" fontId="0" fillId="0" borderId="0" xfId="0" applyNumberFormat="1" applyFont="1" applyFill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6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176" fontId="11" fillId="0" borderId="6" xfId="0" applyNumberFormat="1" applyFont="1" applyFill="1" applyBorder="1" applyAlignment="1">
      <alignment horizontal="center" vertical="top" wrapText="1"/>
    </xf>
    <xf numFmtId="176" fontId="5" fillId="0" borderId="1" xfId="0" applyNumberFormat="1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176" fontId="19" fillId="0" borderId="1" xfId="0" applyNumberFormat="1" applyFont="1" applyFill="1" applyBorder="1" applyAlignment="1">
      <alignment horizontal="center" vertical="top" wrapText="1"/>
    </xf>
    <xf numFmtId="176" fontId="11" fillId="0" borderId="1" xfId="0" applyNumberFormat="1" applyFont="1" applyFill="1" applyBorder="1" applyAlignment="1">
      <alignment horizontal="center" vertical="top" wrapText="1"/>
    </xf>
    <xf numFmtId="176" fontId="20" fillId="0" borderId="1" xfId="0" applyNumberFormat="1" applyFont="1" applyFill="1" applyBorder="1" applyAlignment="1">
      <alignment horizontal="center" vertical="top" wrapText="1"/>
    </xf>
    <xf numFmtId="10" fontId="20" fillId="0" borderId="1" xfId="0" applyNumberFormat="1" applyFont="1" applyFill="1" applyBorder="1" applyAlignment="1">
      <alignment horizontal="center" vertical="top" wrapText="1"/>
    </xf>
    <xf numFmtId="10" fontId="12" fillId="0" borderId="1" xfId="0" applyNumberFormat="1" applyFont="1" applyFill="1" applyBorder="1" applyAlignment="1">
      <alignment horizontal="center" vertical="top" wrapText="1"/>
    </xf>
    <xf numFmtId="10" fontId="8" fillId="0" borderId="1" xfId="0" applyNumberFormat="1" applyFont="1" applyFill="1" applyBorder="1" applyAlignment="1">
      <alignment horizontal="center" vertical="top" wrapText="1"/>
    </xf>
    <xf numFmtId="176" fontId="21" fillId="0" borderId="1" xfId="0" applyNumberFormat="1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 vertical="top" wrapText="1"/>
    </xf>
    <xf numFmtId="177" fontId="8" fillId="0" borderId="1" xfId="0" applyNumberFormat="1" applyFont="1" applyFill="1" applyBorder="1" applyAlignment="1">
      <alignment horizontal="center" vertical="top" wrapText="1"/>
    </xf>
    <xf numFmtId="177" fontId="12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76" fontId="5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76" fontId="8" fillId="0" borderId="1" xfId="0" applyNumberFormat="1" applyFont="1" applyBorder="1" applyAlignment="1">
      <alignment horizontal="center" vertical="top" wrapText="1"/>
    </xf>
    <xf numFmtId="0" fontId="23" fillId="0" borderId="1" xfId="0" applyFont="1" applyFill="1" applyBorder="1" applyAlignment="1">
      <alignment horizontal="center" vertical="top" wrapText="1"/>
    </xf>
    <xf numFmtId="176" fontId="9" fillId="0" borderId="1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top" wrapText="1"/>
    </xf>
    <xf numFmtId="176" fontId="12" fillId="0" borderId="1" xfId="0" applyNumberFormat="1" applyFont="1" applyFill="1" applyBorder="1" applyAlignment="1">
      <alignment horizontal="left" vertical="top" wrapText="1"/>
    </xf>
    <xf numFmtId="176" fontId="0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24" fillId="0" borderId="0" xfId="0" applyFont="1" applyFill="1" applyAlignment="1">
      <alignment horizontal="center" vertical="top" wrapText="1"/>
    </xf>
    <xf numFmtId="0" fontId="25" fillId="0" borderId="0" xfId="0" applyFont="1" applyFill="1" applyAlignment="1">
      <alignment horizontal="center" vertical="top" wrapText="1"/>
    </xf>
    <xf numFmtId="176" fontId="24" fillId="0" borderId="0" xfId="0" applyNumberFormat="1" applyFont="1" applyFill="1" applyAlignment="1">
      <alignment horizontal="center" vertical="top" wrapText="1"/>
    </xf>
    <xf numFmtId="0" fontId="26" fillId="0" borderId="0" xfId="0" applyFont="1" applyFill="1" applyAlignment="1">
      <alignment horizontal="right" vertical="top" wrapText="1"/>
    </xf>
    <xf numFmtId="0" fontId="27" fillId="0" borderId="0" xfId="0" applyFont="1" applyFill="1" applyAlignment="1">
      <alignment horizontal="right" vertical="top" wrapText="1"/>
    </xf>
    <xf numFmtId="176" fontId="26" fillId="0" borderId="0" xfId="0" applyNumberFormat="1" applyFont="1" applyFill="1" applyAlignment="1">
      <alignment horizontal="right" vertical="top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top" wrapText="1"/>
    </xf>
    <xf numFmtId="176" fontId="29" fillId="0" borderId="1" xfId="0" applyNumberFormat="1" applyFont="1" applyFill="1" applyBorder="1" applyAlignment="1">
      <alignment horizontal="center" vertical="top" wrapText="1"/>
    </xf>
    <xf numFmtId="10" fontId="30" fillId="0" borderId="6" xfId="0" applyNumberFormat="1" applyFont="1" applyFill="1" applyBorder="1" applyAlignment="1">
      <alignment horizontal="center" vertical="top" wrapText="1"/>
    </xf>
    <xf numFmtId="10" fontId="30" fillId="0" borderId="7" xfId="0" applyNumberFormat="1" applyFont="1" applyFill="1" applyBorder="1" applyAlignment="1">
      <alignment horizontal="center" vertical="top" wrapText="1"/>
    </xf>
    <xf numFmtId="176" fontId="30" fillId="0" borderId="8" xfId="0" applyNumberFormat="1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/>
    </xf>
    <xf numFmtId="0" fontId="28" fillId="0" borderId="0" xfId="0" applyFont="1" applyFill="1">
      <alignment vertical="center"/>
    </xf>
    <xf numFmtId="0" fontId="20" fillId="0" borderId="1" xfId="0" applyFont="1" applyFill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176" fontId="20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179" fontId="8" fillId="2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center"/>
    </xf>
    <xf numFmtId="180" fontId="5" fillId="2" borderId="1" xfId="0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0" fontId="8" fillId="3" borderId="9" xfId="0" applyFont="1" applyFill="1" applyBorder="1" applyAlignment="1">
      <alignment horizontal="center" vertical="top"/>
    </xf>
    <xf numFmtId="176" fontId="8" fillId="2" borderId="1" xfId="0" applyNumberFormat="1" applyFont="1" applyFill="1" applyBorder="1" applyAlignment="1">
      <alignment horizontal="center" vertical="top"/>
    </xf>
    <xf numFmtId="0" fontId="19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9" fontId="7" fillId="0" borderId="0" xfId="0" applyNumberFormat="1" applyFont="1" applyFill="1">
      <alignment vertical="center"/>
    </xf>
    <xf numFmtId="179" fontId="31" fillId="0" borderId="0" xfId="0" applyNumberFormat="1" applyFont="1" applyFill="1">
      <alignment vertical="center"/>
    </xf>
    <xf numFmtId="176" fontId="32" fillId="0" borderId="6" xfId="0" applyNumberFormat="1" applyFont="1" applyFill="1" applyBorder="1" applyAlignment="1">
      <alignment horizontal="center" vertical="top" wrapText="1"/>
    </xf>
    <xf numFmtId="176" fontId="33" fillId="0" borderId="7" xfId="0" applyNumberFormat="1" applyFont="1" applyFill="1" applyBorder="1" applyAlignment="1">
      <alignment horizontal="center" vertical="top" wrapText="1"/>
    </xf>
    <xf numFmtId="176" fontId="33" fillId="0" borderId="8" xfId="0" applyNumberFormat="1" applyFont="1" applyFill="1" applyBorder="1" applyAlignment="1">
      <alignment horizontal="center" vertical="top" wrapText="1"/>
    </xf>
    <xf numFmtId="179" fontId="9" fillId="0" borderId="0" xfId="0" applyNumberFormat="1" applyFont="1" applyFill="1">
      <alignment vertical="center"/>
    </xf>
    <xf numFmtId="179" fontId="10" fillId="0" borderId="0" xfId="0" applyNumberFormat="1" applyFont="1" applyFill="1">
      <alignment vertical="center"/>
    </xf>
    <xf numFmtId="176" fontId="32" fillId="0" borderId="6" xfId="0" applyNumberFormat="1" applyFont="1" applyFill="1" applyBorder="1" applyAlignment="1">
      <alignment horizontal="center" vertical="center" wrapText="1"/>
    </xf>
    <xf numFmtId="176" fontId="32" fillId="0" borderId="7" xfId="0" applyNumberFormat="1" applyFont="1" applyFill="1" applyBorder="1" applyAlignment="1">
      <alignment horizontal="center" vertical="center" wrapText="1"/>
    </xf>
    <xf numFmtId="176" fontId="32" fillId="0" borderId="8" xfId="0" applyNumberFormat="1" applyFont="1" applyFill="1" applyBorder="1" applyAlignment="1">
      <alignment horizontal="left" vertical="center" wrapText="1"/>
    </xf>
    <xf numFmtId="176" fontId="32" fillId="0" borderId="8" xfId="0" applyNumberFormat="1" applyFont="1" applyFill="1" applyBorder="1" applyAlignment="1">
      <alignment horizontal="center" vertical="center" wrapText="1"/>
    </xf>
    <xf numFmtId="176" fontId="32" fillId="0" borderId="7" xfId="0" applyNumberFormat="1" applyFont="1" applyFill="1" applyBorder="1" applyAlignment="1">
      <alignment horizontal="center" vertical="top" wrapText="1"/>
    </xf>
    <xf numFmtId="176" fontId="32" fillId="0" borderId="8" xfId="0" applyNumberFormat="1" applyFont="1" applyFill="1" applyBorder="1" applyAlignment="1">
      <alignment horizontal="left" vertical="top" wrapText="1"/>
    </xf>
    <xf numFmtId="176" fontId="32" fillId="0" borderId="8" xfId="0" applyNumberFormat="1" applyFont="1" applyFill="1" applyBorder="1" applyAlignment="1">
      <alignment horizontal="center" vertical="top" wrapText="1"/>
    </xf>
    <xf numFmtId="176" fontId="15" fillId="0" borderId="0" xfId="0" applyNumberFormat="1" applyFont="1" applyFill="1">
      <alignment vertical="center"/>
    </xf>
    <xf numFmtId="9" fontId="13" fillId="0" borderId="1" xfId="0" applyNumberFormat="1" applyFont="1" applyFill="1" applyBorder="1" applyAlignment="1">
      <alignment horizontal="center" vertical="top" wrapText="1"/>
    </xf>
    <xf numFmtId="176" fontId="33" fillId="0" borderId="6" xfId="0" applyNumberFormat="1" applyFont="1" applyFill="1" applyBorder="1" applyAlignment="1">
      <alignment horizontal="center" vertical="top" wrapText="1"/>
    </xf>
    <xf numFmtId="176" fontId="34" fillId="0" borderId="0" xfId="0" applyNumberFormat="1" applyFont="1" applyFill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378" dbFileVersion="0" changeLogVersion="0">
    <open main="60" threadCnt="1"/>
    <sheetInfos>
      <sheetInfo cellCmpFml="74" sheetStid="1">
        <open main="1" threadCnt="1"/>
      </sheetInfo>
      <sheetInfo cellCmpFml="11" sheetStid="2">
        <open threadCnt="1"/>
      </sheetInfo>
      <sheetInfo cellCmpFml="63" sheetStid="3">
        <open main="1" threadCnt="1"/>
      </sheetInfo>
      <sheetInfo cellCmpFml="44" sheetStid="4">
        <open main="1" threadCnt="1"/>
      </sheetInfo>
      <sheetInfo cellCmpFml="70" sheetStid="5">
        <open main="1" threadCnt="1"/>
      </sheetInfo>
      <sheetInfo cellCmpFml="83" sheetStid="6">
        <open main="1" threadCnt="1"/>
      </sheetInfo>
      <sheetInfo cellCmpFml="33" sheetStid="7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www.wps.cn/officeDocument/2023/relationships/woinfos" Target="woinfos.xml"/><Relationship Id="rId12" Type="http://schemas.openxmlformats.org/officeDocument/2006/relationships/styles" Target="styles.xml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4"/>
  <sheetViews>
    <sheetView workbookViewId="0">
      <pane xSplit="1" ySplit="3" topLeftCell="D15" activePane="bottomRight" state="frozen"/>
      <selection/>
      <selection pane="topRight"/>
      <selection pane="bottomLeft"/>
      <selection pane="bottomRight" activeCell="D15" sqref="D15"/>
    </sheetView>
  </sheetViews>
  <sheetFormatPr defaultColWidth="8.63333333333333" defaultRowHeight="13.5"/>
  <cols>
    <col min="1" max="1" width="4.90833333333333" style="40" customWidth="1"/>
    <col min="2" max="2" width="18.75" style="40" customWidth="1"/>
    <col min="3" max="3" width="10.5" style="40" customWidth="1"/>
    <col min="4" max="6" width="9.25" style="40" customWidth="1"/>
    <col min="7" max="7" width="10.5" style="40" customWidth="1"/>
    <col min="8" max="8" width="5.5" style="83" customWidth="1"/>
    <col min="9" max="9" width="9.86666666666667" style="40" customWidth="1"/>
    <col min="10" max="10" width="10.3666666666667" style="89" customWidth="1"/>
    <col min="11" max="11" width="10.925" style="57" customWidth="1"/>
    <col min="12" max="13" width="10.925" style="90" customWidth="1"/>
    <col min="14" max="14" width="10.275" style="57" customWidth="1"/>
    <col min="15" max="15" width="8.63333333333333" style="57"/>
    <col min="16" max="16" width="14.3333333333333" style="57"/>
    <col min="17" max="26" width="8.63333333333333" style="57"/>
  </cols>
  <sheetData>
    <row r="1" ht="23.25" customHeight="1" spans="1:13">
      <c r="A1" s="91" t="s">
        <v>0</v>
      </c>
      <c r="B1" s="91"/>
      <c r="C1" s="91"/>
      <c r="D1" s="91"/>
      <c r="E1" s="91"/>
      <c r="F1" s="91"/>
      <c r="G1" s="91"/>
      <c r="H1" s="92"/>
      <c r="I1" s="91"/>
      <c r="J1" s="93"/>
    </row>
    <row r="2" ht="20.1" customHeight="1" spans="1:13">
      <c r="A2" s="94" t="s">
        <v>1</v>
      </c>
      <c r="B2" s="94"/>
      <c r="C2" s="94"/>
      <c r="D2" s="94"/>
      <c r="E2" s="94"/>
      <c r="F2" s="94"/>
      <c r="G2" s="94"/>
      <c r="H2" s="95"/>
      <c r="I2" s="94"/>
      <c r="J2" s="96"/>
    </row>
    <row r="3" s="47" customFormat="1" ht="27.4" customHeight="1" spans="1:13">
      <c r="A3" s="97" t="s">
        <v>2</v>
      </c>
      <c r="B3" s="97" t="s">
        <v>3</v>
      </c>
      <c r="C3" s="97" t="s">
        <v>4</v>
      </c>
      <c r="D3" s="97" t="s">
        <v>5</v>
      </c>
      <c r="E3" s="97" t="s">
        <v>6</v>
      </c>
      <c r="F3" s="97" t="s">
        <v>7</v>
      </c>
      <c r="G3" s="97" t="s">
        <v>8</v>
      </c>
      <c r="H3" s="97" t="s">
        <v>9</v>
      </c>
      <c r="I3" s="97" t="s">
        <v>10</v>
      </c>
      <c r="J3" s="98" t="s">
        <v>11</v>
      </c>
      <c r="L3" s="99"/>
      <c r="M3" s="99"/>
    </row>
    <row r="4" ht="12" customHeight="1" spans="1:13">
      <c r="A4" s="33" t="s">
        <v>12</v>
      </c>
      <c r="B4" s="100" t="s">
        <v>13</v>
      </c>
      <c r="C4" s="101">
        <f>C5+C28+C21+C29</f>
        <v>501</v>
      </c>
      <c r="D4" s="101">
        <f>D5+D28+D21+D29</f>
        <v>662.75</v>
      </c>
      <c r="E4" s="101">
        <f>E5+E28+E21+E29</f>
        <v>6718.00692</v>
      </c>
      <c r="F4" s="101"/>
      <c r="G4" s="101">
        <f>C4+D4+E4+F4</f>
        <v>7881.75692</v>
      </c>
      <c r="H4" s="102">
        <f>G4/G51</f>
        <v>0.877525269233222</v>
      </c>
      <c r="I4" s="103"/>
      <c r="J4" s="104"/>
    </row>
    <row r="5" s="52" customFormat="1" spans="1:13">
      <c r="A5" s="105">
        <v>1</v>
      </c>
      <c r="B5" s="105" t="s">
        <v>14</v>
      </c>
      <c r="C5" s="66">
        <f>SUM(C6:C20)</f>
        <v>321</v>
      </c>
      <c r="D5" s="66">
        <f>SUM(D6:D20)</f>
        <v>520</v>
      </c>
      <c r="E5" s="66">
        <f>SUM(E6:E20)</f>
        <v>6119.81692</v>
      </c>
      <c r="F5" s="105" t="s">
        <v>15</v>
      </c>
      <c r="G5" s="66">
        <f t="shared" ref="G5:G20" si="0">SUM(C5:F5)</f>
        <v>6960.81692</v>
      </c>
      <c r="H5" s="106" t="s">
        <v>16</v>
      </c>
      <c r="I5" s="107">
        <v>26000</v>
      </c>
      <c r="J5" s="108">
        <f>G5/I5</f>
        <v>0.267723727692308</v>
      </c>
      <c r="L5" s="109"/>
      <c r="M5" s="109"/>
    </row>
    <row r="6" s="52" customFormat="1" spans="1:13">
      <c r="A6" s="110">
        <f>A5+0.1</f>
        <v>1.1</v>
      </c>
      <c r="B6" s="111" t="s">
        <v>17</v>
      </c>
      <c r="C6" s="111" t="s">
        <v>15</v>
      </c>
      <c r="D6" s="111" t="s">
        <v>15</v>
      </c>
      <c r="E6" s="112">
        <f>I6*J6</f>
        <v>3656.4</v>
      </c>
      <c r="F6" s="111" t="s">
        <v>15</v>
      </c>
      <c r="G6" s="111">
        <f t="shared" si="0"/>
        <v>3656.4</v>
      </c>
      <c r="H6" s="113" t="s">
        <v>18</v>
      </c>
      <c r="I6" s="114">
        <v>48752</v>
      </c>
      <c r="J6" s="115">
        <v>0.075</v>
      </c>
      <c r="L6" s="90"/>
      <c r="M6" s="109"/>
    </row>
    <row r="7" s="52" customFormat="1" spans="1:13">
      <c r="A7" s="110">
        <f t="shared" ref="A7:A20" si="1">A6+0.1</f>
        <v>1.2</v>
      </c>
      <c r="B7" s="116" t="s">
        <v>19</v>
      </c>
      <c r="C7" s="111" t="s">
        <v>15</v>
      </c>
      <c r="D7" s="111" t="s">
        <v>15</v>
      </c>
      <c r="E7" s="112">
        <f t="shared" ref="E7:E18" si="2">I7*J7</f>
        <v>352.16</v>
      </c>
      <c r="F7" s="111" t="s">
        <v>15</v>
      </c>
      <c r="G7" s="111">
        <f t="shared" si="0"/>
        <v>352.16</v>
      </c>
      <c r="H7" s="113" t="s">
        <v>20</v>
      </c>
      <c r="I7" s="114">
        <v>248</v>
      </c>
      <c r="J7" s="115">
        <v>1.42</v>
      </c>
      <c r="L7" s="90"/>
      <c r="M7" s="109"/>
    </row>
    <row r="8" s="52" customFormat="1" spans="1:13">
      <c r="A8" s="110">
        <f t="shared" si="1"/>
        <v>1.3</v>
      </c>
      <c r="B8" s="111" t="s">
        <v>21</v>
      </c>
      <c r="C8" s="111" t="s">
        <v>15</v>
      </c>
      <c r="D8" s="111" t="s">
        <v>15</v>
      </c>
      <c r="E8" s="112">
        <f t="shared" si="2"/>
        <v>40.404</v>
      </c>
      <c r="F8" s="111" t="s">
        <v>15</v>
      </c>
      <c r="G8" s="111">
        <f t="shared" si="0"/>
        <v>40.404</v>
      </c>
      <c r="H8" s="113" t="s">
        <v>20</v>
      </c>
      <c r="I8" s="114">
        <v>39</v>
      </c>
      <c r="J8" s="115">
        <v>1.036</v>
      </c>
      <c r="L8" s="90"/>
      <c r="M8" s="109"/>
    </row>
    <row r="9" s="52" customFormat="1" spans="1:13">
      <c r="A9" s="110">
        <f t="shared" si="1"/>
        <v>1.4</v>
      </c>
      <c r="B9" s="111" t="s">
        <v>22</v>
      </c>
      <c r="C9" s="111" t="s">
        <v>15</v>
      </c>
      <c r="D9" s="111" t="s">
        <v>15</v>
      </c>
      <c r="E9" s="112">
        <f t="shared" si="2"/>
        <v>685.419</v>
      </c>
      <c r="F9" s="111" t="s">
        <v>15</v>
      </c>
      <c r="G9" s="112">
        <f t="shared" si="0"/>
        <v>685.419</v>
      </c>
      <c r="H9" s="113" t="s">
        <v>23</v>
      </c>
      <c r="I9" s="114">
        <v>381</v>
      </c>
      <c r="J9" s="115">
        <v>1.799</v>
      </c>
      <c r="L9" s="90"/>
      <c r="M9" s="109"/>
    </row>
    <row r="10" s="52" customFormat="1" spans="1:13">
      <c r="A10" s="110">
        <f t="shared" si="1"/>
        <v>1.5</v>
      </c>
      <c r="B10" s="111" t="s">
        <v>24</v>
      </c>
      <c r="C10" s="111" t="s">
        <v>15</v>
      </c>
      <c r="D10" s="111" t="s">
        <v>15</v>
      </c>
      <c r="E10" s="112">
        <f t="shared" si="2"/>
        <v>48.015</v>
      </c>
      <c r="F10" s="111" t="s">
        <v>15</v>
      </c>
      <c r="G10" s="111">
        <f t="shared" si="0"/>
        <v>48.015</v>
      </c>
      <c r="H10" s="113" t="s">
        <v>23</v>
      </c>
      <c r="I10" s="114">
        <v>8.73</v>
      </c>
      <c r="J10" s="115">
        <v>5.5</v>
      </c>
      <c r="L10" s="90"/>
      <c r="M10" s="109"/>
    </row>
    <row r="11" s="52" customFormat="1" spans="1:13">
      <c r="A11" s="110">
        <f t="shared" si="1"/>
        <v>1.6</v>
      </c>
      <c r="B11" s="111" t="s">
        <v>25</v>
      </c>
      <c r="C11" s="111" t="s">
        <v>15</v>
      </c>
      <c r="D11" s="111" t="s">
        <v>15</v>
      </c>
      <c r="E11" s="112">
        <f t="shared" si="2"/>
        <v>58.58292</v>
      </c>
      <c r="F11" s="111" t="s">
        <v>15</v>
      </c>
      <c r="G11" s="111">
        <f t="shared" si="0"/>
        <v>58.58292</v>
      </c>
      <c r="H11" s="117" t="s">
        <v>26</v>
      </c>
      <c r="I11" s="114">
        <v>2662.86</v>
      </c>
      <c r="J11" s="115">
        <v>0.022</v>
      </c>
      <c r="L11" s="90"/>
      <c r="M11" s="109"/>
    </row>
    <row r="12" s="52" customFormat="1" spans="1:13">
      <c r="A12" s="110">
        <f t="shared" si="1"/>
        <v>1.7</v>
      </c>
      <c r="B12" s="111" t="s">
        <v>27</v>
      </c>
      <c r="C12" s="111" t="s">
        <v>15</v>
      </c>
      <c r="D12" s="111" t="s">
        <v>15</v>
      </c>
      <c r="E12" s="112">
        <f t="shared" si="2"/>
        <v>637.875</v>
      </c>
      <c r="F12" s="111" t="s">
        <v>15</v>
      </c>
      <c r="G12" s="111">
        <f t="shared" si="0"/>
        <v>637.875</v>
      </c>
      <c r="H12" s="113" t="s">
        <v>23</v>
      </c>
      <c r="I12" s="114">
        <v>35</v>
      </c>
      <c r="J12" s="115">
        <v>18.225</v>
      </c>
      <c r="L12" s="90"/>
      <c r="M12" s="109"/>
    </row>
    <row r="13" s="52" customFormat="1" spans="1:13">
      <c r="A13" s="110">
        <f t="shared" si="1"/>
        <v>1.8</v>
      </c>
      <c r="B13" s="111" t="s">
        <v>28</v>
      </c>
      <c r="C13" s="111" t="s">
        <v>15</v>
      </c>
      <c r="D13" s="111" t="s">
        <v>15</v>
      </c>
      <c r="E13" s="112">
        <f t="shared" si="2"/>
        <v>81.04</v>
      </c>
      <c r="F13" s="111" t="s">
        <v>15</v>
      </c>
      <c r="G13" s="111">
        <f t="shared" si="0"/>
        <v>81.04</v>
      </c>
      <c r="H13" s="113" t="s">
        <v>20</v>
      </c>
      <c r="I13" s="114">
        <v>4</v>
      </c>
      <c r="J13" s="115">
        <v>20.26</v>
      </c>
      <c r="M13" s="109"/>
    </row>
    <row r="14" s="52" customFormat="1" spans="1:13">
      <c r="A14" s="110">
        <f t="shared" si="1"/>
        <v>1.9</v>
      </c>
      <c r="B14" s="111" t="s">
        <v>29</v>
      </c>
      <c r="C14" s="111" t="s">
        <v>15</v>
      </c>
      <c r="D14" s="111" t="s">
        <v>15</v>
      </c>
      <c r="E14" s="112">
        <f t="shared" si="2"/>
        <v>20.528</v>
      </c>
      <c r="F14" s="111" t="s">
        <v>15</v>
      </c>
      <c r="G14" s="111">
        <f t="shared" si="0"/>
        <v>20.528</v>
      </c>
      <c r="H14" s="113" t="s">
        <v>20</v>
      </c>
      <c r="I14" s="114">
        <v>4</v>
      </c>
      <c r="J14" s="115">
        <v>5.132</v>
      </c>
      <c r="M14" s="109"/>
    </row>
    <row r="15" s="52" customFormat="1" spans="1:13">
      <c r="A15" s="68">
        <f>1.1</f>
        <v>1.1</v>
      </c>
      <c r="B15" s="111" t="s">
        <v>30</v>
      </c>
      <c r="C15" s="111" t="s">
        <v>15</v>
      </c>
      <c r="D15" s="111" t="s">
        <v>15</v>
      </c>
      <c r="E15" s="112">
        <f t="shared" si="2"/>
        <v>20</v>
      </c>
      <c r="F15" s="111" t="s">
        <v>15</v>
      </c>
      <c r="G15" s="111">
        <f t="shared" si="0"/>
        <v>20</v>
      </c>
      <c r="H15" s="113" t="s">
        <v>20</v>
      </c>
      <c r="I15" s="114">
        <v>4</v>
      </c>
      <c r="J15" s="115">
        <v>5</v>
      </c>
      <c r="M15" s="109"/>
    </row>
    <row r="16" s="52" customFormat="1" spans="1:13">
      <c r="A16" s="68">
        <f>1.12</f>
        <v>1.12</v>
      </c>
      <c r="B16" s="111" t="s">
        <v>31</v>
      </c>
      <c r="C16" s="111" t="s">
        <v>15</v>
      </c>
      <c r="D16" s="111" t="s">
        <v>15</v>
      </c>
      <c r="E16" s="112">
        <f t="shared" si="2"/>
        <v>18.844</v>
      </c>
      <c r="F16" s="111" t="s">
        <v>15</v>
      </c>
      <c r="G16" s="111">
        <f t="shared" si="0"/>
        <v>18.844</v>
      </c>
      <c r="H16" s="113" t="s">
        <v>20</v>
      </c>
      <c r="I16" s="114">
        <v>4</v>
      </c>
      <c r="J16" s="115">
        <v>4.711</v>
      </c>
      <c r="M16" s="109"/>
    </row>
    <row r="17" s="52" customFormat="1" spans="1:13">
      <c r="A17" s="68">
        <f>1.13</f>
        <v>1.13</v>
      </c>
      <c r="B17" s="111" t="s">
        <v>32</v>
      </c>
      <c r="C17" s="111" t="s">
        <v>15</v>
      </c>
      <c r="D17" s="111" t="s">
        <v>15</v>
      </c>
      <c r="E17" s="112">
        <f t="shared" si="2"/>
        <v>140</v>
      </c>
      <c r="F17" s="111" t="s">
        <v>15</v>
      </c>
      <c r="G17" s="111">
        <f t="shared" si="0"/>
        <v>140</v>
      </c>
      <c r="H17" s="113" t="s">
        <v>20</v>
      </c>
      <c r="I17" s="114">
        <v>4</v>
      </c>
      <c r="J17" s="115">
        <v>35</v>
      </c>
      <c r="M17" s="109"/>
    </row>
    <row r="18" s="52" customFormat="1" spans="1:13">
      <c r="A18" s="68">
        <v>1.15</v>
      </c>
      <c r="B18" s="111" t="s">
        <v>33</v>
      </c>
      <c r="C18" s="111" t="s">
        <v>15</v>
      </c>
      <c r="D18" s="111" t="s">
        <v>15</v>
      </c>
      <c r="E18" s="112">
        <f t="shared" si="2"/>
        <v>360.549</v>
      </c>
      <c r="F18" s="111" t="s">
        <v>15</v>
      </c>
      <c r="G18" s="111">
        <f t="shared" si="0"/>
        <v>360.549</v>
      </c>
      <c r="H18" s="117" t="s">
        <v>23</v>
      </c>
      <c r="I18" s="114">
        <v>8.73</v>
      </c>
      <c r="J18" s="115">
        <v>41.3</v>
      </c>
      <c r="L18" s="90"/>
      <c r="M18" s="109"/>
    </row>
    <row r="19" s="52" customFormat="1" spans="1:13">
      <c r="A19" s="68">
        <v>1.16</v>
      </c>
      <c r="B19" s="111" t="s">
        <v>34</v>
      </c>
      <c r="C19" s="111">
        <f>I19*J19</f>
        <v>321</v>
      </c>
      <c r="D19" s="111" t="s">
        <v>15</v>
      </c>
      <c r="E19" s="112" t="s">
        <v>15</v>
      </c>
      <c r="F19" s="111" t="s">
        <v>15</v>
      </c>
      <c r="G19" s="111">
        <f t="shared" si="0"/>
        <v>321</v>
      </c>
      <c r="H19" s="113" t="s">
        <v>35</v>
      </c>
      <c r="I19" s="114">
        <v>4</v>
      </c>
      <c r="J19" s="115">
        <v>80.25</v>
      </c>
      <c r="L19" s="90"/>
      <c r="M19" s="109"/>
    </row>
    <row r="20" s="52" customFormat="1" spans="1:13">
      <c r="A20" s="105"/>
      <c r="B20" s="111" t="s">
        <v>36</v>
      </c>
      <c r="C20" s="111" t="s">
        <v>15</v>
      </c>
      <c r="D20" s="112">
        <f>I20*J20</f>
        <v>520</v>
      </c>
      <c r="E20" s="111" t="s">
        <v>15</v>
      </c>
      <c r="F20" s="111" t="s">
        <v>15</v>
      </c>
      <c r="G20" s="112">
        <f t="shared" si="0"/>
        <v>520</v>
      </c>
      <c r="H20" s="113" t="s">
        <v>16</v>
      </c>
      <c r="I20" s="114">
        <v>26000</v>
      </c>
      <c r="J20" s="115">
        <v>0.02</v>
      </c>
      <c r="L20" s="109"/>
      <c r="M20" s="109"/>
    </row>
    <row r="21" s="52" customFormat="1" spans="1:13">
      <c r="A21" s="105">
        <v>2</v>
      </c>
      <c r="B21" s="105" t="s">
        <v>37</v>
      </c>
      <c r="C21" s="105"/>
      <c r="D21" s="105">
        <f>SUM(D22:D27)</f>
        <v>130</v>
      </c>
      <c r="E21" s="105">
        <f>SUM(E22:E27)</f>
        <v>409.5</v>
      </c>
      <c r="F21" s="105"/>
      <c r="G21" s="105">
        <f t="shared" ref="G21:G32" si="3">SUM(C21:F21)</f>
        <v>539.5</v>
      </c>
      <c r="H21" s="106" t="s">
        <v>38</v>
      </c>
      <c r="I21" s="107">
        <v>6000</v>
      </c>
      <c r="J21" s="118">
        <f>G21/I21</f>
        <v>0.0899166666666667</v>
      </c>
      <c r="L21" s="109"/>
      <c r="M21" s="109"/>
    </row>
    <row r="22" s="52" customFormat="1" spans="1:13">
      <c r="A22" s="110">
        <f t="shared" ref="A22:A27" si="4">A21+0.1</f>
        <v>2.1</v>
      </c>
      <c r="B22" s="111" t="s">
        <v>39</v>
      </c>
      <c r="C22" s="111" t="s">
        <v>15</v>
      </c>
      <c r="D22" s="111" t="s">
        <v>15</v>
      </c>
      <c r="E22" s="111">
        <f t="shared" ref="E22:E26" si="5">I22*J22</f>
        <v>229.5</v>
      </c>
      <c r="F22" s="111" t="s">
        <v>15</v>
      </c>
      <c r="G22" s="111">
        <f t="shared" si="3"/>
        <v>229.5</v>
      </c>
      <c r="H22" s="113" t="s">
        <v>40</v>
      </c>
      <c r="I22" s="119">
        <v>3</v>
      </c>
      <c r="J22" s="114">
        <v>76.5</v>
      </c>
      <c r="L22" s="90"/>
      <c r="M22" s="109"/>
    </row>
    <row r="23" s="52" customFormat="1" spans="1:13">
      <c r="A23" s="110">
        <f t="shared" si="4"/>
        <v>2.2</v>
      </c>
      <c r="B23" s="111" t="s">
        <v>41</v>
      </c>
      <c r="C23" s="111" t="s">
        <v>15</v>
      </c>
      <c r="D23" s="111" t="s">
        <v>15</v>
      </c>
      <c r="E23" s="111">
        <f t="shared" si="5"/>
        <v>45</v>
      </c>
      <c r="F23" s="111" t="s">
        <v>15</v>
      </c>
      <c r="G23" s="111">
        <f t="shared" si="3"/>
        <v>45</v>
      </c>
      <c r="H23" s="113" t="s">
        <v>40</v>
      </c>
      <c r="I23" s="119">
        <f t="shared" ref="I23:I27" si="6">I22</f>
        <v>3</v>
      </c>
      <c r="J23" s="114">
        <v>15</v>
      </c>
      <c r="L23" s="90"/>
      <c r="M23" s="109"/>
    </row>
    <row r="24" s="52" customFormat="1" spans="1:13">
      <c r="A24" s="110">
        <f t="shared" si="4"/>
        <v>2.3</v>
      </c>
      <c r="B24" s="111" t="s">
        <v>42</v>
      </c>
      <c r="C24" s="111" t="s">
        <v>15</v>
      </c>
      <c r="D24" s="111" t="s">
        <v>15</v>
      </c>
      <c r="E24" s="111">
        <f t="shared" si="5"/>
        <v>30</v>
      </c>
      <c r="F24" s="111" t="s">
        <v>15</v>
      </c>
      <c r="G24" s="111">
        <f t="shared" si="3"/>
        <v>30</v>
      </c>
      <c r="H24" s="113" t="s">
        <v>40</v>
      </c>
      <c r="I24" s="119">
        <f t="shared" si="6"/>
        <v>3</v>
      </c>
      <c r="J24" s="114">
        <v>10</v>
      </c>
      <c r="L24" s="90"/>
      <c r="M24" s="109"/>
    </row>
    <row r="25" s="52" customFormat="1" spans="1:13">
      <c r="A25" s="110">
        <f t="shared" si="4"/>
        <v>2.4</v>
      </c>
      <c r="B25" s="111" t="s">
        <v>43</v>
      </c>
      <c r="C25" s="111" t="s">
        <v>15</v>
      </c>
      <c r="D25" s="111" t="s">
        <v>15</v>
      </c>
      <c r="E25" s="111">
        <f t="shared" si="5"/>
        <v>45</v>
      </c>
      <c r="F25" s="111" t="s">
        <v>15</v>
      </c>
      <c r="G25" s="111">
        <f t="shared" si="3"/>
        <v>45</v>
      </c>
      <c r="H25" s="120" t="s">
        <v>40</v>
      </c>
      <c r="I25" s="121">
        <f t="shared" si="6"/>
        <v>3</v>
      </c>
      <c r="J25" s="122">
        <v>15</v>
      </c>
      <c r="L25" s="90"/>
      <c r="M25" s="109"/>
    </row>
    <row r="26" s="52" customFormat="1" spans="1:13">
      <c r="A26" s="110">
        <f t="shared" si="4"/>
        <v>2.5</v>
      </c>
      <c r="B26" s="111" t="s">
        <v>44</v>
      </c>
      <c r="C26" s="111" t="s">
        <v>15</v>
      </c>
      <c r="D26" s="111" t="s">
        <v>15</v>
      </c>
      <c r="E26" s="111">
        <f t="shared" si="5"/>
        <v>60</v>
      </c>
      <c r="F26" s="111" t="s">
        <v>15</v>
      </c>
      <c r="G26" s="111">
        <f t="shared" si="3"/>
        <v>60</v>
      </c>
      <c r="H26" s="113" t="s">
        <v>40</v>
      </c>
      <c r="I26" s="119">
        <f t="shared" si="6"/>
        <v>3</v>
      </c>
      <c r="J26" s="114">
        <v>20</v>
      </c>
      <c r="L26" s="90"/>
      <c r="M26" s="109"/>
    </row>
    <row r="27" s="52" customFormat="1" spans="1:13">
      <c r="A27" s="110">
        <f t="shared" si="4"/>
        <v>2.6</v>
      </c>
      <c r="B27" s="111" t="s">
        <v>45</v>
      </c>
      <c r="C27" s="111" t="s">
        <v>15</v>
      </c>
      <c r="D27" s="111">
        <v>130</v>
      </c>
      <c r="E27" s="111" t="s">
        <v>15</v>
      </c>
      <c r="F27" s="111" t="s">
        <v>15</v>
      </c>
      <c r="G27" s="111">
        <f t="shared" si="3"/>
        <v>130</v>
      </c>
      <c r="H27" s="113" t="s">
        <v>40</v>
      </c>
      <c r="I27" s="119">
        <f t="shared" si="6"/>
        <v>3</v>
      </c>
      <c r="J27" s="114">
        <v>10</v>
      </c>
      <c r="L27" s="90"/>
      <c r="M27" s="109"/>
    </row>
    <row r="28" s="52" customFormat="1" spans="1:13">
      <c r="A28" s="105">
        <v>3</v>
      </c>
      <c r="B28" s="123" t="s">
        <v>46</v>
      </c>
      <c r="C28" s="123">
        <f>J28*I28</f>
        <v>180</v>
      </c>
      <c r="D28" s="123"/>
      <c r="E28" s="123"/>
      <c r="F28" s="123"/>
      <c r="G28" s="123">
        <f t="shared" si="3"/>
        <v>180</v>
      </c>
      <c r="H28" s="124" t="s">
        <v>47</v>
      </c>
      <c r="I28" s="125">
        <v>300</v>
      </c>
      <c r="J28" s="126">
        <v>0.6</v>
      </c>
      <c r="K28" s="52"/>
      <c r="L28" s="109"/>
      <c r="M28" s="109"/>
    </row>
    <row r="29" s="52" customFormat="1" spans="1:13">
      <c r="A29" s="105">
        <v>4</v>
      </c>
      <c r="B29" s="105" t="s">
        <v>48</v>
      </c>
      <c r="C29" s="66">
        <f>SUM(C30:C32)</f>
        <v>0</v>
      </c>
      <c r="D29" s="66">
        <f>SUM(D30:D32)</f>
        <v>12.75</v>
      </c>
      <c r="E29" s="66">
        <f>SUM(E30:E32)</f>
        <v>188.69</v>
      </c>
      <c r="F29" s="66">
        <f>SUM(F30:F32)</f>
        <v>0</v>
      </c>
      <c r="G29" s="66">
        <f t="shared" si="3"/>
        <v>201.44</v>
      </c>
      <c r="H29" s="82" t="s">
        <v>49</v>
      </c>
      <c r="I29" s="127">
        <v>5551.3</v>
      </c>
      <c r="J29" s="127">
        <v>0.227</v>
      </c>
      <c r="L29" s="109"/>
      <c r="M29" s="109"/>
    </row>
    <row r="30" s="52" customFormat="1" spans="1:13">
      <c r="A30" s="110">
        <f>A29+0.1</f>
        <v>4.1</v>
      </c>
      <c r="B30" s="111" t="s">
        <v>50</v>
      </c>
      <c r="C30" s="111"/>
      <c r="D30" s="111">
        <f>I30*J30*0.15</f>
        <v>6</v>
      </c>
      <c r="E30" s="111">
        <f>J30*I30*0.85</f>
        <v>34</v>
      </c>
      <c r="F30" s="111"/>
      <c r="G30" s="111">
        <f t="shared" si="3"/>
        <v>40</v>
      </c>
      <c r="H30" s="113" t="s">
        <v>20</v>
      </c>
      <c r="I30" s="127">
        <v>1</v>
      </c>
      <c r="J30" s="127">
        <v>40</v>
      </c>
      <c r="L30" s="90"/>
      <c r="M30" s="109"/>
    </row>
    <row r="31" s="52" customFormat="1" spans="1:13">
      <c r="A31" s="110">
        <f>A30+0.1</f>
        <v>4.2</v>
      </c>
      <c r="B31" s="111" t="s">
        <v>51</v>
      </c>
      <c r="C31" s="112"/>
      <c r="D31" s="111">
        <f>I31*J31*0.15</f>
        <v>6.75</v>
      </c>
      <c r="E31" s="111">
        <f>J31*I31*0.85</f>
        <v>38.25</v>
      </c>
      <c r="F31" s="111"/>
      <c r="G31" s="111">
        <f t="shared" si="3"/>
        <v>45</v>
      </c>
      <c r="H31" s="113" t="s">
        <v>52</v>
      </c>
      <c r="I31" s="127">
        <v>1000</v>
      </c>
      <c r="J31" s="127">
        <v>0.045</v>
      </c>
      <c r="L31" s="90"/>
      <c r="M31" s="109"/>
    </row>
    <row r="32" s="52" customFormat="1" spans="1:13">
      <c r="A32" s="110">
        <f>A31+0.1</f>
        <v>4.3</v>
      </c>
      <c r="B32" s="111" t="s">
        <v>27</v>
      </c>
      <c r="C32" s="111" t="s">
        <v>15</v>
      </c>
      <c r="D32" s="111" t="s">
        <v>15</v>
      </c>
      <c r="E32" s="112">
        <f>I32*J32</f>
        <v>116.44</v>
      </c>
      <c r="F32" s="111" t="s">
        <v>15</v>
      </c>
      <c r="G32" s="111">
        <f t="shared" si="3"/>
        <v>116.44</v>
      </c>
      <c r="H32" s="113" t="s">
        <v>23</v>
      </c>
      <c r="I32" s="114">
        <v>8.2</v>
      </c>
      <c r="J32" s="114">
        <v>14.2</v>
      </c>
      <c r="L32" s="90"/>
      <c r="M32" s="109"/>
    </row>
    <row r="33" s="52" customFormat="1" ht="14.1" customHeight="1" spans="1:14">
      <c r="A33" s="100" t="s">
        <v>53</v>
      </c>
      <c r="B33" s="100" t="s">
        <v>54</v>
      </c>
      <c r="C33" s="101"/>
      <c r="D33" s="101"/>
      <c r="E33" s="101"/>
      <c r="F33" s="101">
        <f>SUM(F34:F43)</f>
        <v>520.19595672</v>
      </c>
      <c r="G33" s="101">
        <f>C33+D33+E33+F33</f>
        <v>520.19595672</v>
      </c>
      <c r="H33" s="102">
        <f>G33/G51</f>
        <v>0.0579166677693927</v>
      </c>
      <c r="I33" s="103"/>
      <c r="J33" s="104"/>
      <c r="K33" s="128"/>
      <c r="L33" s="129"/>
      <c r="M33" s="109"/>
    </row>
    <row r="34" ht="14.1" customHeight="1" spans="1:14">
      <c r="A34" s="33">
        <v>1</v>
      </c>
      <c r="B34" s="110" t="s">
        <v>55</v>
      </c>
      <c r="C34" s="46"/>
      <c r="D34" s="46"/>
      <c r="E34" s="46"/>
      <c r="F34" s="68">
        <f>G4*0.01</f>
        <v>78.8175692</v>
      </c>
      <c r="G34" s="46">
        <f t="shared" ref="G34:G43" si="7">C34+D34+E34+F34</f>
        <v>78.8175692</v>
      </c>
      <c r="H34" s="130"/>
      <c r="I34" s="131"/>
      <c r="J34" s="132"/>
      <c r="K34" s="133"/>
      <c r="L34" s="134"/>
    </row>
    <row r="35" ht="14.1" customHeight="1" spans="1:14">
      <c r="A35" s="33">
        <v>2</v>
      </c>
      <c r="B35" s="110" t="s">
        <v>56</v>
      </c>
      <c r="C35" s="46"/>
      <c r="D35" s="46"/>
      <c r="E35" s="46"/>
      <c r="F35" s="68">
        <f>G4*0.006</f>
        <v>47.29054152</v>
      </c>
      <c r="G35" s="46">
        <f t="shared" si="7"/>
        <v>47.29054152</v>
      </c>
      <c r="H35" s="135"/>
      <c r="I35" s="136"/>
      <c r="J35" s="137"/>
    </row>
    <row r="36" ht="14.1" customHeight="1" spans="1:14">
      <c r="A36" s="33">
        <v>3</v>
      </c>
      <c r="B36" s="110" t="s">
        <v>57</v>
      </c>
      <c r="C36" s="46"/>
      <c r="D36" s="46"/>
      <c r="E36" s="46"/>
      <c r="F36" s="68">
        <f>G4*0.005</f>
        <v>39.4087846</v>
      </c>
      <c r="G36" s="46">
        <f t="shared" si="7"/>
        <v>39.4087846</v>
      </c>
      <c r="H36" s="135"/>
      <c r="I36" s="136"/>
      <c r="J36" s="137"/>
    </row>
    <row r="37" ht="14.1" customHeight="1" spans="1:14">
      <c r="A37" s="33">
        <v>4</v>
      </c>
      <c r="B37" s="110" t="s">
        <v>58</v>
      </c>
      <c r="C37" s="46"/>
      <c r="D37" s="46"/>
      <c r="E37" s="46"/>
      <c r="F37" s="68">
        <f>G4*0.008</f>
        <v>63.05405536</v>
      </c>
      <c r="G37" s="46">
        <f t="shared" si="7"/>
        <v>63.05405536</v>
      </c>
      <c r="H37" s="135"/>
      <c r="I37" s="136"/>
      <c r="J37" s="138"/>
      <c r="L37" s="57"/>
      <c r="M37" s="57"/>
    </row>
    <row r="38" ht="14.1" customHeight="1" spans="1:14">
      <c r="A38" s="33">
        <v>5</v>
      </c>
      <c r="B38" s="110" t="s">
        <v>59</v>
      </c>
      <c r="C38" s="46"/>
      <c r="D38" s="46"/>
      <c r="E38" s="46"/>
      <c r="F38" s="68">
        <f>G4*0.01</f>
        <v>78.8175692</v>
      </c>
      <c r="G38" s="46">
        <f t="shared" si="7"/>
        <v>78.8175692</v>
      </c>
      <c r="H38" s="135"/>
      <c r="I38" s="136"/>
      <c r="J38" s="137"/>
    </row>
    <row r="39" ht="17.1" customHeight="1" spans="1:14">
      <c r="A39" s="33">
        <v>6</v>
      </c>
      <c r="B39" s="110" t="s">
        <v>60</v>
      </c>
      <c r="C39" s="46"/>
      <c r="D39" s="46"/>
      <c r="E39" s="46"/>
      <c r="F39" s="68">
        <f>G4*0.002</f>
        <v>15.76351384</v>
      </c>
      <c r="G39" s="46">
        <f t="shared" si="7"/>
        <v>15.76351384</v>
      </c>
      <c r="H39" s="130"/>
      <c r="I39" s="139"/>
      <c r="J39" s="140"/>
    </row>
    <row r="40" ht="17" customHeight="1" spans="1:14">
      <c r="A40" s="33">
        <v>7</v>
      </c>
      <c r="B40" s="110" t="s">
        <v>61</v>
      </c>
      <c r="C40" s="46"/>
      <c r="D40" s="46"/>
      <c r="E40" s="46"/>
      <c r="F40" s="68">
        <f>G4*0.015</f>
        <v>118.2263538</v>
      </c>
      <c r="G40" s="46">
        <f t="shared" si="7"/>
        <v>118.2263538</v>
      </c>
      <c r="H40" s="130"/>
      <c r="I40" s="139"/>
      <c r="J40" s="140"/>
    </row>
    <row r="41" ht="17" customHeight="1" spans="1:14">
      <c r="A41" s="33">
        <v>8</v>
      </c>
      <c r="B41" s="110" t="s">
        <v>62</v>
      </c>
      <c r="C41" s="46"/>
      <c r="D41" s="46"/>
      <c r="E41" s="46"/>
      <c r="F41" s="68">
        <f>G4*0.003</f>
        <v>23.64527076</v>
      </c>
      <c r="G41" s="46">
        <f t="shared" si="7"/>
        <v>23.64527076</v>
      </c>
      <c r="H41" s="130"/>
      <c r="I41" s="139"/>
      <c r="J41" s="140"/>
    </row>
    <row r="42" ht="18.95" customHeight="1" spans="1:14">
      <c r="A42" s="33">
        <v>9</v>
      </c>
      <c r="B42" s="110" t="s">
        <v>63</v>
      </c>
      <c r="C42" s="46"/>
      <c r="D42" s="46"/>
      <c r="E42" s="46"/>
      <c r="F42" s="68">
        <f>G4*0.002</f>
        <v>15.76351384</v>
      </c>
      <c r="G42" s="46">
        <f t="shared" si="7"/>
        <v>15.76351384</v>
      </c>
      <c r="H42" s="130"/>
      <c r="I42" s="139"/>
      <c r="J42" s="140"/>
    </row>
    <row r="43" s="52" customFormat="1" ht="14.1" customHeight="1" spans="1:14">
      <c r="A43" s="33">
        <v>10</v>
      </c>
      <c r="B43" s="110" t="s">
        <v>64</v>
      </c>
      <c r="C43" s="101"/>
      <c r="D43" s="101"/>
      <c r="E43" s="101"/>
      <c r="F43" s="46">
        <f>G4*0.005</f>
        <v>39.4087846</v>
      </c>
      <c r="G43" s="46">
        <f t="shared" si="7"/>
        <v>39.4087846</v>
      </c>
      <c r="H43" s="102"/>
      <c r="I43" s="103"/>
      <c r="J43" s="104"/>
      <c r="L43" s="109"/>
      <c r="M43" s="109"/>
    </row>
    <row r="44" s="52" customFormat="1" ht="14.1" customHeight="1" spans="1:14">
      <c r="A44" s="100" t="s">
        <v>65</v>
      </c>
      <c r="B44" s="100" t="s">
        <v>66</v>
      </c>
      <c r="C44" s="101"/>
      <c r="D44" s="101"/>
      <c r="E44" s="101"/>
      <c r="F44" s="101">
        <f>F45+F46</f>
        <v>420.097643836</v>
      </c>
      <c r="G44" s="101">
        <f>G45+G46</f>
        <v>420.097643836</v>
      </c>
      <c r="H44" s="102">
        <f>G44/G51</f>
        <v>0.0467720968501307</v>
      </c>
      <c r="I44" s="103"/>
      <c r="J44" s="104"/>
      <c r="L44" s="109"/>
      <c r="M44" s="109"/>
    </row>
    <row r="45" ht="14.1" customHeight="1" spans="1:14">
      <c r="A45" s="33">
        <v>3.1</v>
      </c>
      <c r="B45" s="33" t="s">
        <v>67</v>
      </c>
      <c r="C45" s="46"/>
      <c r="D45" s="46"/>
      <c r="E45" s="46"/>
      <c r="F45" s="46">
        <f>(G4+G33)*0.05</f>
        <v>420.097643836</v>
      </c>
      <c r="G45" s="46">
        <f>F45</f>
        <v>420.097643836</v>
      </c>
      <c r="H45" s="130" t="s">
        <v>68</v>
      </c>
      <c r="I45" s="139"/>
      <c r="J45" s="141"/>
    </row>
    <row r="46" ht="14.1" customHeight="1" spans="1:14">
      <c r="A46" s="33">
        <v>3.2</v>
      </c>
      <c r="B46" s="33" t="s">
        <v>69</v>
      </c>
      <c r="C46" s="46"/>
      <c r="D46" s="46"/>
      <c r="E46" s="46"/>
      <c r="F46" s="46"/>
      <c r="G46" s="46"/>
      <c r="H46" s="130"/>
      <c r="I46" s="139"/>
      <c r="J46" s="141"/>
      <c r="K46" s="52"/>
      <c r="L46" s="52"/>
      <c r="M46" s="52"/>
    </row>
    <row r="47" s="52" customFormat="1" ht="14.1" customHeight="1" spans="1:14">
      <c r="A47" s="100" t="s">
        <v>70</v>
      </c>
      <c r="B47" s="100" t="s">
        <v>71</v>
      </c>
      <c r="C47" s="101">
        <f>C44+C33+C4</f>
        <v>501</v>
      </c>
      <c r="D47" s="101">
        <f>D44+D33+D4</f>
        <v>662.75</v>
      </c>
      <c r="E47" s="101">
        <f>E44+E33+E4</f>
        <v>6718.00692</v>
      </c>
      <c r="F47" s="101">
        <f>F44+F33+F4</f>
        <v>940.293600556</v>
      </c>
      <c r="G47" s="101">
        <f>G4+G33+G44</f>
        <v>8822.050520556</v>
      </c>
      <c r="H47" s="102">
        <f>G47/G51</f>
        <v>0.982214033852746</v>
      </c>
      <c r="I47" s="103"/>
      <c r="J47" s="104"/>
      <c r="K47" s="52"/>
      <c r="L47" s="109"/>
      <c r="M47" s="109"/>
      <c r="N47" s="142"/>
    </row>
    <row r="48" ht="14.1" customHeight="1" spans="1:14">
      <c r="A48" s="33"/>
      <c r="B48" s="33" t="s">
        <v>72</v>
      </c>
      <c r="C48" s="143">
        <f>C47/G47</f>
        <v>0.0567895183588707</v>
      </c>
      <c r="D48" s="143">
        <f>D47/G47</f>
        <v>0.0751242580685461</v>
      </c>
      <c r="E48" s="143">
        <f>E47/G47</f>
        <v>0.761501751134452</v>
      </c>
      <c r="F48" s="143">
        <f>F47/G47</f>
        <v>0.106584472438131</v>
      </c>
      <c r="G48" s="143">
        <v>1</v>
      </c>
      <c r="H48" s="144"/>
      <c r="I48" s="131"/>
      <c r="J48" s="132"/>
    </row>
    <row r="49" s="52" customFormat="1" ht="14.1" customHeight="1" spans="1:13">
      <c r="A49" s="100" t="s">
        <v>73</v>
      </c>
      <c r="B49" s="100" t="s">
        <v>74</v>
      </c>
      <c r="C49" s="101"/>
      <c r="D49" s="101"/>
      <c r="E49" s="101"/>
      <c r="F49" s="101"/>
      <c r="G49" s="101">
        <f>还本付息表!D7</f>
        <v>159.75</v>
      </c>
      <c r="H49" s="102">
        <f>G49/G51</f>
        <v>0.0177859661472543</v>
      </c>
      <c r="I49" s="103"/>
      <c r="J49" s="104"/>
      <c r="L49" s="109"/>
      <c r="M49" s="109"/>
    </row>
    <row r="50" s="52" customFormat="1" ht="14.1" customHeight="1" spans="1:13">
      <c r="A50" s="100" t="s">
        <v>75</v>
      </c>
      <c r="B50" s="100" t="s">
        <v>76</v>
      </c>
      <c r="C50" s="101"/>
      <c r="D50" s="101"/>
      <c r="E50" s="101"/>
      <c r="F50" s="101"/>
      <c r="G50" s="101">
        <f>G47+G49</f>
        <v>8981.800520556</v>
      </c>
      <c r="H50" s="102">
        <f>G50/G51</f>
        <v>1</v>
      </c>
      <c r="I50" s="103"/>
      <c r="J50" s="104"/>
      <c r="L50" s="109"/>
      <c r="M50" s="109"/>
    </row>
    <row r="51" s="52" customFormat="1" ht="14.1" customHeight="1" spans="1:13">
      <c r="A51" s="100" t="s">
        <v>77</v>
      </c>
      <c r="B51" s="100" t="s">
        <v>78</v>
      </c>
      <c r="C51" s="101"/>
      <c r="D51" s="101"/>
      <c r="E51" s="101"/>
      <c r="F51" s="101"/>
      <c r="G51" s="101">
        <f>G50</f>
        <v>8981.800520556</v>
      </c>
      <c r="H51" s="102">
        <v>1</v>
      </c>
      <c r="I51" s="103"/>
      <c r="J51" s="104"/>
      <c r="L51" s="109"/>
      <c r="M51" s="109"/>
    </row>
    <row r="52" s="57" customFormat="1" spans="1:13">
      <c r="A52" s="40"/>
      <c r="B52" s="40"/>
      <c r="C52" s="40"/>
      <c r="D52" s="40"/>
      <c r="E52" s="40"/>
      <c r="F52" s="40"/>
      <c r="G52" s="145"/>
      <c r="H52" s="83"/>
      <c r="I52" s="40"/>
      <c r="J52" s="89"/>
      <c r="L52" s="90"/>
      <c r="M52" s="90"/>
    </row>
    <row r="53" spans="1:13">
      <c r="G53" s="40">
        <f>G51*0.8</f>
        <v>7185.4404164448</v>
      </c>
    </row>
    <row r="54" spans="1:13">
      <c r="G54" s="56"/>
    </row>
  </sheetData>
  <sheetProtection formatCells="0" insertHyperlinks="0" autoFilter="0"/>
  <mergeCells count="21">
    <mergeCell ref="A1:J1"/>
    <mergeCell ref="A2:J2"/>
    <mergeCell ref="H4:J4"/>
    <mergeCell ref="H33:J33"/>
    <mergeCell ref="H34:J34"/>
    <mergeCell ref="H35:J35"/>
    <mergeCell ref="H36:J36"/>
    <mergeCell ref="H37:J37"/>
    <mergeCell ref="H38:J38"/>
    <mergeCell ref="H39:J39"/>
    <mergeCell ref="H40:J40"/>
    <mergeCell ref="H41:J41"/>
    <mergeCell ref="H42:J42"/>
    <mergeCell ref="H44:J44"/>
    <mergeCell ref="H45:J45"/>
    <mergeCell ref="H46:J46"/>
    <mergeCell ref="H47:J47"/>
    <mergeCell ref="H48:J48"/>
    <mergeCell ref="H49:J49"/>
    <mergeCell ref="H50:J50"/>
    <mergeCell ref="H51:J5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="120" zoomScaleNormal="120" topLeftCell="E9" workbookViewId="0">
      <selection activeCell="E9" sqref="E9"/>
    </sheetView>
  </sheetViews>
  <sheetFormatPr defaultColWidth="9" defaultRowHeight="13.5"/>
  <cols>
    <col min="1" max="1" width="4.5" customWidth="1"/>
    <col min="2" max="2" width="12.9666666666667" customWidth="1"/>
    <col min="3" max="3" width="6.5" customWidth="1"/>
    <col min="4" max="5" width="6.59166666666667" customWidth="1"/>
    <col min="6" max="14" width="8.11666666666667" style="83" customWidth="1"/>
  </cols>
  <sheetData>
    <row r="1" ht="18.75" spans="1:14">
      <c r="A1" s="20" t="s">
        <v>79</v>
      </c>
      <c r="B1" s="21"/>
      <c r="C1" s="21"/>
      <c r="D1" s="21"/>
      <c r="E1" s="21"/>
    </row>
    <row r="2" spans="1:14">
      <c r="F2" s="40"/>
      <c r="G2" s="40"/>
      <c r="H2" s="40"/>
      <c r="I2" s="40"/>
      <c r="J2" s="40"/>
      <c r="K2" s="40"/>
      <c r="L2" s="40"/>
      <c r="M2" s="40" t="s">
        <v>1</v>
      </c>
      <c r="N2" s="40"/>
    </row>
    <row r="3" spans="1:14">
      <c r="A3" s="84" t="s">
        <v>2</v>
      </c>
      <c r="B3" s="84" t="s">
        <v>80</v>
      </c>
      <c r="C3" s="84" t="s">
        <v>8</v>
      </c>
      <c r="D3" s="84" t="s">
        <v>81</v>
      </c>
      <c r="E3" s="84" t="s">
        <v>82</v>
      </c>
      <c r="F3" s="85"/>
      <c r="G3" s="85"/>
      <c r="H3" s="85"/>
      <c r="I3" s="85"/>
      <c r="J3" s="85"/>
      <c r="K3" s="85"/>
      <c r="L3" s="85"/>
      <c r="M3" s="85"/>
      <c r="N3" s="85"/>
    </row>
    <row r="4" spans="1:14">
      <c r="A4" s="86"/>
      <c r="B4" s="86"/>
      <c r="C4" s="86"/>
      <c r="D4" s="86"/>
      <c r="E4" s="86"/>
      <c r="F4" s="87">
        <v>2</v>
      </c>
      <c r="G4" s="87">
        <v>3</v>
      </c>
      <c r="H4" s="87">
        <v>4</v>
      </c>
      <c r="I4" s="87">
        <v>5</v>
      </c>
      <c r="J4" s="87">
        <v>6</v>
      </c>
      <c r="K4" s="87">
        <v>7</v>
      </c>
      <c r="L4" s="87">
        <v>8</v>
      </c>
      <c r="M4" s="87">
        <v>9</v>
      </c>
      <c r="N4" s="87">
        <v>10</v>
      </c>
    </row>
    <row r="5" ht="21" spans="1:14">
      <c r="A5" s="36">
        <v>1</v>
      </c>
      <c r="B5" s="36" t="s">
        <v>83</v>
      </c>
      <c r="C5" s="88"/>
      <c r="D5" s="44">
        <v>0.05</v>
      </c>
      <c r="E5" s="75">
        <v>20</v>
      </c>
      <c r="F5" s="13"/>
      <c r="G5" s="13"/>
      <c r="H5" s="13"/>
      <c r="I5" s="13"/>
      <c r="J5" s="13"/>
      <c r="K5" s="13"/>
      <c r="L5" s="13"/>
      <c r="M5" s="13"/>
      <c r="N5" s="46"/>
    </row>
    <row r="6" spans="1:14">
      <c r="A6" s="36">
        <v>1.1</v>
      </c>
      <c r="B6" s="36" t="s">
        <v>84</v>
      </c>
      <c r="C6" s="88"/>
      <c r="D6" s="88"/>
      <c r="E6" s="88"/>
      <c r="F6" s="13">
        <f>(总投资!G47)*0.91</f>
        <v>8028.06597370596</v>
      </c>
      <c r="G6" s="13">
        <f t="shared" ref="F6:S6" si="0">F8</f>
        <v>7646.73283995493</v>
      </c>
      <c r="H6" s="13">
        <f t="shared" si="0"/>
        <v>7265.39970620389</v>
      </c>
      <c r="I6" s="13">
        <f t="shared" si="0"/>
        <v>6884.06657245286</v>
      </c>
      <c r="J6" s="13">
        <f t="shared" si="0"/>
        <v>6502.73343870183</v>
      </c>
      <c r="K6" s="13">
        <f t="shared" si="0"/>
        <v>6121.4003049508</v>
      </c>
      <c r="L6" s="13">
        <f t="shared" si="0"/>
        <v>5740.06717119976</v>
      </c>
      <c r="M6" s="13">
        <f t="shared" si="0"/>
        <v>5358.73403744873</v>
      </c>
      <c r="N6" s="13">
        <f t="shared" si="0"/>
        <v>4977.4009036977</v>
      </c>
    </row>
    <row r="7" ht="16.9" customHeight="1" spans="1:14">
      <c r="A7" s="36">
        <v>1.2</v>
      </c>
      <c r="B7" s="36" t="s">
        <v>85</v>
      </c>
      <c r="C7" s="88">
        <f>SUM(F7:N7)</f>
        <v>3431.9982037593</v>
      </c>
      <c r="D7" s="88"/>
      <c r="E7" s="88"/>
      <c r="F7" s="13">
        <f>F6*0.95/20</f>
        <v>381.333133751033</v>
      </c>
      <c r="G7" s="13">
        <f>F6*0.95/20</f>
        <v>381.333133751033</v>
      </c>
      <c r="H7" s="13">
        <f t="shared" ref="G7:S7" si="1">G7</f>
        <v>381.333133751033</v>
      </c>
      <c r="I7" s="13">
        <f t="shared" si="1"/>
        <v>381.333133751033</v>
      </c>
      <c r="J7" s="13">
        <f t="shared" si="1"/>
        <v>381.333133751033</v>
      </c>
      <c r="K7" s="13">
        <f t="shared" si="1"/>
        <v>381.333133751033</v>
      </c>
      <c r="L7" s="13">
        <f t="shared" si="1"/>
        <v>381.333133751033</v>
      </c>
      <c r="M7" s="13">
        <f t="shared" si="1"/>
        <v>381.333133751033</v>
      </c>
      <c r="N7" s="13">
        <f t="shared" si="1"/>
        <v>381.333133751033</v>
      </c>
    </row>
    <row r="8" spans="1:14">
      <c r="A8" s="36">
        <v>1.3</v>
      </c>
      <c r="B8" s="36" t="s">
        <v>86</v>
      </c>
      <c r="C8" s="88"/>
      <c r="D8" s="88"/>
      <c r="E8" s="88"/>
      <c r="F8" s="13">
        <f>F6-F7</f>
        <v>7646.73283995493</v>
      </c>
      <c r="G8" s="13">
        <f>G6-G7</f>
        <v>7265.39970620389</v>
      </c>
      <c r="H8" s="13">
        <f t="shared" ref="F8:S8" si="2">H6-H7</f>
        <v>6884.06657245286</v>
      </c>
      <c r="I8" s="13">
        <f t="shared" si="2"/>
        <v>6502.73343870183</v>
      </c>
      <c r="J8" s="13">
        <f t="shared" si="2"/>
        <v>6121.4003049508</v>
      </c>
      <c r="K8" s="13">
        <f t="shared" si="2"/>
        <v>5740.06717119976</v>
      </c>
      <c r="L8" s="13">
        <f t="shared" si="2"/>
        <v>5358.73403744873</v>
      </c>
      <c r="M8" s="13">
        <f t="shared" si="2"/>
        <v>4977.4009036977</v>
      </c>
      <c r="N8" s="13">
        <f t="shared" si="2"/>
        <v>4596.06776994667</v>
      </c>
    </row>
    <row r="9" spans="1:14">
      <c r="A9" s="36">
        <v>2</v>
      </c>
      <c r="B9" s="36" t="s">
        <v>87</v>
      </c>
      <c r="C9" s="88">
        <f>SUM(F9:N9)</f>
        <v>3431.9982037593</v>
      </c>
      <c r="D9" s="88"/>
      <c r="E9" s="88"/>
      <c r="F9" s="13">
        <f t="shared" ref="F9:S9" si="3">F7</f>
        <v>381.333133751033</v>
      </c>
      <c r="G9" s="13">
        <f t="shared" si="3"/>
        <v>381.333133751033</v>
      </c>
      <c r="H9" s="13">
        <f t="shared" si="3"/>
        <v>381.333133751033</v>
      </c>
      <c r="I9" s="13">
        <f t="shared" si="3"/>
        <v>381.333133751033</v>
      </c>
      <c r="J9" s="13">
        <f t="shared" si="3"/>
        <v>381.333133751033</v>
      </c>
      <c r="K9" s="13">
        <f t="shared" si="3"/>
        <v>381.333133751033</v>
      </c>
      <c r="L9" s="13">
        <f t="shared" si="3"/>
        <v>381.333133751033</v>
      </c>
      <c r="M9" s="13">
        <f t="shared" si="3"/>
        <v>381.333133751033</v>
      </c>
      <c r="N9" s="13">
        <f t="shared" si="3"/>
        <v>381.333133751033</v>
      </c>
    </row>
    <row r="10" spans="1:14">
      <c r="A10" s="36">
        <v>3</v>
      </c>
      <c r="B10" s="36" t="s">
        <v>88</v>
      </c>
      <c r="C10" s="88"/>
      <c r="D10" s="88"/>
      <c r="E10" s="88"/>
      <c r="F10" s="13"/>
      <c r="G10" s="13"/>
      <c r="H10" s="13"/>
      <c r="I10" s="13"/>
      <c r="J10" s="13"/>
      <c r="K10" s="13"/>
      <c r="L10" s="13"/>
      <c r="M10" s="13"/>
      <c r="N10" s="46"/>
    </row>
    <row r="11" spans="1:14">
      <c r="A11" s="36">
        <v>3.1</v>
      </c>
      <c r="B11" s="36" t="s">
        <v>84</v>
      </c>
      <c r="C11" s="88"/>
      <c r="D11" s="88"/>
      <c r="E11" s="88"/>
      <c r="F11" s="13"/>
      <c r="G11" s="13"/>
      <c r="H11" s="13"/>
      <c r="I11" s="13"/>
      <c r="J11" s="13"/>
      <c r="K11" s="13"/>
      <c r="L11" s="13"/>
      <c r="M11" s="13"/>
      <c r="N11" s="46"/>
    </row>
    <row r="12" spans="1:14">
      <c r="A12" s="36">
        <v>3.2</v>
      </c>
      <c r="B12" s="36" t="s">
        <v>85</v>
      </c>
      <c r="C12" s="88"/>
      <c r="D12" s="88"/>
      <c r="E12" s="88"/>
      <c r="F12" s="13"/>
      <c r="G12" s="13"/>
      <c r="H12" s="13"/>
      <c r="I12" s="13"/>
      <c r="J12" s="13"/>
      <c r="K12" s="13"/>
      <c r="L12" s="13"/>
      <c r="M12" s="13"/>
      <c r="N12" s="46"/>
    </row>
    <row r="13" spans="1:14">
      <c r="A13" s="36">
        <v>3.3</v>
      </c>
      <c r="B13" s="36" t="s">
        <v>86</v>
      </c>
      <c r="C13" s="88"/>
      <c r="D13" s="88"/>
      <c r="E13" s="88"/>
      <c r="F13" s="13"/>
      <c r="G13" s="13"/>
      <c r="H13" s="13"/>
      <c r="I13" s="13"/>
      <c r="J13" s="13"/>
      <c r="K13" s="13"/>
      <c r="L13" s="13"/>
      <c r="M13" s="13"/>
      <c r="N13" s="46"/>
    </row>
  </sheetData>
  <sheetProtection formatCells="0" insertHyperlinks="0" autoFilter="0"/>
  <mergeCells count="7">
    <mergeCell ref="A1:N1"/>
    <mergeCell ref="F3:N3"/>
    <mergeCell ref="A3:A4"/>
    <mergeCell ref="B3:B4"/>
    <mergeCell ref="C3:C4"/>
    <mergeCell ref="D3:D4"/>
    <mergeCell ref="E3:E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zoomScale="110" zoomScaleNormal="110" topLeftCell="E17" workbookViewId="0">
      <selection activeCell="O15" sqref="O15"/>
    </sheetView>
  </sheetViews>
  <sheetFormatPr defaultColWidth="9" defaultRowHeight="13.5"/>
  <cols>
    <col min="1" max="1" width="5.96666666666667" style="55" customWidth="1"/>
    <col min="2" max="2" width="21" style="40" customWidth="1"/>
    <col min="3" max="3" width="8.25" style="56" customWidth="1"/>
    <col min="4" max="8" width="9.85" customWidth="1"/>
    <col min="9" max="9" width="9.85" style="57" customWidth="1"/>
    <col min="10" max="11" width="9.85" customWidth="1"/>
    <col min="12" max="12" width="8.11666666666667" customWidth="1"/>
  </cols>
  <sheetData>
    <row r="1" ht="17.45" customHeight="1" spans="1:12">
      <c r="A1" s="20" t="s">
        <v>89</v>
      </c>
      <c r="B1" s="20"/>
      <c r="C1" s="3"/>
      <c r="D1" s="20"/>
      <c r="E1" s="20"/>
      <c r="F1" s="20"/>
      <c r="G1" s="20"/>
      <c r="H1" s="20"/>
      <c r="I1" s="58"/>
      <c r="J1" s="20"/>
      <c r="K1" s="20"/>
    </row>
    <row r="2" spans="1:12">
      <c r="B2" s="40">
        <f>D7*D9*D10</f>
        <v>30609633.6</v>
      </c>
      <c r="K2" t="s">
        <v>1</v>
      </c>
    </row>
    <row r="3" ht="16.15" customHeight="1" spans="1:12">
      <c r="A3" s="24" t="s">
        <v>2</v>
      </c>
      <c r="B3" s="23" t="s">
        <v>80</v>
      </c>
      <c r="C3" s="59" t="s">
        <v>8</v>
      </c>
      <c r="D3" s="24"/>
      <c r="E3" s="24"/>
      <c r="F3" s="24"/>
      <c r="G3" s="24"/>
      <c r="H3" s="24"/>
      <c r="I3" s="24"/>
      <c r="J3" s="24"/>
      <c r="K3" s="24"/>
      <c r="L3" s="24"/>
    </row>
    <row r="4" spans="1:12">
      <c r="A4" s="24"/>
      <c r="B4" s="60"/>
      <c r="C4" s="61"/>
      <c r="D4" s="62">
        <v>2</v>
      </c>
      <c r="E4" s="62">
        <v>3</v>
      </c>
      <c r="F4" s="62">
        <v>4</v>
      </c>
      <c r="G4" s="62">
        <v>5</v>
      </c>
      <c r="H4" s="62">
        <v>6</v>
      </c>
      <c r="I4" s="62">
        <v>7</v>
      </c>
      <c r="J4" s="62">
        <v>8</v>
      </c>
      <c r="K4" s="62">
        <v>9</v>
      </c>
      <c r="L4" s="62">
        <v>10</v>
      </c>
    </row>
    <row r="5" s="52" customFormat="1" ht="13" customHeight="1" spans="1:12">
      <c r="A5" s="24" t="s">
        <v>90</v>
      </c>
      <c r="B5" s="24" t="s">
        <v>91</v>
      </c>
      <c r="C5" s="63">
        <f>SUM((D5:L5))</f>
        <v>13772.0384441661</v>
      </c>
      <c r="D5" s="64">
        <f t="shared" ref="D5:Q5" si="0">D6+D12+D15</f>
        <v>1560.48168</v>
      </c>
      <c r="E5" s="64">
        <f t="shared" si="0"/>
        <v>1552.8292716</v>
      </c>
      <c r="F5" s="64">
        <f t="shared" si="0"/>
        <v>1545.215125242</v>
      </c>
      <c r="G5" s="64">
        <f t="shared" si="0"/>
        <v>1537.63904961579</v>
      </c>
      <c r="H5" s="64">
        <f t="shared" si="0"/>
        <v>1530.10085436771</v>
      </c>
      <c r="I5" s="64">
        <f t="shared" si="0"/>
        <v>1522.60035009587</v>
      </c>
      <c r="J5" s="64">
        <f t="shared" si="0"/>
        <v>1515.13734834539</v>
      </c>
      <c r="K5" s="64">
        <f t="shared" si="0"/>
        <v>1507.71166160367</v>
      </c>
      <c r="L5" s="64">
        <f t="shared" si="0"/>
        <v>1500.32310329565</v>
      </c>
    </row>
    <row r="6" s="52" customFormat="1" ht="13" customHeight="1" spans="1:12">
      <c r="A6" s="65">
        <v>1</v>
      </c>
      <c r="B6" s="66" t="s">
        <v>92</v>
      </c>
      <c r="C6" s="67">
        <f>SUM(D6:L6)</f>
        <v>12627.2384441661</v>
      </c>
      <c r="D6" s="64">
        <f>(D7*D9*D10-(6000*360*0.9))*D11/10000</f>
        <v>1433.28168</v>
      </c>
      <c r="E6" s="64">
        <f t="shared" ref="E6:L6" si="1">(E7*E9*E10-(6000*360*0.9))*E11/10000</f>
        <v>1425.6292716</v>
      </c>
      <c r="F6" s="64">
        <f t="shared" si="1"/>
        <v>1418.015125242</v>
      </c>
      <c r="G6" s="64">
        <f t="shared" si="1"/>
        <v>1410.43904961579</v>
      </c>
      <c r="H6" s="64">
        <f t="shared" si="1"/>
        <v>1402.90085436771</v>
      </c>
      <c r="I6" s="64">
        <f t="shared" si="1"/>
        <v>1395.40035009587</v>
      </c>
      <c r="J6" s="64">
        <f t="shared" si="1"/>
        <v>1387.93734834539</v>
      </c>
      <c r="K6" s="64">
        <f t="shared" si="1"/>
        <v>1380.51166160367</v>
      </c>
      <c r="L6" s="64">
        <f t="shared" si="1"/>
        <v>1373.12310329565</v>
      </c>
    </row>
    <row r="7" customFormat="1" ht="13" customHeight="1" spans="1:12">
      <c r="A7" s="28">
        <f>A6+0.1</f>
        <v>1.1</v>
      </c>
      <c r="B7" s="68" t="s">
        <v>93</v>
      </c>
      <c r="C7" s="44"/>
      <c r="D7" s="11">
        <f>26000*(1-D8)</f>
        <v>25480</v>
      </c>
      <c r="E7" s="11">
        <f t="shared" ref="D7:L7" si="2">D7*(1-E8)</f>
        <v>25352.6</v>
      </c>
      <c r="F7" s="11">
        <f t="shared" si="2"/>
        <v>25225.837</v>
      </c>
      <c r="G7" s="11">
        <f t="shared" si="2"/>
        <v>25099.707815</v>
      </c>
      <c r="H7" s="11">
        <f t="shared" si="2"/>
        <v>24974.209275925</v>
      </c>
      <c r="I7" s="11">
        <f t="shared" si="2"/>
        <v>24849.3382295454</v>
      </c>
      <c r="J7" s="11">
        <f t="shared" si="2"/>
        <v>24725.0915383976</v>
      </c>
      <c r="K7" s="11">
        <f t="shared" si="2"/>
        <v>24601.4660807057</v>
      </c>
      <c r="L7" s="11">
        <f t="shared" si="2"/>
        <v>24478.4587503021</v>
      </c>
    </row>
    <row r="8" s="53" customFormat="1" ht="13" customHeight="1" spans="1:12">
      <c r="A8" s="28">
        <f>A7+0.1</f>
        <v>1.2</v>
      </c>
      <c r="B8" s="69" t="s">
        <v>94</v>
      </c>
      <c r="C8" s="70"/>
      <c r="D8" s="71">
        <v>0.02</v>
      </c>
      <c r="E8" s="71">
        <v>0.005</v>
      </c>
      <c r="F8" s="71">
        <f>E8</f>
        <v>0.005</v>
      </c>
      <c r="G8" s="71">
        <v>0.005</v>
      </c>
      <c r="H8" s="71">
        <v>0.005</v>
      </c>
      <c r="I8" s="71">
        <v>0.005</v>
      </c>
      <c r="J8" s="71">
        <v>0.005</v>
      </c>
      <c r="K8" s="71">
        <v>0.005</v>
      </c>
      <c r="L8" s="71">
        <f>K8</f>
        <v>0.005</v>
      </c>
    </row>
    <row r="9" customFormat="1" ht="13" customHeight="1" spans="1:12">
      <c r="A9" s="28">
        <f>A8+0.1</f>
        <v>1.3</v>
      </c>
      <c r="B9" s="68" t="s">
        <v>95</v>
      </c>
      <c r="C9" s="44"/>
      <c r="D9" s="11">
        <v>3.337</v>
      </c>
      <c r="E9" s="11">
        <f t="shared" ref="E9:Q9" si="3">D9</f>
        <v>3.337</v>
      </c>
      <c r="F9" s="11">
        <f t="shared" si="3"/>
        <v>3.337</v>
      </c>
      <c r="G9" s="11">
        <f t="shared" si="3"/>
        <v>3.337</v>
      </c>
      <c r="H9" s="11">
        <f t="shared" si="3"/>
        <v>3.337</v>
      </c>
      <c r="I9" s="11">
        <f t="shared" si="3"/>
        <v>3.337</v>
      </c>
      <c r="J9" s="11">
        <f t="shared" si="3"/>
        <v>3.337</v>
      </c>
      <c r="K9" s="11">
        <f t="shared" si="3"/>
        <v>3.337</v>
      </c>
      <c r="L9" s="11">
        <f t="shared" si="3"/>
        <v>3.337</v>
      </c>
    </row>
    <row r="10" customFormat="1" ht="13" customHeight="1" spans="1:12">
      <c r="A10" s="28">
        <f>A9+0.1</f>
        <v>1.4</v>
      </c>
      <c r="B10" s="68" t="s">
        <v>96</v>
      </c>
      <c r="C10" s="44"/>
      <c r="D10" s="72">
        <v>360</v>
      </c>
      <c r="E10" s="11">
        <f>D10</f>
        <v>360</v>
      </c>
      <c r="F10" s="11">
        <f t="shared" ref="F10:Q10" si="4">E10</f>
        <v>360</v>
      </c>
      <c r="G10" s="11">
        <f t="shared" si="4"/>
        <v>360</v>
      </c>
      <c r="H10" s="11">
        <f t="shared" si="4"/>
        <v>360</v>
      </c>
      <c r="I10" s="11">
        <f t="shared" si="4"/>
        <v>360</v>
      </c>
      <c r="J10" s="11">
        <f t="shared" si="4"/>
        <v>360</v>
      </c>
      <c r="K10" s="11">
        <f t="shared" si="4"/>
        <v>360</v>
      </c>
      <c r="L10" s="11">
        <f t="shared" si="4"/>
        <v>360</v>
      </c>
    </row>
    <row r="11" customFormat="1" ht="13" customHeight="1" spans="1:12">
      <c r="A11" s="28">
        <f>A10+0.1</f>
        <v>1.5</v>
      </c>
      <c r="B11" s="68" t="s">
        <v>97</v>
      </c>
      <c r="C11" s="44"/>
      <c r="D11" s="11">
        <v>0.5</v>
      </c>
      <c r="E11" s="72">
        <f t="shared" ref="D11:Q11" si="5">D11</f>
        <v>0.5</v>
      </c>
      <c r="F11" s="72">
        <f t="shared" si="5"/>
        <v>0.5</v>
      </c>
      <c r="G11" s="72">
        <f t="shared" si="5"/>
        <v>0.5</v>
      </c>
      <c r="H11" s="72">
        <f t="shared" si="5"/>
        <v>0.5</v>
      </c>
      <c r="I11" s="72">
        <f t="shared" si="5"/>
        <v>0.5</v>
      </c>
      <c r="J11" s="72">
        <f t="shared" si="5"/>
        <v>0.5</v>
      </c>
      <c r="K11" s="72">
        <f t="shared" si="5"/>
        <v>0.5</v>
      </c>
      <c r="L11" s="72">
        <f t="shared" si="5"/>
        <v>0.5</v>
      </c>
    </row>
    <row r="12" s="52" customFormat="1" ht="13" customHeight="1" spans="1:12">
      <c r="A12" s="65">
        <v>2</v>
      </c>
      <c r="B12" s="24" t="s">
        <v>98</v>
      </c>
      <c r="C12" s="67">
        <f>SUM((D12:L12))</f>
        <v>874.8</v>
      </c>
      <c r="D12" s="64">
        <f>(D13*D14)*360/10000</f>
        <v>97.2</v>
      </c>
      <c r="E12" s="64">
        <f>(E13*E14)*360/10000</f>
        <v>97.2</v>
      </c>
      <c r="F12" s="64">
        <f>(F13*F14)*360/10000</f>
        <v>97.2</v>
      </c>
      <c r="G12" s="64">
        <f t="shared" ref="E12:Q12" si="6">(G13*G14)*360/10000</f>
        <v>97.2</v>
      </c>
      <c r="H12" s="64">
        <f t="shared" si="6"/>
        <v>97.2</v>
      </c>
      <c r="I12" s="64">
        <f t="shared" si="6"/>
        <v>97.2</v>
      </c>
      <c r="J12" s="64">
        <f t="shared" si="6"/>
        <v>97.2</v>
      </c>
      <c r="K12" s="64">
        <f t="shared" si="6"/>
        <v>97.2</v>
      </c>
      <c r="L12" s="64">
        <f t="shared" si="6"/>
        <v>97.2</v>
      </c>
    </row>
    <row r="13" ht="13" customHeight="1" spans="1:12">
      <c r="A13" s="73">
        <f>A12+0.1</f>
        <v>2.1</v>
      </c>
      <c r="B13" s="29" t="s">
        <v>99</v>
      </c>
      <c r="C13" s="44"/>
      <c r="D13" s="11">
        <v>0.5</v>
      </c>
      <c r="E13" s="11">
        <f t="shared" ref="D13:Q13" si="7">D13</f>
        <v>0.5</v>
      </c>
      <c r="F13" s="11">
        <f t="shared" si="7"/>
        <v>0.5</v>
      </c>
      <c r="G13" s="11">
        <f t="shared" si="7"/>
        <v>0.5</v>
      </c>
      <c r="H13" s="11">
        <f t="shared" si="7"/>
        <v>0.5</v>
      </c>
      <c r="I13" s="13">
        <f t="shared" si="7"/>
        <v>0.5</v>
      </c>
      <c r="J13" s="11">
        <f t="shared" si="7"/>
        <v>0.5</v>
      </c>
      <c r="K13" s="11">
        <f t="shared" si="7"/>
        <v>0.5</v>
      </c>
      <c r="L13" s="11">
        <f t="shared" si="7"/>
        <v>0.5</v>
      </c>
    </row>
    <row r="14" s="54" customFormat="1" ht="13" customHeight="1" spans="1:12">
      <c r="A14" s="73">
        <f>A13+0.1</f>
        <v>2.2</v>
      </c>
      <c r="B14" s="74" t="s">
        <v>100</v>
      </c>
      <c r="C14" s="75"/>
      <c r="D14" s="11">
        <f>6000*0.9</f>
        <v>5400</v>
      </c>
      <c r="E14" s="11">
        <f t="shared" ref="E14:Q14" si="8">6000*0.9</f>
        <v>5400</v>
      </c>
      <c r="F14" s="11">
        <f t="shared" si="8"/>
        <v>5400</v>
      </c>
      <c r="G14" s="11">
        <f t="shared" si="8"/>
        <v>5400</v>
      </c>
      <c r="H14" s="11">
        <f t="shared" si="8"/>
        <v>5400</v>
      </c>
      <c r="I14" s="11">
        <f t="shared" si="8"/>
        <v>5400</v>
      </c>
      <c r="J14" s="11">
        <f t="shared" si="8"/>
        <v>5400</v>
      </c>
      <c r="K14" s="11">
        <f t="shared" si="8"/>
        <v>5400</v>
      </c>
      <c r="L14" s="11">
        <f t="shared" si="8"/>
        <v>5400</v>
      </c>
    </row>
    <row r="15" s="52" customFormat="1" ht="12" customHeight="1" spans="1:12">
      <c r="A15" s="24">
        <v>3</v>
      </c>
      <c r="B15" s="76" t="s">
        <v>101</v>
      </c>
      <c r="C15" s="67"/>
      <c r="D15" s="77">
        <f>D16*D17/10000</f>
        <v>30</v>
      </c>
      <c r="E15" s="77">
        <f t="shared" ref="E15:Q15" si="9">E16*E17/10000</f>
        <v>30</v>
      </c>
      <c r="F15" s="77">
        <f t="shared" si="9"/>
        <v>30</v>
      </c>
      <c r="G15" s="77">
        <f t="shared" si="9"/>
        <v>30</v>
      </c>
      <c r="H15" s="77">
        <f t="shared" si="9"/>
        <v>30</v>
      </c>
      <c r="I15" s="77">
        <f t="shared" si="9"/>
        <v>30</v>
      </c>
      <c r="J15" s="77">
        <f t="shared" si="9"/>
        <v>30</v>
      </c>
      <c r="K15" s="77">
        <f t="shared" si="9"/>
        <v>30</v>
      </c>
      <c r="L15" s="77">
        <f t="shared" si="9"/>
        <v>30</v>
      </c>
    </row>
    <row r="16" s="52" customFormat="1" ht="12" customHeight="1" spans="1:12">
      <c r="A16" s="24"/>
      <c r="B16" s="78" t="s">
        <v>102</v>
      </c>
      <c r="C16" s="67"/>
      <c r="D16" s="79">
        <f>300</f>
        <v>300</v>
      </c>
      <c r="E16" s="79">
        <f t="shared" ref="E16:Q16" si="10">D16</f>
        <v>300</v>
      </c>
      <c r="F16" s="79">
        <f t="shared" si="10"/>
        <v>300</v>
      </c>
      <c r="G16" s="79">
        <f t="shared" si="10"/>
        <v>300</v>
      </c>
      <c r="H16" s="79">
        <f t="shared" si="10"/>
        <v>300</v>
      </c>
      <c r="I16" s="79">
        <f t="shared" si="10"/>
        <v>300</v>
      </c>
      <c r="J16" s="79">
        <f t="shared" si="10"/>
        <v>300</v>
      </c>
      <c r="K16" s="79">
        <f t="shared" si="10"/>
        <v>300</v>
      </c>
      <c r="L16" s="79">
        <f t="shared" si="10"/>
        <v>300</v>
      </c>
    </row>
    <row r="17" s="52" customFormat="1" ht="12" customHeight="1" spans="1:12">
      <c r="A17" s="24"/>
      <c r="B17" s="78" t="s">
        <v>103</v>
      </c>
      <c r="C17" s="67"/>
      <c r="D17" s="79">
        <f>1000</f>
        <v>1000</v>
      </c>
      <c r="E17" s="79">
        <f>D17</f>
        <v>1000</v>
      </c>
      <c r="F17" s="79">
        <f t="shared" ref="F17:L17" si="11">E17</f>
        <v>1000</v>
      </c>
      <c r="G17" s="79">
        <f t="shared" si="11"/>
        <v>1000</v>
      </c>
      <c r="H17" s="79">
        <f t="shared" si="11"/>
        <v>1000</v>
      </c>
      <c r="I17" s="79">
        <f t="shared" si="11"/>
        <v>1000</v>
      </c>
      <c r="J17" s="79">
        <f t="shared" si="11"/>
        <v>1000</v>
      </c>
      <c r="K17" s="79">
        <f t="shared" si="11"/>
        <v>1000</v>
      </c>
      <c r="L17" s="79">
        <f t="shared" si="11"/>
        <v>1000</v>
      </c>
    </row>
    <row r="18" s="52" customFormat="1" ht="12" customHeight="1" spans="1:12">
      <c r="A18" s="24" t="s">
        <v>104</v>
      </c>
      <c r="B18" s="24" t="s">
        <v>105</v>
      </c>
      <c r="C18" s="67">
        <f>SUM((D18:L18))</f>
        <v>165.040753387653</v>
      </c>
      <c r="D18" s="64">
        <f t="shared" ref="D18:Q18" si="12">D19+D20+D21+D22</f>
        <v>18.7421551740993</v>
      </c>
      <c r="E18" s="64">
        <f t="shared" si="12"/>
        <v>18.6481835989473</v>
      </c>
      <c r="F18" s="64">
        <f t="shared" si="12"/>
        <v>18.554681881671</v>
      </c>
      <c r="G18" s="64">
        <f t="shared" si="12"/>
        <v>18.4616476729812</v>
      </c>
      <c r="H18" s="64">
        <f t="shared" si="12"/>
        <v>18.3690786353348</v>
      </c>
      <c r="I18" s="7">
        <f t="shared" si="12"/>
        <v>18.2032624428766</v>
      </c>
      <c r="J18" s="64">
        <f t="shared" si="12"/>
        <v>18.1116167813807</v>
      </c>
      <c r="K18" s="64">
        <f t="shared" si="12"/>
        <v>18.0204293481923</v>
      </c>
      <c r="L18" s="64">
        <f t="shared" si="12"/>
        <v>17.9296978521698</v>
      </c>
    </row>
    <row r="19" ht="12" customHeight="1" spans="1:12">
      <c r="A19" s="80">
        <v>1</v>
      </c>
      <c r="B19" s="29" t="s">
        <v>106</v>
      </c>
      <c r="C19" s="44"/>
      <c r="D19" s="12"/>
      <c r="E19" s="12"/>
      <c r="F19" s="12"/>
      <c r="G19" s="12"/>
      <c r="H19" s="12"/>
      <c r="I19" s="81"/>
      <c r="J19" s="12"/>
      <c r="K19" s="12"/>
      <c r="L19" s="12"/>
    </row>
    <row r="20" ht="12" customHeight="1" spans="1:12">
      <c r="A20" s="80">
        <v>2</v>
      </c>
      <c r="B20" s="29" t="s">
        <v>107</v>
      </c>
      <c r="C20" s="44"/>
      <c r="D20" s="12"/>
      <c r="E20" s="12"/>
      <c r="F20" s="12"/>
      <c r="G20" s="12"/>
      <c r="H20" s="12"/>
      <c r="I20" s="81"/>
      <c r="J20" s="12"/>
      <c r="K20" s="12"/>
      <c r="L20" s="12"/>
    </row>
    <row r="21" ht="12" customHeight="1" spans="1:12">
      <c r="A21" s="80">
        <v>3</v>
      </c>
      <c r="B21" s="82" t="s">
        <v>108</v>
      </c>
      <c r="C21" s="44">
        <f>SUM((D21:L21))</f>
        <v>115.528527371357</v>
      </c>
      <c r="D21" s="11">
        <f t="shared" ref="D21:Q21" si="13">D23*0.07</f>
        <v>13.1195086218695</v>
      </c>
      <c r="E21" s="11">
        <f t="shared" si="13"/>
        <v>13.0537285192631</v>
      </c>
      <c r="F21" s="11">
        <f t="shared" si="13"/>
        <v>12.9882773171697</v>
      </c>
      <c r="G21" s="11">
        <f t="shared" si="13"/>
        <v>12.9231533710868</v>
      </c>
      <c r="H21" s="11">
        <f t="shared" si="13"/>
        <v>12.8583550447343</v>
      </c>
      <c r="I21" s="13">
        <f t="shared" si="13"/>
        <v>12.7422837100136</v>
      </c>
      <c r="J21" s="11">
        <f t="shared" si="13"/>
        <v>12.6781317469665</v>
      </c>
      <c r="K21" s="11">
        <f t="shared" si="13"/>
        <v>12.6143005437346</v>
      </c>
      <c r="L21" s="11">
        <f t="shared" si="13"/>
        <v>12.5507884965189</v>
      </c>
    </row>
    <row r="22" ht="12" customHeight="1" spans="1:12">
      <c r="A22" s="80">
        <v>4</v>
      </c>
      <c r="B22" s="29" t="s">
        <v>109</v>
      </c>
      <c r="C22" s="44">
        <f>SUM((D22:L22))</f>
        <v>49.5122260162958</v>
      </c>
      <c r="D22" s="11">
        <f t="shared" ref="D22:Q22" si="14">D23*0.03</f>
        <v>5.62264655222978</v>
      </c>
      <c r="E22" s="11">
        <f t="shared" si="14"/>
        <v>5.59445507968418</v>
      </c>
      <c r="F22" s="11">
        <f t="shared" si="14"/>
        <v>5.56640456450131</v>
      </c>
      <c r="G22" s="11">
        <f t="shared" si="14"/>
        <v>5.53849430189435</v>
      </c>
      <c r="H22" s="11">
        <f t="shared" si="14"/>
        <v>5.51072359060043</v>
      </c>
      <c r="I22" s="13">
        <f t="shared" si="14"/>
        <v>5.46097873286298</v>
      </c>
      <c r="J22" s="11">
        <f t="shared" si="14"/>
        <v>5.4334850344142</v>
      </c>
      <c r="K22" s="11">
        <f t="shared" si="14"/>
        <v>5.40612880445769</v>
      </c>
      <c r="L22" s="11">
        <f t="shared" si="14"/>
        <v>5.37890935565094</v>
      </c>
    </row>
    <row r="23" ht="12" customHeight="1" spans="1:12">
      <c r="A23" s="29" t="s">
        <v>110</v>
      </c>
      <c r="B23" s="29" t="s">
        <v>111</v>
      </c>
      <c r="C23" s="44">
        <f>SUM((D23:L23))</f>
        <v>1650.40753387653</v>
      </c>
      <c r="D23" s="11">
        <f t="shared" ref="D23:Q23" si="15">D24-D25</f>
        <v>187.421551740993</v>
      </c>
      <c r="E23" s="11">
        <f t="shared" si="15"/>
        <v>186.481835989473</v>
      </c>
      <c r="F23" s="11">
        <f t="shared" si="15"/>
        <v>185.54681881671</v>
      </c>
      <c r="G23" s="11">
        <f t="shared" si="15"/>
        <v>184.616476729812</v>
      </c>
      <c r="H23" s="11">
        <f t="shared" si="15"/>
        <v>183.690786353348</v>
      </c>
      <c r="I23" s="11">
        <f t="shared" si="15"/>
        <v>182.032624428766</v>
      </c>
      <c r="J23" s="11">
        <f t="shared" si="15"/>
        <v>181.116167813806</v>
      </c>
      <c r="K23" s="11">
        <f t="shared" si="15"/>
        <v>180.204293481923</v>
      </c>
      <c r="L23" s="11">
        <f t="shared" si="15"/>
        <v>179.296978521698</v>
      </c>
    </row>
    <row r="24" ht="12" customHeight="1" spans="1:12">
      <c r="A24" s="80">
        <v>1</v>
      </c>
      <c r="B24" s="29" t="s">
        <v>112</v>
      </c>
      <c r="C24" s="44">
        <f>SUM((D24:L24))</f>
        <v>1779.56499774159</v>
      </c>
      <c r="D24" s="11">
        <f t="shared" ref="D24:Q24" si="16">(D6+D12)*0.13+D15*0.09</f>
        <v>201.6626184</v>
      </c>
      <c r="E24" s="11">
        <f t="shared" si="16"/>
        <v>200.667805308</v>
      </c>
      <c r="F24" s="11">
        <f t="shared" si="16"/>
        <v>199.67796628146</v>
      </c>
      <c r="G24" s="11">
        <f t="shared" si="16"/>
        <v>198.693076450053</v>
      </c>
      <c r="H24" s="11">
        <f t="shared" si="16"/>
        <v>197.713111067802</v>
      </c>
      <c r="I24" s="11">
        <f t="shared" si="16"/>
        <v>196.738045512464</v>
      </c>
      <c r="J24" s="11">
        <f t="shared" si="16"/>
        <v>195.767855284901</v>
      </c>
      <c r="K24" s="11">
        <f t="shared" si="16"/>
        <v>194.802516008477</v>
      </c>
      <c r="L24" s="11">
        <f t="shared" si="16"/>
        <v>193.842003428434</v>
      </c>
    </row>
    <row r="25" ht="12" customHeight="1" spans="1:12">
      <c r="A25" s="80">
        <v>2</v>
      </c>
      <c r="B25" s="29" t="s">
        <v>113</v>
      </c>
      <c r="C25" s="44">
        <f>SUM((D25:L25))</f>
        <v>129.157463865063</v>
      </c>
      <c r="D25" s="11">
        <f>总成本费用表!D5*0.13+(总成本费用表!D8+总成本费用表!D7)*0.09</f>
        <v>14.2410666590074</v>
      </c>
      <c r="E25" s="11">
        <f>总成本费用表!E5*0.13+(总成本费用表!E8+总成本费用表!E7)*0.09</f>
        <v>14.1859693185274</v>
      </c>
      <c r="F25" s="11">
        <f>总成本费用表!F5*0.13+(总成本费用表!F8+总成本费用表!F7)*0.09</f>
        <v>14.1311474647498</v>
      </c>
      <c r="G25" s="11">
        <f>总成本费用表!G5*0.13+(总成本费用表!G8+总成本费用表!G7)*0.09</f>
        <v>14.0765997202411</v>
      </c>
      <c r="H25" s="11">
        <f>总成本费用表!H5*0.13+(总成本费用表!H8+总成本费用表!H7)*0.09</f>
        <v>14.022324714455</v>
      </c>
      <c r="I25" s="11">
        <f>总成本费用表!I5*0.13+(总成本费用表!I8+总成本费用表!I7)*0.09</f>
        <v>14.7054210836977</v>
      </c>
      <c r="J25" s="11">
        <f>总成本费用表!J5*0.13+(总成本费用表!J8+总成本费用表!J7)*0.09</f>
        <v>14.6516874710942</v>
      </c>
      <c r="K25" s="11">
        <f>总成本费用表!K5*0.13+(总成本费用表!K8+总成本费用表!K7)*0.09</f>
        <v>14.5982225265539</v>
      </c>
      <c r="L25" s="11">
        <f>总成本费用表!L5*0.13+(总成本费用表!L8+总成本费用表!L7)*0.09</f>
        <v>14.5450249067361</v>
      </c>
    </row>
  </sheetData>
  <sheetProtection formatCells="0" insertHyperlinks="0" autoFilter="0"/>
  <mergeCells count="5">
    <mergeCell ref="A1:K1"/>
    <mergeCell ref="D3:L3"/>
    <mergeCell ref="A3:A4"/>
    <mergeCell ref="B3:B4"/>
    <mergeCell ref="C3:C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zoomScale="120" zoomScaleNormal="120" topLeftCell="D7" workbookViewId="0">
      <selection activeCell="O12" sqref="O12"/>
    </sheetView>
  </sheetViews>
  <sheetFormatPr defaultColWidth="9" defaultRowHeight="13.5"/>
  <cols>
    <col min="1" max="1" width="3.36666666666667" style="40" customWidth="1"/>
    <col min="2" max="2" width="14.1333333333333" style="40" customWidth="1"/>
    <col min="3" max="3" width="13.325" customWidth="1"/>
    <col min="4" max="12" width="7.86666666666667" customWidth="1"/>
  </cols>
  <sheetData>
    <row r="1" spans="1:12">
      <c r="A1" s="47" t="s">
        <v>114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ht="15.4" customHeight="1" spans="1:12">
      <c r="K2" t="s">
        <v>1</v>
      </c>
    </row>
    <row r="3" s="18" customFormat="1" ht="14.1" customHeight="1" spans="1:12">
      <c r="A3" s="48" t="s">
        <v>2</v>
      </c>
      <c r="B3" s="48" t="s">
        <v>80</v>
      </c>
      <c r="C3" s="48" t="s">
        <v>8</v>
      </c>
      <c r="D3" s="24"/>
      <c r="E3" s="24"/>
      <c r="F3" s="24"/>
      <c r="G3" s="24"/>
      <c r="H3" s="24"/>
      <c r="I3" s="24"/>
      <c r="J3" s="24"/>
      <c r="K3" s="24"/>
      <c r="L3" s="24"/>
    </row>
    <row r="4" s="18" customFormat="1" ht="12" customHeight="1" spans="1:12">
      <c r="A4" s="49"/>
      <c r="B4" s="49"/>
      <c r="C4" s="49"/>
      <c r="D4" s="27">
        <v>2</v>
      </c>
      <c r="E4" s="27">
        <v>3</v>
      </c>
      <c r="F4" s="27">
        <v>4</v>
      </c>
      <c r="G4" s="27">
        <v>5</v>
      </c>
      <c r="H4" s="27">
        <v>6</v>
      </c>
      <c r="I4" s="27">
        <v>7</v>
      </c>
      <c r="J4" s="27">
        <v>8</v>
      </c>
      <c r="K4" s="27">
        <v>9</v>
      </c>
      <c r="L4" s="27">
        <v>10</v>
      </c>
    </row>
    <row r="5" s="19" customFormat="1" ht="15" customHeight="1" spans="1:12">
      <c r="A5" s="32">
        <v>1</v>
      </c>
      <c r="B5" s="33" t="s">
        <v>115</v>
      </c>
      <c r="C5" s="46">
        <f>SUM(D5:L5)</f>
        <v>40.68</v>
      </c>
      <c r="D5" s="46">
        <f>2</f>
        <v>2</v>
      </c>
      <c r="E5" s="46">
        <f t="shared" ref="E5:Q5" si="0">D5</f>
        <v>2</v>
      </c>
      <c r="F5" s="46">
        <f t="shared" si="0"/>
        <v>2</v>
      </c>
      <c r="G5" s="46">
        <f t="shared" si="0"/>
        <v>2</v>
      </c>
      <c r="H5" s="46">
        <f t="shared" si="0"/>
        <v>2</v>
      </c>
      <c r="I5" s="46">
        <f>H5+(0.05*0.9*360*0.35)</f>
        <v>7.67</v>
      </c>
      <c r="J5" s="46">
        <f t="shared" si="0"/>
        <v>7.67</v>
      </c>
      <c r="K5" s="46">
        <f t="shared" si="0"/>
        <v>7.67</v>
      </c>
      <c r="L5" s="46">
        <f t="shared" si="0"/>
        <v>7.67</v>
      </c>
    </row>
    <row r="6" s="19" customFormat="1" ht="15" customHeight="1" spans="1:12">
      <c r="A6" s="32">
        <v>2</v>
      </c>
      <c r="B6" s="33" t="s">
        <v>116</v>
      </c>
      <c r="C6" s="46">
        <f>SUM(D6:L6)</f>
        <v>216</v>
      </c>
      <c r="D6" s="46">
        <f>4*6</f>
        <v>24</v>
      </c>
      <c r="E6" s="46">
        <f t="shared" ref="E6:L6" si="1">D6</f>
        <v>24</v>
      </c>
      <c r="F6" s="46">
        <f t="shared" si="1"/>
        <v>24</v>
      </c>
      <c r="G6" s="46">
        <f t="shared" si="1"/>
        <v>24</v>
      </c>
      <c r="H6" s="46">
        <f t="shared" si="1"/>
        <v>24</v>
      </c>
      <c r="I6" s="46">
        <f t="shared" si="1"/>
        <v>24</v>
      </c>
      <c r="J6" s="46">
        <f t="shared" si="1"/>
        <v>24</v>
      </c>
      <c r="K6" s="46">
        <f t="shared" si="1"/>
        <v>24</v>
      </c>
      <c r="L6" s="46">
        <f t="shared" si="1"/>
        <v>24</v>
      </c>
    </row>
    <row r="7" s="19" customFormat="1" ht="15" customHeight="1" spans="1:12">
      <c r="A7" s="32">
        <v>3</v>
      </c>
      <c r="B7" s="33" t="s">
        <v>117</v>
      </c>
      <c r="C7" s="46">
        <f>SUM(D7:L7)</f>
        <v>274.559856300744</v>
      </c>
      <c r="D7" s="46">
        <f>D10*0.08</f>
        <v>30.5066507000826</v>
      </c>
      <c r="E7" s="46">
        <f t="shared" ref="E7:L7" si="2">E10*0.08</f>
        <v>30.5066507000826</v>
      </c>
      <c r="F7" s="46">
        <f t="shared" si="2"/>
        <v>30.5066507000826</v>
      </c>
      <c r="G7" s="46">
        <f t="shared" si="2"/>
        <v>30.5066507000826</v>
      </c>
      <c r="H7" s="46">
        <f t="shared" si="2"/>
        <v>30.5066507000826</v>
      </c>
      <c r="I7" s="46">
        <f t="shared" si="2"/>
        <v>30.5066507000826</v>
      </c>
      <c r="J7" s="46">
        <f t="shared" si="2"/>
        <v>30.5066507000826</v>
      </c>
      <c r="K7" s="46">
        <f t="shared" si="2"/>
        <v>30.5066507000826</v>
      </c>
      <c r="L7" s="46">
        <f t="shared" si="2"/>
        <v>30.5066507000826</v>
      </c>
    </row>
    <row r="8" s="18" customFormat="1" ht="15" customHeight="1" spans="1:12">
      <c r="A8" s="32">
        <v>4</v>
      </c>
      <c r="B8" s="29" t="s">
        <v>118</v>
      </c>
      <c r="C8" s="46">
        <f t="shared" ref="C8:C15" si="3">SUM(D8:L8)</f>
        <v>1101.76307553329</v>
      </c>
      <c r="D8" s="44">
        <f>营业收入及税金表!D5*0.08</f>
        <v>124.8385344</v>
      </c>
      <c r="E8" s="44">
        <f>营业收入及税金表!E5*0.08</f>
        <v>124.226341728</v>
      </c>
      <c r="F8" s="44">
        <f>营业收入及税金表!F5*0.08</f>
        <v>123.61721001936</v>
      </c>
      <c r="G8" s="44">
        <f>营业收入及税金表!G5*0.08</f>
        <v>123.011123969263</v>
      </c>
      <c r="H8" s="44">
        <f>营业收入及税金表!H5*0.08</f>
        <v>122.408068349417</v>
      </c>
      <c r="I8" s="44">
        <f>营业收入及税金表!I5*0.08</f>
        <v>121.80802800767</v>
      </c>
      <c r="J8" s="44">
        <f>营业收入及税金表!J5*0.08</f>
        <v>121.210987867631</v>
      </c>
      <c r="K8" s="44">
        <f>营业收入及税金表!K5*0.08</f>
        <v>120.616932928294</v>
      </c>
      <c r="L8" s="44">
        <f>营业收入及税金表!L5*0.08</f>
        <v>120.025848263652</v>
      </c>
    </row>
    <row r="9" s="18" customFormat="1" ht="21" customHeight="1" spans="1:12">
      <c r="A9" s="32">
        <v>7</v>
      </c>
      <c r="B9" s="29" t="s">
        <v>119</v>
      </c>
      <c r="C9" s="46">
        <f t="shared" si="3"/>
        <v>1633.00293183403</v>
      </c>
      <c r="D9" s="50">
        <f>SUM(D6:D8)+D5</f>
        <v>181.345185100083</v>
      </c>
      <c r="E9" s="50">
        <f t="shared" ref="E9:Q9" si="4">SUM(E6:E8)+E5</f>
        <v>180.732992428083</v>
      </c>
      <c r="F9" s="50">
        <f t="shared" si="4"/>
        <v>180.123860719443</v>
      </c>
      <c r="G9" s="50">
        <f t="shared" si="4"/>
        <v>179.517774669346</v>
      </c>
      <c r="H9" s="50">
        <f t="shared" si="4"/>
        <v>178.9147190495</v>
      </c>
      <c r="I9" s="50">
        <f t="shared" si="4"/>
        <v>183.984678707753</v>
      </c>
      <c r="J9" s="50">
        <f t="shared" si="4"/>
        <v>183.387638567714</v>
      </c>
      <c r="K9" s="50">
        <f t="shared" si="4"/>
        <v>182.793583628376</v>
      </c>
      <c r="L9" s="50">
        <f t="shared" si="4"/>
        <v>182.202498963734</v>
      </c>
    </row>
    <row r="10" s="18" customFormat="1" ht="15" customHeight="1" spans="1:12">
      <c r="A10" s="32">
        <v>8</v>
      </c>
      <c r="B10" s="29" t="s">
        <v>87</v>
      </c>
      <c r="C10" s="46">
        <f t="shared" si="3"/>
        <v>3431.9982037593</v>
      </c>
      <c r="D10" s="44">
        <f>固定资产折旧!F9</f>
        <v>381.333133751033</v>
      </c>
      <c r="E10" s="44">
        <f>固定资产折旧!G9</f>
        <v>381.333133751033</v>
      </c>
      <c r="F10" s="44">
        <f>固定资产折旧!H9</f>
        <v>381.333133751033</v>
      </c>
      <c r="G10" s="44">
        <f>固定资产折旧!I9</f>
        <v>381.333133751033</v>
      </c>
      <c r="H10" s="44">
        <f>固定资产折旧!J9</f>
        <v>381.333133751033</v>
      </c>
      <c r="I10" s="44">
        <f>固定资产折旧!K9</f>
        <v>381.333133751033</v>
      </c>
      <c r="J10" s="44">
        <f>固定资产折旧!L9</f>
        <v>381.333133751033</v>
      </c>
      <c r="K10" s="44">
        <f>固定资产折旧!M9</f>
        <v>381.333133751033</v>
      </c>
      <c r="L10" s="44">
        <f>固定资产折旧!N9</f>
        <v>381.333133751033</v>
      </c>
    </row>
    <row r="11" s="18" customFormat="1" ht="15" customHeight="1" spans="1:12">
      <c r="A11" s="28">
        <v>10</v>
      </c>
      <c r="B11" s="29" t="s">
        <v>120</v>
      </c>
      <c r="C11" s="46">
        <f t="shared" si="3"/>
        <v>0</v>
      </c>
      <c r="D11" s="50"/>
      <c r="E11" s="50"/>
      <c r="F11" s="50"/>
      <c r="G11" s="50"/>
      <c r="H11" s="50"/>
      <c r="I11" s="50"/>
      <c r="J11" s="50"/>
      <c r="K11" s="50"/>
      <c r="L11" s="50"/>
    </row>
    <row r="12" s="19" customFormat="1" ht="15" customHeight="1" spans="1:12">
      <c r="A12" s="32">
        <v>11</v>
      </c>
      <c r="B12" s="33" t="s">
        <v>121</v>
      </c>
      <c r="C12" s="46">
        <f t="shared" si="3"/>
        <v>1505.25</v>
      </c>
      <c r="D12" s="46">
        <f>还本付息表!E9</f>
        <v>303.75</v>
      </c>
      <c r="E12" s="46">
        <f>还本付息表!F9</f>
        <v>272.25</v>
      </c>
      <c r="F12" s="46">
        <f>还本付息表!G9</f>
        <v>239.625</v>
      </c>
      <c r="G12" s="46">
        <f>还本付息表!H9</f>
        <v>205.875</v>
      </c>
      <c r="H12" s="46">
        <f>还本付息表!I9</f>
        <v>171</v>
      </c>
      <c r="I12" s="46">
        <f>还本付息表!J9</f>
        <v>135</v>
      </c>
      <c r="J12" s="46">
        <f>还本付息表!K9</f>
        <v>97.875</v>
      </c>
      <c r="K12" s="46">
        <f>还本付息表!L9</f>
        <v>59.625</v>
      </c>
      <c r="L12" s="46">
        <f>还本付息表!M9</f>
        <v>20.25</v>
      </c>
    </row>
    <row r="13" s="18" customFormat="1" ht="18.95" customHeight="1" spans="1:12">
      <c r="A13" s="28">
        <v>12</v>
      </c>
      <c r="B13" s="29" t="s">
        <v>122</v>
      </c>
      <c r="C13" s="46">
        <f t="shared" si="3"/>
        <v>6570.25113559333</v>
      </c>
      <c r="D13" s="50">
        <f t="shared" ref="D13:Q13" si="5">SUM(D9:D12)</f>
        <v>866.428318851116</v>
      </c>
      <c r="E13" s="50">
        <f t="shared" si="5"/>
        <v>834.316126179116</v>
      </c>
      <c r="F13" s="50">
        <f t="shared" si="5"/>
        <v>801.081994470476</v>
      </c>
      <c r="G13" s="50">
        <f t="shared" si="5"/>
        <v>766.725908420379</v>
      </c>
      <c r="H13" s="50">
        <f t="shared" si="5"/>
        <v>731.247852800533</v>
      </c>
      <c r="I13" s="50">
        <f t="shared" si="5"/>
        <v>700.317812458786</v>
      </c>
      <c r="J13" s="50">
        <f t="shared" si="5"/>
        <v>662.595772318747</v>
      </c>
      <c r="K13" s="50">
        <f t="shared" si="5"/>
        <v>623.751717379409</v>
      </c>
      <c r="L13" s="50">
        <f t="shared" si="5"/>
        <v>583.785632714767</v>
      </c>
    </row>
    <row r="14" s="18" customFormat="1" ht="15" customHeight="1" spans="1:12">
      <c r="A14" s="51">
        <v>12.1</v>
      </c>
      <c r="B14" s="29" t="s">
        <v>123</v>
      </c>
      <c r="C14" s="46">
        <f t="shared" si="3"/>
        <v>6039.01127929258</v>
      </c>
      <c r="D14" s="50">
        <f t="shared" ref="D14:Q14" si="6">D8+D10+D11+D12</f>
        <v>809.921668151033</v>
      </c>
      <c r="E14" s="50">
        <f t="shared" si="6"/>
        <v>777.809475479033</v>
      </c>
      <c r="F14" s="50">
        <f t="shared" si="6"/>
        <v>744.575343770393</v>
      </c>
      <c r="G14" s="50">
        <f t="shared" si="6"/>
        <v>710.219257720296</v>
      </c>
      <c r="H14" s="50">
        <f t="shared" si="6"/>
        <v>674.74120210045</v>
      </c>
      <c r="I14" s="50">
        <f t="shared" si="6"/>
        <v>638.141161758703</v>
      </c>
      <c r="J14" s="50">
        <f t="shared" si="6"/>
        <v>600.419121618664</v>
      </c>
      <c r="K14" s="50">
        <f t="shared" si="6"/>
        <v>561.575066679326</v>
      </c>
      <c r="L14" s="50">
        <f t="shared" si="6"/>
        <v>521.608982014685</v>
      </c>
    </row>
    <row r="15" s="18" customFormat="1" ht="15" customHeight="1" spans="1:12">
      <c r="A15" s="51">
        <v>12.2</v>
      </c>
      <c r="B15" s="29" t="s">
        <v>124</v>
      </c>
      <c r="C15" s="46">
        <f t="shared" si="3"/>
        <v>490.559856300744</v>
      </c>
      <c r="D15" s="44">
        <f>D6+D7</f>
        <v>54.5066507000826</v>
      </c>
      <c r="E15" s="44">
        <f t="shared" ref="E15:Q15" si="7">E6+E7</f>
        <v>54.5066507000826</v>
      </c>
      <c r="F15" s="44">
        <f t="shared" si="7"/>
        <v>54.5066507000826</v>
      </c>
      <c r="G15" s="44">
        <f t="shared" si="7"/>
        <v>54.5066507000826</v>
      </c>
      <c r="H15" s="44">
        <f t="shared" si="7"/>
        <v>54.5066507000826</v>
      </c>
      <c r="I15" s="44">
        <f t="shared" si="7"/>
        <v>54.5066507000826</v>
      </c>
      <c r="J15" s="44">
        <f t="shared" si="7"/>
        <v>54.5066507000826</v>
      </c>
      <c r="K15" s="44">
        <f t="shared" si="7"/>
        <v>54.5066507000826</v>
      </c>
      <c r="L15" s="44">
        <f t="shared" si="7"/>
        <v>54.5066507000826</v>
      </c>
    </row>
  </sheetData>
  <sheetProtection formatCells="0" insertHyperlinks="0" autoFilter="0"/>
  <mergeCells count="5">
    <mergeCell ref="A1:L1"/>
    <mergeCell ref="D3:L3"/>
    <mergeCell ref="A3:A4"/>
    <mergeCell ref="B3:B4"/>
    <mergeCell ref="C3:C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zoomScale="120" zoomScaleNormal="120" topLeftCell="B1" workbookViewId="0">
      <selection activeCell="O16" sqref="O16"/>
    </sheetView>
  </sheetViews>
  <sheetFormatPr defaultColWidth="9" defaultRowHeight="13.5"/>
  <cols>
    <col min="1" max="1" width="3.63333333333333" customWidth="1"/>
    <col min="2" max="2" width="26.5083333333333" customWidth="1"/>
    <col min="3" max="3" width="9.93333333333333" style="40" customWidth="1"/>
    <col min="4" max="12" width="8.24166666666667" customWidth="1"/>
  </cols>
  <sheetData>
    <row r="1" ht="27" customHeight="1" spans="1:12">
      <c r="A1" s="20" t="s">
        <v>125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>
      <c r="J2" t="s">
        <v>1</v>
      </c>
    </row>
    <row r="3" spans="1:12">
      <c r="A3" s="36" t="s">
        <v>2</v>
      </c>
      <c r="B3" s="41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2">
      <c r="A4" s="36"/>
      <c r="B4" s="29" t="s">
        <v>126</v>
      </c>
      <c r="C4" s="29" t="s">
        <v>8</v>
      </c>
      <c r="D4" s="28">
        <v>2</v>
      </c>
      <c r="E4" s="28">
        <v>3</v>
      </c>
      <c r="F4" s="28">
        <v>4</v>
      </c>
      <c r="G4" s="28">
        <v>5</v>
      </c>
      <c r="H4" s="28">
        <v>6</v>
      </c>
      <c r="I4" s="28">
        <v>7</v>
      </c>
      <c r="J4" s="28">
        <v>8</v>
      </c>
      <c r="K4" s="28">
        <v>9</v>
      </c>
      <c r="L4" s="28">
        <v>10</v>
      </c>
    </row>
    <row r="5" ht="12" customHeight="1" spans="1:12">
      <c r="A5" s="43">
        <v>1</v>
      </c>
      <c r="B5" s="29" t="s">
        <v>91</v>
      </c>
      <c r="C5" s="44">
        <f>SUM(D5:L5)</f>
        <v>13772.0384441661</v>
      </c>
      <c r="D5" s="44">
        <f>营业收入及税金表!D5</f>
        <v>1560.48168</v>
      </c>
      <c r="E5" s="44">
        <f>营业收入及税金表!E5</f>
        <v>1552.8292716</v>
      </c>
      <c r="F5" s="44">
        <f>营业收入及税金表!F5</f>
        <v>1545.215125242</v>
      </c>
      <c r="G5" s="44">
        <f>营业收入及税金表!G5</f>
        <v>1537.63904961579</v>
      </c>
      <c r="H5" s="44">
        <f>营业收入及税金表!H5</f>
        <v>1530.10085436771</v>
      </c>
      <c r="I5" s="44">
        <f>营业收入及税金表!I5</f>
        <v>1522.60035009587</v>
      </c>
      <c r="J5" s="44">
        <f>营业收入及税金表!J5</f>
        <v>1515.13734834539</v>
      </c>
      <c r="K5" s="44">
        <f>营业收入及税金表!K5</f>
        <v>1507.71166160367</v>
      </c>
      <c r="L5" s="44">
        <f>营业收入及税金表!L5</f>
        <v>1500.32310329565</v>
      </c>
    </row>
    <row r="6" ht="12" customHeight="1" spans="1:12">
      <c r="A6" s="43">
        <v>2</v>
      </c>
      <c r="B6" s="29" t="s">
        <v>127</v>
      </c>
      <c r="C6" s="44">
        <f t="shared" ref="C6:C18" si="0">SUM(D6:L6)</f>
        <v>165.040753387653</v>
      </c>
      <c r="D6" s="45">
        <f>营业收入及税金表!D18</f>
        <v>18.7421551740993</v>
      </c>
      <c r="E6" s="45">
        <f>营业收入及税金表!E18</f>
        <v>18.6481835989473</v>
      </c>
      <c r="F6" s="45">
        <f>营业收入及税金表!F18</f>
        <v>18.554681881671</v>
      </c>
      <c r="G6" s="45">
        <f>营业收入及税金表!G18</f>
        <v>18.4616476729812</v>
      </c>
      <c r="H6" s="45">
        <f>营业收入及税金表!H18</f>
        <v>18.3690786353348</v>
      </c>
      <c r="I6" s="45">
        <f>营业收入及税金表!I18</f>
        <v>18.2032624428766</v>
      </c>
      <c r="J6" s="45">
        <f>营业收入及税金表!J18</f>
        <v>18.1116167813807</v>
      </c>
      <c r="K6" s="45">
        <f>营业收入及税金表!K18</f>
        <v>18.0204293481923</v>
      </c>
      <c r="L6" s="45">
        <f>营业收入及税金表!L18</f>
        <v>17.9296978521698</v>
      </c>
    </row>
    <row r="7" ht="12" customHeight="1" spans="1:12">
      <c r="A7" s="43">
        <v>3</v>
      </c>
      <c r="B7" s="29" t="s">
        <v>111</v>
      </c>
      <c r="C7" s="44">
        <f t="shared" si="0"/>
        <v>1650.40753387653</v>
      </c>
      <c r="D7" s="44">
        <f>营业收入及税金表!D23</f>
        <v>187.421551740993</v>
      </c>
      <c r="E7" s="44">
        <f>营业收入及税金表!E23</f>
        <v>186.481835989473</v>
      </c>
      <c r="F7" s="44">
        <f>营业收入及税金表!F23</f>
        <v>185.54681881671</v>
      </c>
      <c r="G7" s="44">
        <f>营业收入及税金表!G23</f>
        <v>184.616476729812</v>
      </c>
      <c r="H7" s="44">
        <f>营业收入及税金表!H23</f>
        <v>183.690786353348</v>
      </c>
      <c r="I7" s="44">
        <f>营业收入及税金表!I23</f>
        <v>182.032624428766</v>
      </c>
      <c r="J7" s="44">
        <f>营业收入及税金表!J23</f>
        <v>181.116167813806</v>
      </c>
      <c r="K7" s="44">
        <f>营业收入及税金表!K23</f>
        <v>180.204293481923</v>
      </c>
      <c r="L7" s="44">
        <f>营业收入及税金表!L23</f>
        <v>179.296978521698</v>
      </c>
    </row>
    <row r="8" ht="12" customHeight="1" spans="1:12">
      <c r="A8" s="43">
        <v>4</v>
      </c>
      <c r="B8" s="29" t="s">
        <v>128</v>
      </c>
      <c r="C8" s="44">
        <f t="shared" si="0"/>
        <v>6570.25113559333</v>
      </c>
      <c r="D8" s="44">
        <f>总成本费用表!D13</f>
        <v>866.428318851116</v>
      </c>
      <c r="E8" s="44">
        <f>总成本费用表!E13</f>
        <v>834.316126179116</v>
      </c>
      <c r="F8" s="44">
        <f>总成本费用表!F13</f>
        <v>801.081994470476</v>
      </c>
      <c r="G8" s="44">
        <f>总成本费用表!G13</f>
        <v>766.725908420379</v>
      </c>
      <c r="H8" s="44">
        <f>总成本费用表!H13</f>
        <v>731.247852800533</v>
      </c>
      <c r="I8" s="44">
        <f>总成本费用表!I13</f>
        <v>700.317812458786</v>
      </c>
      <c r="J8" s="44">
        <f>总成本费用表!J13</f>
        <v>662.595772318747</v>
      </c>
      <c r="K8" s="44">
        <f>总成本费用表!K13</f>
        <v>623.751717379409</v>
      </c>
      <c r="L8" s="44">
        <f>总成本费用表!L13</f>
        <v>583.785632714767</v>
      </c>
    </row>
    <row r="9" ht="12" customHeight="1" spans="1:12">
      <c r="A9" s="43">
        <v>5</v>
      </c>
      <c r="B9" s="29" t="s">
        <v>129</v>
      </c>
      <c r="C9" s="44"/>
      <c r="D9" s="44"/>
      <c r="E9" s="44"/>
      <c r="F9" s="44"/>
      <c r="G9" s="44"/>
      <c r="H9" s="44"/>
      <c r="I9" s="44"/>
      <c r="J9" s="44"/>
      <c r="K9" s="44"/>
      <c r="L9" s="44"/>
    </row>
    <row r="10" ht="12" customHeight="1" spans="1:12">
      <c r="A10" s="43">
        <v>6</v>
      </c>
      <c r="B10" s="36" t="s">
        <v>130</v>
      </c>
      <c r="C10" s="44">
        <f t="shared" si="0"/>
        <v>5386.33902130857</v>
      </c>
      <c r="D10" s="46">
        <f t="shared" ref="D10:Q10" si="1">D5-D6-D7-D8+D9</f>
        <v>487.889654233793</v>
      </c>
      <c r="E10" s="46">
        <f t="shared" si="1"/>
        <v>513.383125832465</v>
      </c>
      <c r="F10" s="44">
        <f t="shared" si="1"/>
        <v>540.031630073143</v>
      </c>
      <c r="G10" s="44">
        <f t="shared" si="1"/>
        <v>567.835016792618</v>
      </c>
      <c r="H10" s="44">
        <f t="shared" si="1"/>
        <v>596.793136578497</v>
      </c>
      <c r="I10" s="44">
        <f t="shared" si="1"/>
        <v>622.046650765446</v>
      </c>
      <c r="J10" s="44">
        <f t="shared" si="1"/>
        <v>653.313791431456</v>
      </c>
      <c r="K10" s="44">
        <f t="shared" si="1"/>
        <v>685.735221394144</v>
      </c>
      <c r="L10" s="44">
        <f t="shared" si="1"/>
        <v>719.310794207011</v>
      </c>
    </row>
    <row r="11" ht="12" customHeight="1" spans="1:12">
      <c r="A11" s="43">
        <v>7</v>
      </c>
      <c r="B11" s="36" t="s">
        <v>131</v>
      </c>
      <c r="C11" s="44"/>
      <c r="D11" s="46"/>
      <c r="E11" s="46"/>
      <c r="F11" s="44"/>
      <c r="G11" s="44"/>
      <c r="H11" s="44"/>
      <c r="I11" s="44"/>
      <c r="J11" s="44"/>
      <c r="K11" s="44"/>
      <c r="L11" s="44"/>
    </row>
    <row r="12" ht="12" customHeight="1" spans="1:12">
      <c r="A12" s="43">
        <v>8</v>
      </c>
      <c r="B12" s="36" t="s">
        <v>132</v>
      </c>
      <c r="C12" s="44">
        <f t="shared" si="0"/>
        <v>5386.33902130857</v>
      </c>
      <c r="D12" s="44">
        <f>D10-D11</f>
        <v>487.889654233793</v>
      </c>
      <c r="E12" s="44">
        <f>E10-E11</f>
        <v>513.383125832465</v>
      </c>
      <c r="F12" s="44">
        <f t="shared" ref="D12:Q12" si="2">F10-F11</f>
        <v>540.031630073143</v>
      </c>
      <c r="G12" s="44">
        <f t="shared" si="2"/>
        <v>567.835016792618</v>
      </c>
      <c r="H12" s="44">
        <f t="shared" si="2"/>
        <v>596.793136578497</v>
      </c>
      <c r="I12" s="44">
        <f t="shared" si="2"/>
        <v>622.046650765446</v>
      </c>
      <c r="J12" s="44">
        <f t="shared" si="2"/>
        <v>653.313791431456</v>
      </c>
      <c r="K12" s="44">
        <f t="shared" si="2"/>
        <v>685.735221394144</v>
      </c>
      <c r="L12" s="44">
        <f t="shared" si="2"/>
        <v>719.310794207011</v>
      </c>
    </row>
    <row r="13" ht="12" customHeight="1" spans="1:12">
      <c r="A13" s="43">
        <v>9</v>
      </c>
      <c r="B13" s="29" t="s">
        <v>133</v>
      </c>
      <c r="C13" s="44">
        <f t="shared" si="0"/>
        <v>1346.58475532714</v>
      </c>
      <c r="D13" s="46">
        <f t="shared" ref="D13:Q13" si="3">D12*0.25</f>
        <v>121.972413558448</v>
      </c>
      <c r="E13" s="46">
        <f t="shared" si="3"/>
        <v>128.345781458116</v>
      </c>
      <c r="F13" s="46">
        <f t="shared" si="3"/>
        <v>135.007907518286</v>
      </c>
      <c r="G13" s="46">
        <f t="shared" si="3"/>
        <v>141.958754198155</v>
      </c>
      <c r="H13" s="44">
        <f t="shared" si="3"/>
        <v>149.198284144624</v>
      </c>
      <c r="I13" s="44">
        <f t="shared" si="3"/>
        <v>155.511662691361</v>
      </c>
      <c r="J13" s="44">
        <f t="shared" si="3"/>
        <v>163.328447857864</v>
      </c>
      <c r="K13" s="44">
        <f t="shared" si="3"/>
        <v>171.433805348536</v>
      </c>
      <c r="L13" s="44">
        <f t="shared" si="3"/>
        <v>179.827698551753</v>
      </c>
    </row>
    <row r="14" ht="12" customHeight="1" spans="1:12">
      <c r="A14" s="43">
        <v>10</v>
      </c>
      <c r="B14" s="36" t="s">
        <v>134</v>
      </c>
      <c r="C14" s="44">
        <f t="shared" si="0"/>
        <v>4039.75426598143</v>
      </c>
      <c r="D14" s="46">
        <f t="shared" ref="D14:Q14" si="4">D10-D11-D13</f>
        <v>365.917240675344</v>
      </c>
      <c r="E14" s="46">
        <f t="shared" si="4"/>
        <v>385.037344374348</v>
      </c>
      <c r="F14" s="46">
        <f t="shared" si="4"/>
        <v>405.023722554857</v>
      </c>
      <c r="G14" s="46">
        <f t="shared" si="4"/>
        <v>425.876262594464</v>
      </c>
      <c r="H14" s="46">
        <f t="shared" si="4"/>
        <v>447.594852433872</v>
      </c>
      <c r="I14" s="46">
        <f t="shared" si="4"/>
        <v>466.534988074084</v>
      </c>
      <c r="J14" s="46">
        <f t="shared" si="4"/>
        <v>489.985343573592</v>
      </c>
      <c r="K14" s="46">
        <f t="shared" si="4"/>
        <v>514.301416045608</v>
      </c>
      <c r="L14" s="46">
        <f t="shared" si="4"/>
        <v>539.483095655258</v>
      </c>
    </row>
    <row r="15" ht="12" customHeight="1" spans="1:12">
      <c r="A15" s="43">
        <v>11</v>
      </c>
      <c r="B15" s="36" t="s">
        <v>135</v>
      </c>
      <c r="C15" s="44">
        <f t="shared" si="0"/>
        <v>13379.7415153277</v>
      </c>
      <c r="D15" s="46">
        <v>0</v>
      </c>
      <c r="E15" s="46">
        <f t="shared" ref="D15:Q15" si="5">D24</f>
        <v>329.32551660781</v>
      </c>
      <c r="F15" s="46">
        <f t="shared" si="5"/>
        <v>675.859126544724</v>
      </c>
      <c r="G15" s="46">
        <f t="shared" si="5"/>
        <v>1040.3804768441</v>
      </c>
      <c r="H15" s="46">
        <f t="shared" si="5"/>
        <v>1423.66911317911</v>
      </c>
      <c r="I15" s="46">
        <f t="shared" si="5"/>
        <v>1826.5044803696</v>
      </c>
      <c r="J15" s="46">
        <f t="shared" si="5"/>
        <v>2246.38596963627</v>
      </c>
      <c r="K15" s="46">
        <f t="shared" si="5"/>
        <v>2687.37277885251</v>
      </c>
      <c r="L15" s="46">
        <f t="shared" si="5"/>
        <v>3150.24405329355</v>
      </c>
    </row>
    <row r="16" ht="12" customHeight="1" spans="1:12">
      <c r="A16" s="43">
        <v>12</v>
      </c>
      <c r="B16" s="36" t="s">
        <v>136</v>
      </c>
      <c r="C16" s="44">
        <f t="shared" si="0"/>
        <v>17419.4957813091</v>
      </c>
      <c r="D16" s="46">
        <f t="shared" ref="D16:Q16" si="6">D14+D15+D11</f>
        <v>365.917240675344</v>
      </c>
      <c r="E16" s="46">
        <f t="shared" si="6"/>
        <v>714.362860982159</v>
      </c>
      <c r="F16" s="46">
        <f t="shared" si="6"/>
        <v>1080.88284909958</v>
      </c>
      <c r="G16" s="46">
        <f t="shared" si="6"/>
        <v>1466.25673943856</v>
      </c>
      <c r="H16" s="46">
        <f t="shared" si="6"/>
        <v>1871.26396561299</v>
      </c>
      <c r="I16" s="46">
        <f t="shared" si="6"/>
        <v>2293.03946844368</v>
      </c>
      <c r="J16" s="46">
        <f t="shared" si="6"/>
        <v>2736.37131320987</v>
      </c>
      <c r="K16" s="46">
        <f t="shared" si="6"/>
        <v>3201.67419489811</v>
      </c>
      <c r="L16" s="46">
        <f t="shared" si="6"/>
        <v>3689.72714894881</v>
      </c>
    </row>
    <row r="17" ht="12" customHeight="1" spans="1:12">
      <c r="A17" s="43">
        <v>13</v>
      </c>
      <c r="B17" s="36" t="s">
        <v>137</v>
      </c>
      <c r="C17" s="44">
        <f t="shared" si="0"/>
        <v>403.975426598143</v>
      </c>
      <c r="D17" s="46">
        <f t="shared" ref="D17:Q17" si="7">D14*0.1</f>
        <v>36.5917240675345</v>
      </c>
      <c r="E17" s="46">
        <f t="shared" si="7"/>
        <v>38.5037344374349</v>
      </c>
      <c r="F17" s="46">
        <f t="shared" si="7"/>
        <v>40.5023722554857</v>
      </c>
      <c r="G17" s="46">
        <f t="shared" si="7"/>
        <v>42.5876262594464</v>
      </c>
      <c r="H17" s="46">
        <f t="shared" si="7"/>
        <v>44.7594852433872</v>
      </c>
      <c r="I17" s="46">
        <f t="shared" si="7"/>
        <v>46.6534988074084</v>
      </c>
      <c r="J17" s="46">
        <f t="shared" si="7"/>
        <v>48.9985343573592</v>
      </c>
      <c r="K17" s="46">
        <f t="shared" si="7"/>
        <v>51.4301416045608</v>
      </c>
      <c r="L17" s="46">
        <f t="shared" si="7"/>
        <v>53.9483095655258</v>
      </c>
    </row>
    <row r="18" ht="12" customHeight="1" spans="1:12">
      <c r="A18" s="43">
        <v>14</v>
      </c>
      <c r="B18" s="29" t="s">
        <v>138</v>
      </c>
      <c r="C18" s="44">
        <f t="shared" si="0"/>
        <v>17015.520354711</v>
      </c>
      <c r="D18" s="44">
        <f t="shared" ref="D18:Q18" si="8">D16-D17</f>
        <v>329.32551660781</v>
      </c>
      <c r="E18" s="44">
        <f t="shared" si="8"/>
        <v>675.859126544724</v>
      </c>
      <c r="F18" s="44">
        <f t="shared" si="8"/>
        <v>1040.3804768441</v>
      </c>
      <c r="G18" s="44">
        <f t="shared" si="8"/>
        <v>1423.66911317911</v>
      </c>
      <c r="H18" s="44">
        <f t="shared" si="8"/>
        <v>1826.5044803696</v>
      </c>
      <c r="I18" s="44">
        <f t="shared" si="8"/>
        <v>2246.38596963627</v>
      </c>
      <c r="J18" s="44">
        <f t="shared" si="8"/>
        <v>2687.37277885251</v>
      </c>
      <c r="K18" s="44">
        <f t="shared" si="8"/>
        <v>3150.24405329355</v>
      </c>
      <c r="L18" s="44">
        <f t="shared" si="8"/>
        <v>3635.77883938329</v>
      </c>
    </row>
    <row r="19" ht="12" customHeight="1" spans="1:12">
      <c r="A19" s="43">
        <v>15</v>
      </c>
      <c r="B19" s="36" t="s">
        <v>139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</row>
    <row r="20" ht="12" customHeight="1" spans="1:12">
      <c r="A20" s="43">
        <v>16</v>
      </c>
      <c r="B20" s="36" t="s">
        <v>140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</row>
    <row r="21" ht="12" customHeight="1" spans="1:12">
      <c r="A21" s="43">
        <v>17</v>
      </c>
      <c r="B21" s="36" t="s">
        <v>141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</row>
    <row r="22" ht="12" customHeight="1" spans="1:12">
      <c r="A22" s="43">
        <v>18</v>
      </c>
      <c r="B22" s="36" t="s">
        <v>142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</row>
    <row r="23" ht="12" customHeight="1" spans="1:12">
      <c r="A23" s="43"/>
      <c r="B23" s="36" t="s">
        <v>143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</row>
    <row r="24" ht="12" customHeight="1" spans="1:12">
      <c r="A24" s="43">
        <v>19</v>
      </c>
      <c r="B24" s="29" t="s">
        <v>144</v>
      </c>
      <c r="C24" s="44">
        <f>SUM(D24:L24)</f>
        <v>17015.520354711</v>
      </c>
      <c r="D24" s="44">
        <f t="shared" ref="D24:Q24" si="9">D18-D19-D20-D21-D22</f>
        <v>329.32551660781</v>
      </c>
      <c r="E24" s="44">
        <f t="shared" si="9"/>
        <v>675.859126544724</v>
      </c>
      <c r="F24" s="44">
        <f t="shared" si="9"/>
        <v>1040.3804768441</v>
      </c>
      <c r="G24" s="44">
        <f t="shared" si="9"/>
        <v>1423.66911317911</v>
      </c>
      <c r="H24" s="44">
        <f t="shared" si="9"/>
        <v>1826.5044803696</v>
      </c>
      <c r="I24" s="44">
        <f t="shared" si="9"/>
        <v>2246.38596963627</v>
      </c>
      <c r="J24" s="44">
        <f t="shared" si="9"/>
        <v>2687.37277885251</v>
      </c>
      <c r="K24" s="44">
        <f t="shared" si="9"/>
        <v>3150.24405329355</v>
      </c>
      <c r="L24" s="44">
        <f t="shared" si="9"/>
        <v>3635.77883938329</v>
      </c>
    </row>
    <row r="25" ht="12" customHeight="1" spans="1:12">
      <c r="A25" s="43">
        <v>20</v>
      </c>
      <c r="B25" s="29" t="s">
        <v>145</v>
      </c>
      <c r="C25" s="44">
        <f>SUM(D25:L25)</f>
        <v>6891.58902130857</v>
      </c>
      <c r="D25" s="44">
        <f>D10+总成本费用表!D12</f>
        <v>791.639654233793</v>
      </c>
      <c r="E25" s="44">
        <f>E10+总成本费用表!E12</f>
        <v>785.633125832465</v>
      </c>
      <c r="F25" s="44">
        <f>F10+总成本费用表!F12</f>
        <v>779.656630073143</v>
      </c>
      <c r="G25" s="44">
        <f>G10+总成本费用表!G12</f>
        <v>773.710016792618</v>
      </c>
      <c r="H25" s="44">
        <f>H10+总成本费用表!H12</f>
        <v>767.793136578497</v>
      </c>
      <c r="I25" s="44">
        <f>I10+总成本费用表!I12</f>
        <v>757.046650765446</v>
      </c>
      <c r="J25" s="44">
        <f>J10+总成本费用表!J12</f>
        <v>751.188791431456</v>
      </c>
      <c r="K25" s="44">
        <f>K10+总成本费用表!K12</f>
        <v>745.360221394144</v>
      </c>
      <c r="L25" s="44">
        <f>L10+总成本费用表!L12</f>
        <v>739.560794207011</v>
      </c>
    </row>
    <row r="26" ht="18" customHeight="1" spans="1:12">
      <c r="A26" s="43">
        <v>21</v>
      </c>
      <c r="B26" s="29" t="s">
        <v>146</v>
      </c>
      <c r="C26" s="44">
        <f>SUM(D26:L26)</f>
        <v>10323.5872250679</v>
      </c>
      <c r="D26" s="44">
        <f>D25+总成本费用表!D10+总成本费用表!D11</f>
        <v>1172.97278798483</v>
      </c>
      <c r="E26" s="44">
        <f>E25+总成本费用表!E10+总成本费用表!E11</f>
        <v>1166.9662595835</v>
      </c>
      <c r="F26" s="44">
        <f>F25+总成本费用表!F10+总成本费用表!F11</f>
        <v>1160.98976382418</v>
      </c>
      <c r="G26" s="44">
        <f>G25+总成本费用表!G10+总成本费用表!G11</f>
        <v>1155.04315054365</v>
      </c>
      <c r="H26" s="44">
        <f>H25+总成本费用表!H10+总成本费用表!H11</f>
        <v>1149.12627032953</v>
      </c>
      <c r="I26" s="44">
        <f>I25+总成本费用表!I10+总成本费用表!I11</f>
        <v>1138.37978451648</v>
      </c>
      <c r="J26" s="44">
        <f>J25+总成本费用表!J10+总成本费用表!J11</f>
        <v>1132.52192518249</v>
      </c>
      <c r="K26" s="44">
        <f>K25+总成本费用表!K10+总成本费用表!K11</f>
        <v>1126.69335514518</v>
      </c>
      <c r="L26" s="44">
        <f>L25+总成本费用表!L10+总成本费用表!L11</f>
        <v>1120.89392795804</v>
      </c>
    </row>
  </sheetData>
  <sheetProtection formatCells="0" insertHyperlinks="0" autoFilter="0"/>
  <mergeCells count="3">
    <mergeCell ref="A1:L1"/>
    <mergeCell ref="D3:L3"/>
    <mergeCell ref="A3:A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zoomScale="120" zoomScaleNormal="120" topLeftCell="D6" workbookViewId="0">
      <selection activeCell="O16" sqref="O16"/>
    </sheetView>
  </sheetViews>
  <sheetFormatPr defaultColWidth="9" defaultRowHeight="13.5"/>
  <cols>
    <col min="1" max="1" width="4.13333333333333" customWidth="1"/>
    <col min="2" max="2" width="17.5583333333333" customWidth="1"/>
    <col min="3" max="3" width="9.63333333333333" customWidth="1"/>
    <col min="4" max="13" width="8.24166666666667" customWidth="1"/>
  </cols>
  <sheetData>
    <row r="1" ht="17.85" customHeight="1" spans="1:13">
      <c r="A1" s="20" t="s">
        <v>147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>
      <c r="M2" t="s">
        <v>1</v>
      </c>
    </row>
    <row r="3" s="18" customFormat="1" ht="15" customHeight="1" spans="1:13">
      <c r="A3" s="22" t="s">
        <v>2</v>
      </c>
      <c r="B3" s="23" t="s">
        <v>148</v>
      </c>
      <c r="C3" s="23" t="s">
        <v>8</v>
      </c>
      <c r="D3" s="24" t="s">
        <v>149</v>
      </c>
      <c r="E3" s="24"/>
      <c r="F3" s="24"/>
      <c r="G3" s="24"/>
      <c r="H3" s="24"/>
      <c r="I3" s="24"/>
      <c r="J3" s="24"/>
      <c r="K3" s="24"/>
      <c r="L3" s="24"/>
      <c r="M3" s="24"/>
    </row>
    <row r="4" s="18" customFormat="1" ht="15" customHeight="1" spans="1:13">
      <c r="A4" s="22"/>
      <c r="B4" s="25"/>
      <c r="C4" s="26"/>
      <c r="D4" s="27">
        <v>1</v>
      </c>
      <c r="E4" s="27">
        <v>2</v>
      </c>
      <c r="F4" s="27">
        <v>3</v>
      </c>
      <c r="G4" s="27">
        <v>4</v>
      </c>
      <c r="H4" s="27">
        <v>5</v>
      </c>
      <c r="I4" s="27">
        <v>6</v>
      </c>
      <c r="J4" s="27">
        <v>7</v>
      </c>
      <c r="K4" s="27">
        <v>8</v>
      </c>
      <c r="L4" s="27">
        <v>9</v>
      </c>
      <c r="M4" s="27">
        <v>10</v>
      </c>
    </row>
    <row r="5" s="18" customFormat="1" ht="15" customHeight="1" spans="1:13">
      <c r="A5" s="28">
        <v>1</v>
      </c>
      <c r="B5" s="29" t="s">
        <v>150</v>
      </c>
      <c r="C5" s="30">
        <f>SUM(D5:M5)</f>
        <v>19162.0907609628</v>
      </c>
      <c r="D5" s="31">
        <f>D6+D7+D8+D9</f>
        <v>793.98454685004</v>
      </c>
      <c r="E5" s="31">
        <f t="shared" ref="E5:M5" si="0">E6+E7+E8+E9</f>
        <v>1560.48168</v>
      </c>
      <c r="F5" s="31">
        <f t="shared" si="0"/>
        <v>1552.8292716</v>
      </c>
      <c r="G5" s="31">
        <f t="shared" si="0"/>
        <v>1545.215125242</v>
      </c>
      <c r="H5" s="31">
        <f t="shared" si="0"/>
        <v>1537.63904961579</v>
      </c>
      <c r="I5" s="31">
        <f t="shared" si="0"/>
        <v>1530.10085436771</v>
      </c>
      <c r="J5" s="31">
        <f t="shared" si="0"/>
        <v>1522.60035009587</v>
      </c>
      <c r="K5" s="31">
        <f t="shared" si="0"/>
        <v>1515.13734834539</v>
      </c>
      <c r="L5" s="31">
        <f t="shared" si="0"/>
        <v>1507.71166160367</v>
      </c>
      <c r="M5" s="31">
        <f t="shared" si="0"/>
        <v>6096.39087324232</v>
      </c>
    </row>
    <row r="6" s="18" customFormat="1" ht="15" customHeight="1" spans="1:13">
      <c r="A6" s="28">
        <v>1.1</v>
      </c>
      <c r="B6" s="29" t="s">
        <v>91</v>
      </c>
      <c r="C6" s="30">
        <f>SUM(D6:M6)</f>
        <v>13772.0384441661</v>
      </c>
      <c r="D6" s="31">
        <v>0</v>
      </c>
      <c r="E6" s="31">
        <f>营业收入及税金表!D5</f>
        <v>1560.48168</v>
      </c>
      <c r="F6" s="31">
        <f>营业收入及税金表!E5</f>
        <v>1552.8292716</v>
      </c>
      <c r="G6" s="31">
        <f>营业收入及税金表!F5</f>
        <v>1545.215125242</v>
      </c>
      <c r="H6" s="31">
        <f>营业收入及税金表!G5</f>
        <v>1537.63904961579</v>
      </c>
      <c r="I6" s="31">
        <f>营业收入及税金表!H5</f>
        <v>1530.10085436771</v>
      </c>
      <c r="J6" s="31">
        <f>营业收入及税金表!I5</f>
        <v>1522.60035009587</v>
      </c>
      <c r="K6" s="31">
        <f>营业收入及税金表!J5</f>
        <v>1515.13734834539</v>
      </c>
      <c r="L6" s="31">
        <f>营业收入及税金表!K5</f>
        <v>1507.71166160367</v>
      </c>
      <c r="M6" s="31">
        <f>营业收入及税金表!L5</f>
        <v>1500.32310329565</v>
      </c>
    </row>
    <row r="7" s="19" customFormat="1" ht="15" customHeight="1" spans="1:13">
      <c r="A7" s="32">
        <v>1.2</v>
      </c>
      <c r="B7" s="33" t="s">
        <v>151</v>
      </c>
      <c r="C7" s="30">
        <f>SUM(D7:M7)</f>
        <v>793.98454685004</v>
      </c>
      <c r="D7" s="34">
        <f>(D11)*0.09</f>
        <v>793.98454685004</v>
      </c>
      <c r="E7" s="34"/>
      <c r="F7" s="35"/>
      <c r="G7" s="34"/>
      <c r="H7" s="34"/>
      <c r="I7" s="34"/>
      <c r="J7" s="34"/>
      <c r="K7" s="34"/>
      <c r="L7" s="34"/>
      <c r="M7" s="34"/>
    </row>
    <row r="8" s="18" customFormat="1" ht="15" customHeight="1" spans="1:13">
      <c r="A8" s="28">
        <v>1.3</v>
      </c>
      <c r="B8" s="29" t="s">
        <v>152</v>
      </c>
      <c r="C8" s="30">
        <f>SUM(D8:M8)</f>
        <v>4596.06776994667</v>
      </c>
      <c r="D8" s="31"/>
      <c r="E8" s="31"/>
      <c r="F8" s="31"/>
      <c r="G8" s="31"/>
      <c r="H8" s="31"/>
      <c r="I8" s="31"/>
      <c r="J8" s="31"/>
      <c r="K8" s="31"/>
      <c r="L8" s="31"/>
      <c r="M8" s="31">
        <f>固定资产折旧!N8</f>
        <v>4596.06776994667</v>
      </c>
    </row>
    <row r="9" s="18" customFormat="1" ht="15" customHeight="1" spans="1:13">
      <c r="A9" s="28">
        <v>1.4</v>
      </c>
      <c r="B9" s="29" t="s">
        <v>153</v>
      </c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 s="18" customFormat="1" ht="15" customHeight="1" spans="1:13">
      <c r="A10" s="28">
        <v>2</v>
      </c>
      <c r="B10" s="29" t="s">
        <v>154</v>
      </c>
      <c r="C10" s="30">
        <f t="shared" ref="C9:C25" si="1">SUM(D10:M10)</f>
        <v>12270.5017396542</v>
      </c>
      <c r="D10" s="31">
        <f>D11+D12+D13+D14+D15+D16</f>
        <v>8822.050520556</v>
      </c>
      <c r="E10" s="31">
        <f t="shared" ref="E10:M10" si="2">E11+E12+E13+E14+E15+E16</f>
        <v>387.508892015175</v>
      </c>
      <c r="F10" s="31">
        <f t="shared" si="2"/>
        <v>385.863012016502</v>
      </c>
      <c r="G10" s="31">
        <f t="shared" si="2"/>
        <v>384.225361417824</v>
      </c>
      <c r="H10" s="31">
        <f t="shared" si="2"/>
        <v>382.595899072139</v>
      </c>
      <c r="I10" s="31">
        <f t="shared" si="2"/>
        <v>380.974584038182</v>
      </c>
      <c r="J10" s="31">
        <f t="shared" si="2"/>
        <v>384.220565579395</v>
      </c>
      <c r="K10" s="31">
        <f t="shared" si="2"/>
        <v>382.615423162901</v>
      </c>
      <c r="L10" s="31">
        <f t="shared" si="2"/>
        <v>381.018306458492</v>
      </c>
      <c r="M10" s="31">
        <f t="shared" si="2"/>
        <v>379.429175337602</v>
      </c>
    </row>
    <row r="11" s="18" customFormat="1" ht="15" customHeight="1" spans="1:13">
      <c r="A11" s="28">
        <v>2.1</v>
      </c>
      <c r="B11" s="29" t="s">
        <v>155</v>
      </c>
      <c r="C11" s="30">
        <f t="shared" si="1"/>
        <v>8822.050520556</v>
      </c>
      <c r="D11" s="31">
        <f>总投资!G47</f>
        <v>8822.050520556</v>
      </c>
      <c r="E11" s="31"/>
      <c r="F11" s="31"/>
      <c r="G11" s="31"/>
      <c r="H11" s="31"/>
      <c r="I11" s="31"/>
      <c r="J11" s="31"/>
      <c r="K11" s="31"/>
      <c r="L11" s="31"/>
      <c r="M11" s="31"/>
    </row>
    <row r="12" s="18" customFormat="1" ht="15" customHeight="1" spans="1:13">
      <c r="A12" s="28">
        <v>2.2</v>
      </c>
      <c r="B12" s="29" t="s">
        <v>156</v>
      </c>
      <c r="C12" s="30"/>
      <c r="D12" s="31"/>
      <c r="E12" s="31"/>
      <c r="F12" s="31"/>
      <c r="G12" s="31"/>
      <c r="H12" s="31"/>
      <c r="I12" s="31"/>
      <c r="J12" s="31"/>
      <c r="K12" s="31"/>
      <c r="L12" s="31"/>
      <c r="M12" s="31"/>
    </row>
    <row r="13" s="18" customFormat="1" ht="15" customHeight="1" spans="1:13">
      <c r="A13" s="28">
        <v>2.3</v>
      </c>
      <c r="B13" s="29" t="s">
        <v>157</v>
      </c>
      <c r="C13" s="30">
        <f t="shared" si="1"/>
        <v>1633.00293183403</v>
      </c>
      <c r="D13" s="31">
        <v>0</v>
      </c>
      <c r="E13" s="31">
        <f>总成本费用表!D9</f>
        <v>181.345185100083</v>
      </c>
      <c r="F13" s="31">
        <f>总成本费用表!E9</f>
        <v>180.732992428083</v>
      </c>
      <c r="G13" s="31">
        <f>总成本费用表!F9</f>
        <v>180.123860719443</v>
      </c>
      <c r="H13" s="31">
        <f>总成本费用表!G9</f>
        <v>179.517774669346</v>
      </c>
      <c r="I13" s="31">
        <f>总成本费用表!H9</f>
        <v>178.9147190495</v>
      </c>
      <c r="J13" s="31">
        <f>总成本费用表!I9</f>
        <v>183.984678707753</v>
      </c>
      <c r="K13" s="31">
        <f>总成本费用表!J9</f>
        <v>183.387638567714</v>
      </c>
      <c r="L13" s="31">
        <f>总成本费用表!K9</f>
        <v>182.793583628376</v>
      </c>
      <c r="M13" s="31">
        <f>总成本费用表!L9</f>
        <v>182.202498963734</v>
      </c>
    </row>
    <row r="14" s="18" customFormat="1" ht="15" customHeight="1" spans="1:13">
      <c r="A14" s="28">
        <v>2.4</v>
      </c>
      <c r="B14" s="29" t="s">
        <v>127</v>
      </c>
      <c r="C14" s="30">
        <f t="shared" si="1"/>
        <v>165.040753387653</v>
      </c>
      <c r="D14" s="31">
        <v>0</v>
      </c>
      <c r="E14" s="31">
        <f>营业收入及税金表!D18</f>
        <v>18.7421551740993</v>
      </c>
      <c r="F14" s="31">
        <f>营业收入及税金表!E18</f>
        <v>18.6481835989473</v>
      </c>
      <c r="G14" s="31">
        <f>营业收入及税金表!F18</f>
        <v>18.554681881671</v>
      </c>
      <c r="H14" s="31">
        <f>营业收入及税金表!G18</f>
        <v>18.4616476729812</v>
      </c>
      <c r="I14" s="31">
        <f>营业收入及税金表!H18</f>
        <v>18.3690786353348</v>
      </c>
      <c r="J14" s="31">
        <f>营业收入及税金表!I18</f>
        <v>18.2032624428766</v>
      </c>
      <c r="K14" s="31">
        <f>营业收入及税金表!J18</f>
        <v>18.1116167813807</v>
      </c>
      <c r="L14" s="31">
        <f>营业收入及税金表!K18</f>
        <v>18.0204293481923</v>
      </c>
      <c r="M14" s="31">
        <f>营业收入及税金表!L18</f>
        <v>17.9296978521698</v>
      </c>
    </row>
    <row r="15" s="18" customFormat="1" ht="15" customHeight="1" spans="1:13">
      <c r="A15" s="28">
        <v>2.5</v>
      </c>
      <c r="B15" s="29" t="s">
        <v>111</v>
      </c>
      <c r="C15" s="30">
        <f t="shared" si="1"/>
        <v>1650.40753387653</v>
      </c>
      <c r="D15" s="31">
        <v>0</v>
      </c>
      <c r="E15" s="31">
        <f>利润及利润分配表!D7</f>
        <v>187.421551740993</v>
      </c>
      <c r="F15" s="31">
        <f>利润及利润分配表!E7</f>
        <v>186.481835989473</v>
      </c>
      <c r="G15" s="31">
        <f>利润及利润分配表!F7</f>
        <v>185.54681881671</v>
      </c>
      <c r="H15" s="31">
        <f>利润及利润分配表!G7</f>
        <v>184.616476729812</v>
      </c>
      <c r="I15" s="31">
        <f>利润及利润分配表!H7</f>
        <v>183.690786353348</v>
      </c>
      <c r="J15" s="31">
        <f>利润及利润分配表!I7</f>
        <v>182.032624428766</v>
      </c>
      <c r="K15" s="31">
        <f>利润及利润分配表!J7</f>
        <v>181.116167813806</v>
      </c>
      <c r="L15" s="31">
        <f>利润及利润分配表!K7</f>
        <v>180.204293481923</v>
      </c>
      <c r="M15" s="31">
        <f>利润及利润分配表!L7</f>
        <v>179.296978521698</v>
      </c>
    </row>
    <row r="16" s="18" customFormat="1" ht="15" customHeight="1" spans="1:13">
      <c r="A16" s="28">
        <v>2.6</v>
      </c>
      <c r="B16" s="29" t="s">
        <v>158</v>
      </c>
      <c r="C16" s="30"/>
      <c r="D16" s="31"/>
      <c r="E16" s="31"/>
      <c r="F16" s="31"/>
      <c r="G16" s="31"/>
      <c r="H16" s="31"/>
      <c r="I16" s="31"/>
      <c r="J16" s="31"/>
      <c r="K16" s="31"/>
      <c r="L16" s="31"/>
      <c r="M16" s="31"/>
    </row>
    <row r="17" s="18" customFormat="1" ht="22" customHeight="1" spans="1:13">
      <c r="A17" s="28">
        <v>3</v>
      </c>
      <c r="B17" s="36" t="s">
        <v>159</v>
      </c>
      <c r="C17" s="30">
        <f t="shared" si="1"/>
        <v>6891.58902130858</v>
      </c>
      <c r="D17" s="31">
        <f>D5-D10</f>
        <v>-8028.06597370596</v>
      </c>
      <c r="E17" s="31">
        <f t="shared" ref="E17:M17" si="3">E5-E10</f>
        <v>1172.97278798483</v>
      </c>
      <c r="F17" s="31">
        <f t="shared" si="3"/>
        <v>1166.9662595835</v>
      </c>
      <c r="G17" s="31">
        <f t="shared" si="3"/>
        <v>1160.98976382418</v>
      </c>
      <c r="H17" s="31">
        <f t="shared" si="3"/>
        <v>1155.04315054365</v>
      </c>
      <c r="I17" s="31">
        <f t="shared" si="3"/>
        <v>1149.12627032953</v>
      </c>
      <c r="J17" s="31">
        <f t="shared" si="3"/>
        <v>1138.37978451648</v>
      </c>
      <c r="K17" s="31">
        <f t="shared" si="3"/>
        <v>1132.52192518249</v>
      </c>
      <c r="L17" s="31">
        <f t="shared" si="3"/>
        <v>1126.69335514518</v>
      </c>
      <c r="M17" s="31">
        <f t="shared" si="3"/>
        <v>5716.96169790471</v>
      </c>
    </row>
    <row r="18" s="18" customFormat="1" ht="22" customHeight="1" spans="1:13">
      <c r="A18" s="28">
        <v>4</v>
      </c>
      <c r="B18" s="36" t="s">
        <v>160</v>
      </c>
      <c r="C18" s="30"/>
      <c r="D18" s="31">
        <f>D17</f>
        <v>-8028.06597370596</v>
      </c>
      <c r="E18" s="31">
        <f>D18+E17</f>
        <v>-6855.09318572113</v>
      </c>
      <c r="F18" s="31">
        <f t="shared" ref="F18:M18" si="4">E18+F17</f>
        <v>-5688.12692613764</v>
      </c>
      <c r="G18" s="31">
        <f t="shared" si="4"/>
        <v>-4527.13716231346</v>
      </c>
      <c r="H18" s="31">
        <f t="shared" si="4"/>
        <v>-3372.09401176981</v>
      </c>
      <c r="I18" s="31">
        <f t="shared" si="4"/>
        <v>-2222.96774144028</v>
      </c>
      <c r="J18" s="31">
        <f t="shared" si="4"/>
        <v>-1084.5879569238</v>
      </c>
      <c r="K18" s="31">
        <f t="shared" si="4"/>
        <v>47.9339682586897</v>
      </c>
      <c r="L18" s="31">
        <f t="shared" si="4"/>
        <v>1174.62732340387</v>
      </c>
      <c r="M18" s="31">
        <f t="shared" si="4"/>
        <v>6891.58902130858</v>
      </c>
    </row>
    <row r="19" s="18" customFormat="1" ht="22" customHeight="1" spans="1:13">
      <c r="A19" s="28">
        <v>5</v>
      </c>
      <c r="B19" s="36" t="s">
        <v>161</v>
      </c>
      <c r="C19" s="30">
        <f t="shared" si="1"/>
        <v>6613.80904156293</v>
      </c>
      <c r="D19" s="31">
        <f>D17/POWER(1.042,1)</f>
        <v>-7704.47790182914</v>
      </c>
      <c r="E19" s="31">
        <f t="shared" ref="E19:M19" si="5">E17/POWER(1.042,1)</f>
        <v>1125.69365449599</v>
      </c>
      <c r="F19" s="31">
        <f t="shared" si="5"/>
        <v>1119.92923184597</v>
      </c>
      <c r="G19" s="31">
        <f t="shared" si="5"/>
        <v>1114.19363130919</v>
      </c>
      <c r="H19" s="31">
        <f t="shared" si="5"/>
        <v>1108.4867087751</v>
      </c>
      <c r="I19" s="31">
        <f t="shared" si="5"/>
        <v>1102.80832085368</v>
      </c>
      <c r="J19" s="31">
        <f t="shared" si="5"/>
        <v>1092.4949947375</v>
      </c>
      <c r="K19" s="31">
        <f t="shared" si="5"/>
        <v>1086.87324873559</v>
      </c>
      <c r="L19" s="31">
        <f t="shared" si="5"/>
        <v>1081.2796114637</v>
      </c>
      <c r="M19" s="31">
        <f t="shared" si="5"/>
        <v>5486.52754117535</v>
      </c>
    </row>
    <row r="20" s="18" customFormat="1" ht="22" customHeight="1" spans="1:13">
      <c r="A20" s="28">
        <v>6</v>
      </c>
      <c r="B20" s="36" t="s">
        <v>162</v>
      </c>
      <c r="C20" s="30"/>
      <c r="D20" s="31">
        <f>D19</f>
        <v>-7704.47790182914</v>
      </c>
      <c r="E20" s="31">
        <f>D20+E19</f>
        <v>-6578.78424733315</v>
      </c>
      <c r="F20" s="31">
        <f t="shared" ref="F20:M20" si="6">E20+F19</f>
        <v>-5458.85501548718</v>
      </c>
      <c r="G20" s="31">
        <f t="shared" si="6"/>
        <v>-4344.66138417799</v>
      </c>
      <c r="H20" s="31">
        <f t="shared" si="6"/>
        <v>-3236.17467540289</v>
      </c>
      <c r="I20" s="31">
        <f t="shared" si="6"/>
        <v>-2133.36635454922</v>
      </c>
      <c r="J20" s="31">
        <f t="shared" si="6"/>
        <v>-1040.87135981171</v>
      </c>
      <c r="K20" s="31">
        <f t="shared" si="6"/>
        <v>46.0018889238804</v>
      </c>
      <c r="L20" s="31">
        <f t="shared" si="6"/>
        <v>1127.28150038758</v>
      </c>
      <c r="M20" s="31">
        <f t="shared" si="6"/>
        <v>6613.80904156293</v>
      </c>
    </row>
    <row r="21" s="18" customFormat="1" ht="22" customHeight="1" spans="1:13">
      <c r="A21" s="28">
        <v>7</v>
      </c>
      <c r="B21" s="36" t="s">
        <v>163</v>
      </c>
      <c r="C21" s="30">
        <f t="shared" si="1"/>
        <v>1346.58475532714</v>
      </c>
      <c r="D21" s="31">
        <v>0</v>
      </c>
      <c r="E21" s="31">
        <f>利润及利润分配表!D13</f>
        <v>121.972413558448</v>
      </c>
      <c r="F21" s="31">
        <f>利润及利润分配表!E13</f>
        <v>128.345781458116</v>
      </c>
      <c r="G21" s="31">
        <f>利润及利润分配表!F13</f>
        <v>135.007907518286</v>
      </c>
      <c r="H21" s="31">
        <f>利润及利润分配表!G13</f>
        <v>141.958754198155</v>
      </c>
      <c r="I21" s="31">
        <f>利润及利润分配表!H13</f>
        <v>149.198284144624</v>
      </c>
      <c r="J21" s="31">
        <f>利润及利润分配表!I13</f>
        <v>155.511662691361</v>
      </c>
      <c r="K21" s="31">
        <f>利润及利润分配表!J13</f>
        <v>163.328447857864</v>
      </c>
      <c r="L21" s="31">
        <f>利润及利润分配表!K13</f>
        <v>171.433805348536</v>
      </c>
      <c r="M21" s="31">
        <f>利润及利润分配表!L13</f>
        <v>179.827698551753</v>
      </c>
    </row>
    <row r="22" s="18" customFormat="1" ht="22" customHeight="1" spans="1:13">
      <c r="A22" s="28">
        <v>8</v>
      </c>
      <c r="B22" s="36" t="s">
        <v>164</v>
      </c>
      <c r="C22" s="30">
        <f t="shared" si="1"/>
        <v>5545.00426598144</v>
      </c>
      <c r="D22" s="31">
        <f>D17-D21</f>
        <v>-8028.06597370596</v>
      </c>
      <c r="E22" s="31">
        <f t="shared" ref="E22:M22" si="7">E17-E21</f>
        <v>1051.00037442638</v>
      </c>
      <c r="F22" s="31">
        <f t="shared" si="7"/>
        <v>1038.62047812538</v>
      </c>
      <c r="G22" s="31">
        <f t="shared" si="7"/>
        <v>1025.98185630589</v>
      </c>
      <c r="H22" s="31">
        <f t="shared" si="7"/>
        <v>1013.0843963455</v>
      </c>
      <c r="I22" s="31">
        <f t="shared" si="7"/>
        <v>999.927986184905</v>
      </c>
      <c r="J22" s="31">
        <f t="shared" si="7"/>
        <v>982.868121825118</v>
      </c>
      <c r="K22" s="31">
        <f t="shared" si="7"/>
        <v>969.193477324625</v>
      </c>
      <c r="L22" s="31">
        <f t="shared" si="7"/>
        <v>955.259549796641</v>
      </c>
      <c r="M22" s="31">
        <f t="shared" si="7"/>
        <v>5537.13399935296</v>
      </c>
    </row>
    <row r="23" s="18" customFormat="1" ht="22" customHeight="1" spans="1:13">
      <c r="A23" s="28">
        <v>9</v>
      </c>
      <c r="B23" s="36" t="s">
        <v>165</v>
      </c>
      <c r="C23" s="30"/>
      <c r="D23" s="31">
        <f>D22</f>
        <v>-8028.06597370596</v>
      </c>
      <c r="E23" s="31">
        <f>D23+E22</f>
        <v>-6977.06559927958</v>
      </c>
      <c r="F23" s="31">
        <f t="shared" ref="F23:M23" si="8">E23+F22</f>
        <v>-5938.4451211542</v>
      </c>
      <c r="G23" s="31">
        <f t="shared" si="8"/>
        <v>-4912.46326484831</v>
      </c>
      <c r="H23" s="31">
        <f t="shared" si="8"/>
        <v>-3899.37886850281</v>
      </c>
      <c r="I23" s="31">
        <f t="shared" si="8"/>
        <v>-2899.45088231791</v>
      </c>
      <c r="J23" s="31">
        <f t="shared" si="8"/>
        <v>-1916.58276049279</v>
      </c>
      <c r="K23" s="31">
        <f t="shared" si="8"/>
        <v>-947.389283168164</v>
      </c>
      <c r="L23" s="31">
        <f t="shared" si="8"/>
        <v>7.870266628477</v>
      </c>
      <c r="M23" s="31">
        <f t="shared" si="8"/>
        <v>5545.00426598144</v>
      </c>
    </row>
    <row r="24" s="18" customFormat="1" ht="22" customHeight="1" spans="1:13">
      <c r="A24" s="28">
        <v>10</v>
      </c>
      <c r="B24" s="36" t="s">
        <v>166</v>
      </c>
      <c r="C24" s="30">
        <f t="shared" si="1"/>
        <v>5321.50121495339</v>
      </c>
      <c r="D24" s="31">
        <f>D22/POWER(1.042,1)</f>
        <v>-7704.47790182914</v>
      </c>
      <c r="E24" s="31">
        <f t="shared" ref="E24:M24" si="9">E22/POWER(1.042,1)</f>
        <v>1008.63759541879</v>
      </c>
      <c r="F24" s="31">
        <f t="shared" si="9"/>
        <v>996.756696857372</v>
      </c>
      <c r="G24" s="31">
        <f t="shared" si="9"/>
        <v>984.627501253254</v>
      </c>
      <c r="H24" s="31">
        <f t="shared" si="9"/>
        <v>972.24990052351</v>
      </c>
      <c r="I24" s="31">
        <f t="shared" si="9"/>
        <v>959.623787125629</v>
      </c>
      <c r="J24" s="31">
        <f t="shared" si="9"/>
        <v>943.251556454048</v>
      </c>
      <c r="K24" s="31">
        <f t="shared" si="9"/>
        <v>930.128097240523</v>
      </c>
      <c r="L24" s="31">
        <f t="shared" si="9"/>
        <v>916.755805946872</v>
      </c>
      <c r="M24" s="31">
        <f t="shared" si="9"/>
        <v>5313.94817596253</v>
      </c>
    </row>
    <row r="25" s="18" customFormat="1" ht="22" customHeight="1" spans="1:13">
      <c r="A25" s="28">
        <v>11</v>
      </c>
      <c r="B25" s="36" t="s">
        <v>167</v>
      </c>
      <c r="C25" s="30"/>
      <c r="D25" s="31">
        <f>D24</f>
        <v>-7704.47790182914</v>
      </c>
      <c r="E25" s="31">
        <f>D25+E24</f>
        <v>-6695.84030641035</v>
      </c>
      <c r="F25" s="31">
        <f t="shared" ref="F25:M25" si="10">E25+F24</f>
        <v>-5699.08360955298</v>
      </c>
      <c r="G25" s="31">
        <f t="shared" si="10"/>
        <v>-4714.45610829973</v>
      </c>
      <c r="H25" s="31">
        <f t="shared" si="10"/>
        <v>-3742.20620777622</v>
      </c>
      <c r="I25" s="31">
        <f t="shared" si="10"/>
        <v>-2782.58242065059</v>
      </c>
      <c r="J25" s="31">
        <f t="shared" si="10"/>
        <v>-1839.33086419654</v>
      </c>
      <c r="K25" s="31">
        <f t="shared" si="10"/>
        <v>-909.202766956017</v>
      </c>
      <c r="L25" s="31">
        <f t="shared" si="10"/>
        <v>7.55303899085538</v>
      </c>
      <c r="M25" s="31">
        <f t="shared" si="10"/>
        <v>5321.50121495339</v>
      </c>
    </row>
    <row r="26" spans="1:13">
      <c r="B26" s="37" t="s">
        <v>168</v>
      </c>
    </row>
    <row r="27" spans="1:13">
      <c r="B27" s="19" t="s">
        <v>169</v>
      </c>
      <c r="C27" s="19"/>
      <c r="D27" s="19"/>
      <c r="E27" s="19"/>
      <c r="F27" s="38">
        <f>IRR(D17:M17)</f>
        <v>0.113766103098671</v>
      </c>
      <c r="G27" s="19"/>
      <c r="H27" s="37" t="s">
        <v>170</v>
      </c>
      <c r="L27" s="38">
        <f>IRR(D22:M22,4.2%)</f>
        <v>0.0928077461985892</v>
      </c>
    </row>
    <row r="28" spans="1:13">
      <c r="B28" s="19" t="s">
        <v>171</v>
      </c>
      <c r="C28" s="19"/>
      <c r="D28" s="19"/>
      <c r="E28" s="19"/>
      <c r="F28" s="39">
        <f>M20</f>
        <v>6613.80904156293</v>
      </c>
      <c r="H28" s="37" t="s">
        <v>172</v>
      </c>
      <c r="L28" s="39">
        <f>M25</f>
        <v>5321.50121495339</v>
      </c>
    </row>
    <row r="29" spans="1:13">
      <c r="B29" s="19" t="s">
        <v>173</v>
      </c>
      <c r="C29" s="19"/>
      <c r="D29" s="19"/>
      <c r="E29" s="19"/>
      <c r="F29" s="39">
        <f>9-1+ABS(K20)/L19</f>
        <v>8.04254393446077</v>
      </c>
      <c r="H29" s="37" t="s">
        <v>174</v>
      </c>
      <c r="L29" s="39">
        <f>10-1+ABS(L25/M24)</f>
        <v>9.00142136105599</v>
      </c>
    </row>
    <row r="30" spans="1:13">
      <c r="F30" s="39"/>
    </row>
  </sheetData>
  <sheetProtection formatCells="0" insertHyperlinks="0" autoFilter="0"/>
  <mergeCells count="5">
    <mergeCell ref="A1:M1"/>
    <mergeCell ref="D3:M3"/>
    <mergeCell ref="A3:A4"/>
    <mergeCell ref="B3:B4"/>
    <mergeCell ref="C3:C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D8" sqref="D8"/>
    </sheetView>
  </sheetViews>
  <sheetFormatPr defaultColWidth="8.63333333333333" defaultRowHeight="13.5"/>
  <cols>
    <col min="1" max="1" width="4.13333333333333" style="1" customWidth="1"/>
    <col min="2" max="2" width="17.6833333333333" style="1" customWidth="1"/>
    <col min="3" max="3" width="9.36666666666667" style="1"/>
    <col min="4" max="4" width="7.5" style="2" customWidth="1"/>
    <col min="5" max="5" width="8.33333333333333" style="2" customWidth="1"/>
    <col min="6" max="13" width="7.86666666666667" style="1" customWidth="1"/>
    <col min="14" max="17" width="8.63333333333333" style="1"/>
  </cols>
  <sheetData>
    <row r="1" ht="18.75" spans="1:13">
      <c r="A1" s="3" t="s">
        <v>175</v>
      </c>
      <c r="B1" s="3"/>
      <c r="C1" s="3"/>
      <c r="D1" s="4"/>
      <c r="E1" s="4"/>
      <c r="F1" s="3"/>
      <c r="G1" s="3"/>
      <c r="H1" s="3"/>
      <c r="I1" s="3"/>
      <c r="J1" s="3"/>
      <c r="K1" s="3"/>
      <c r="L1" s="3"/>
      <c r="M1" s="3"/>
    </row>
    <row r="2" ht="16.15" customHeight="1" spans="1:13">
      <c r="M2" s="1" t="s">
        <v>1</v>
      </c>
    </row>
    <row r="3" spans="1:13">
      <c r="A3" s="5" t="s">
        <v>2</v>
      </c>
      <c r="B3" s="6"/>
      <c r="C3" s="6"/>
      <c r="D3" s="7" t="s">
        <v>149</v>
      </c>
      <c r="E3" s="7"/>
      <c r="F3" s="7"/>
      <c r="G3" s="7"/>
      <c r="H3" s="7"/>
      <c r="I3" s="7"/>
      <c r="J3" s="7"/>
      <c r="K3" s="7"/>
      <c r="L3" s="7"/>
      <c r="M3" s="7"/>
    </row>
    <row r="4" spans="1:13">
      <c r="A4" s="5"/>
      <c r="B4" s="5" t="s">
        <v>148</v>
      </c>
      <c r="C4" s="5" t="s">
        <v>8</v>
      </c>
      <c r="D4" s="8" t="s">
        <v>176</v>
      </c>
      <c r="E4" s="9">
        <v>2</v>
      </c>
      <c r="F4" s="9">
        <v>3</v>
      </c>
      <c r="G4" s="9">
        <v>4</v>
      </c>
      <c r="H4" s="9">
        <v>5</v>
      </c>
      <c r="I4" s="9">
        <v>6</v>
      </c>
      <c r="J4" s="9">
        <v>7</v>
      </c>
      <c r="K4" s="9">
        <v>8</v>
      </c>
      <c r="L4" s="9">
        <v>9</v>
      </c>
      <c r="M4" s="9">
        <v>10</v>
      </c>
    </row>
    <row r="5" ht="12.95" customHeight="1" spans="1:13">
      <c r="A5" s="10">
        <v>1</v>
      </c>
      <c r="B5" s="11" t="s">
        <v>177</v>
      </c>
      <c r="C5" s="12">
        <f>SUM(D5:M5)</f>
        <v>7100</v>
      </c>
      <c r="D5" s="13">
        <f>7100</f>
        <v>7100</v>
      </c>
      <c r="E5" s="13"/>
      <c r="F5" s="13"/>
      <c r="G5" s="13"/>
      <c r="H5" s="13"/>
      <c r="I5" s="13"/>
      <c r="J5" s="13"/>
      <c r="K5" s="13"/>
      <c r="L5" s="13"/>
      <c r="M5" s="13"/>
    </row>
    <row r="6" spans="1:13">
      <c r="A6" s="14">
        <v>1.1</v>
      </c>
      <c r="B6" s="11" t="s">
        <v>178</v>
      </c>
      <c r="C6" s="12">
        <f>SUM(D6:M6)</f>
        <v>37000</v>
      </c>
      <c r="D6" s="13"/>
      <c r="E6" s="13">
        <f>D10</f>
        <v>7100</v>
      </c>
      <c r="F6" s="13">
        <f t="shared" ref="E6:R6" si="0">E10</f>
        <v>6400</v>
      </c>
      <c r="G6" s="13">
        <f t="shared" si="0"/>
        <v>5700</v>
      </c>
      <c r="H6" s="13">
        <f t="shared" si="0"/>
        <v>4950</v>
      </c>
      <c r="I6" s="13">
        <f t="shared" si="0"/>
        <v>4200</v>
      </c>
      <c r="J6" s="13">
        <f t="shared" si="0"/>
        <v>3400</v>
      </c>
      <c r="K6" s="13">
        <f t="shared" si="0"/>
        <v>2600</v>
      </c>
      <c r="L6" s="13">
        <f t="shared" si="0"/>
        <v>1750</v>
      </c>
      <c r="M6" s="13">
        <f t="shared" si="0"/>
        <v>900</v>
      </c>
    </row>
    <row r="7" ht="12.95" customHeight="1" spans="1:13">
      <c r="A7" s="14">
        <v>1.2</v>
      </c>
      <c r="B7" s="11" t="s">
        <v>179</v>
      </c>
      <c r="C7" s="12">
        <f>SUM(D7:M7)</f>
        <v>8765</v>
      </c>
      <c r="D7" s="13">
        <f>D8+D9</f>
        <v>159.75</v>
      </c>
      <c r="E7" s="13">
        <f t="shared" ref="E7:R7" si="1">E8+E9</f>
        <v>1003.75</v>
      </c>
      <c r="F7" s="13">
        <f t="shared" si="1"/>
        <v>972.25</v>
      </c>
      <c r="G7" s="13">
        <f t="shared" si="1"/>
        <v>989.625</v>
      </c>
      <c r="H7" s="13">
        <f t="shared" si="1"/>
        <v>955.875</v>
      </c>
      <c r="I7" s="13">
        <f t="shared" si="1"/>
        <v>971</v>
      </c>
      <c r="J7" s="13">
        <f t="shared" si="1"/>
        <v>935</v>
      </c>
      <c r="K7" s="13">
        <f t="shared" si="1"/>
        <v>947.875</v>
      </c>
      <c r="L7" s="13">
        <f t="shared" si="1"/>
        <v>909.625</v>
      </c>
      <c r="M7" s="13">
        <f t="shared" si="1"/>
        <v>920.25</v>
      </c>
    </row>
    <row r="8" ht="14.1" customHeight="1" spans="1:13">
      <c r="A8" s="14"/>
      <c r="B8" s="12" t="s">
        <v>180</v>
      </c>
      <c r="C8" s="12">
        <f>SUM(D8:M8)</f>
        <v>7100</v>
      </c>
      <c r="D8" s="13"/>
      <c r="E8" s="13">
        <v>700</v>
      </c>
      <c r="F8" s="13">
        <v>700</v>
      </c>
      <c r="G8" s="13">
        <v>750</v>
      </c>
      <c r="H8" s="13">
        <v>750</v>
      </c>
      <c r="I8" s="13">
        <v>800</v>
      </c>
      <c r="J8" s="13">
        <f>800</f>
        <v>800</v>
      </c>
      <c r="K8" s="13">
        <v>850</v>
      </c>
      <c r="L8" s="13">
        <v>850</v>
      </c>
      <c r="M8" s="13">
        <f>900</f>
        <v>900</v>
      </c>
    </row>
    <row r="9" spans="1:13">
      <c r="A9" s="14"/>
      <c r="B9" s="15" t="s">
        <v>181</v>
      </c>
      <c r="C9" s="12">
        <f>SUM(D9:M9)</f>
        <v>1665</v>
      </c>
      <c r="D9" s="13">
        <f>D5*0.045*0.5</f>
        <v>159.75</v>
      </c>
      <c r="E9" s="13">
        <f>(E6+F6)/2*0.045</f>
        <v>303.75</v>
      </c>
      <c r="F9" s="13">
        <f>(F6+G6)/2*0.045</f>
        <v>272.25</v>
      </c>
      <c r="G9" s="13">
        <f t="shared" ref="F9:Q9" si="2">(G6+H6)/2*0.045</f>
        <v>239.625</v>
      </c>
      <c r="H9" s="13">
        <f t="shared" si="2"/>
        <v>205.875</v>
      </c>
      <c r="I9" s="13">
        <f t="shared" si="2"/>
        <v>171</v>
      </c>
      <c r="J9" s="13">
        <f t="shared" si="2"/>
        <v>135</v>
      </c>
      <c r="K9" s="13">
        <f t="shared" si="2"/>
        <v>97.875</v>
      </c>
      <c r="L9" s="13">
        <f t="shared" si="2"/>
        <v>59.625</v>
      </c>
      <c r="M9" s="13">
        <f>(M6/2*0.045)</f>
        <v>20.25</v>
      </c>
    </row>
    <row r="10" spans="1:13">
      <c r="A10" s="14">
        <v>1.3</v>
      </c>
      <c r="B10" s="11" t="s">
        <v>182</v>
      </c>
      <c r="C10" s="12"/>
      <c r="D10" s="13">
        <f>D5</f>
        <v>7100</v>
      </c>
      <c r="E10" s="13">
        <f t="shared" ref="E10:R10" si="3">E6-E8</f>
        <v>6400</v>
      </c>
      <c r="F10" s="13">
        <f t="shared" si="3"/>
        <v>5700</v>
      </c>
      <c r="G10" s="13">
        <f t="shared" si="3"/>
        <v>4950</v>
      </c>
      <c r="H10" s="13">
        <f t="shared" si="3"/>
        <v>4200</v>
      </c>
      <c r="I10" s="13">
        <f t="shared" si="3"/>
        <v>3400</v>
      </c>
      <c r="J10" s="13">
        <f t="shared" si="3"/>
        <v>2600</v>
      </c>
      <c r="K10" s="13">
        <f t="shared" si="3"/>
        <v>1750</v>
      </c>
      <c r="L10" s="13">
        <f t="shared" si="3"/>
        <v>900</v>
      </c>
      <c r="M10" s="13">
        <f t="shared" si="3"/>
        <v>0</v>
      </c>
    </row>
    <row r="11" ht="19.9" customHeight="1" spans="1:13">
      <c r="A11" s="10">
        <v>4</v>
      </c>
      <c r="B11" s="12" t="s">
        <v>183</v>
      </c>
      <c r="C11" s="12">
        <f>SUM(D11:M11)</f>
        <v>10323.5872250679</v>
      </c>
      <c r="D11" s="13"/>
      <c r="E11" s="13">
        <f>利润及利润分配表!D26</f>
        <v>1172.97278798483</v>
      </c>
      <c r="F11" s="13">
        <f>利润及利润分配表!E26</f>
        <v>1166.9662595835</v>
      </c>
      <c r="G11" s="13">
        <f>利润及利润分配表!F26</f>
        <v>1160.98976382418</v>
      </c>
      <c r="H11" s="13">
        <f>利润及利润分配表!G26</f>
        <v>1155.04315054365</v>
      </c>
      <c r="I11" s="13">
        <f>利润及利润分配表!H26</f>
        <v>1149.12627032953</v>
      </c>
      <c r="J11" s="13">
        <f>利润及利润分配表!I26</f>
        <v>1138.37978451648</v>
      </c>
      <c r="K11" s="13">
        <f>利润及利润分配表!J26</f>
        <v>1132.52192518249</v>
      </c>
      <c r="L11" s="13">
        <f>利润及利润分配表!K26</f>
        <v>1126.69335514518</v>
      </c>
      <c r="M11" s="13">
        <f>利润及利润分配表!L26</f>
        <v>1120.89392795804</v>
      </c>
    </row>
    <row r="12" spans="1:13">
      <c r="A12" s="16" t="s">
        <v>184</v>
      </c>
      <c r="B12" s="12" t="s">
        <v>185</v>
      </c>
      <c r="C12" s="11">
        <f>C11/(C9)</f>
        <v>6.20035268772845</v>
      </c>
      <c r="D12" s="13"/>
      <c r="E12" s="13">
        <f t="shared" ref="E12:R12" si="4">E11/(E9)</f>
        <v>3.8616388081805</v>
      </c>
      <c r="F12" s="13">
        <f t="shared" si="4"/>
        <v>4.28637744566941</v>
      </c>
      <c r="G12" s="13">
        <f t="shared" si="4"/>
        <v>4.84502770505655</v>
      </c>
      <c r="H12" s="13">
        <f t="shared" si="4"/>
        <v>5.61040996013917</v>
      </c>
      <c r="I12" s="13">
        <f t="shared" si="4"/>
        <v>6.72003666859374</v>
      </c>
      <c r="J12" s="13">
        <f t="shared" si="4"/>
        <v>8.43244284827021</v>
      </c>
      <c r="K12" s="13">
        <f t="shared" si="4"/>
        <v>11.5711052381353</v>
      </c>
      <c r="L12" s="13">
        <f t="shared" si="4"/>
        <v>18.8963246145942</v>
      </c>
      <c r="M12" s="13">
        <f t="shared" si="4"/>
        <v>55.3527865658293</v>
      </c>
    </row>
    <row r="13" spans="1:13">
      <c r="A13" s="16"/>
      <c r="B13" s="12" t="s">
        <v>186</v>
      </c>
      <c r="C13" s="11">
        <f>C11/(C7)</f>
        <v>1.17781942100033</v>
      </c>
      <c r="D13" s="13"/>
      <c r="E13" s="13">
        <f t="shared" ref="E13:R13" si="5">E11/(E7)</f>
        <v>1.16859057333482</v>
      </c>
      <c r="F13" s="13">
        <f t="shared" si="5"/>
        <v>1.20027385917562</v>
      </c>
      <c r="G13" s="13">
        <f t="shared" si="5"/>
        <v>1.17316131244075</v>
      </c>
      <c r="H13" s="13">
        <f t="shared" si="5"/>
        <v>1.2083621295082</v>
      </c>
      <c r="I13" s="13">
        <f t="shared" si="5"/>
        <v>1.18344621043206</v>
      </c>
      <c r="J13" s="13">
        <f t="shared" si="5"/>
        <v>1.21751848611388</v>
      </c>
      <c r="K13" s="13">
        <f t="shared" si="5"/>
        <v>1.19480092331002</v>
      </c>
      <c r="L13" s="13">
        <f t="shared" si="5"/>
        <v>1.23863499260154</v>
      </c>
      <c r="M13" s="13">
        <f t="shared" si="5"/>
        <v>1.21803197822118</v>
      </c>
    </row>
    <row r="16" spans="1:13">
      <c r="E16" s="17"/>
    </row>
  </sheetData>
  <sheetProtection formatCells="0" insertHyperlinks="0" autoFilter="0"/>
  <mergeCells count="4">
    <mergeCell ref="A1:M1"/>
    <mergeCell ref="D3:M3"/>
    <mergeCell ref="A3:A4"/>
    <mergeCell ref="A12:A13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  <woSheetProps sheetStid="5" interlineOnOff="0" interlineColor="0" isDbSheet="0" isDashBoardSheet="0" isDbDashBoardSheet="0" isFlexPaperSheet="0">
      <cellprotection/>
      <appEtDbRelations/>
    </woSheetProps>
    <woSheetProps sheetStid="6" interlineOnOff="0" interlineColor="0" isDbSheet="0" isDashBoardSheet="0" isDbDashBoardSheet="0" isFlexPaperSheet="0">
      <cellprotection/>
      <appEtDbRelations/>
    </woSheetProps>
    <woSheetProps sheetStid="7" interlineOnOff="0" interlineColor="0" isDbSheet="0" isDashBoardSheet="0" isDbDashBoardSheet="0" isFlexPaperSheet="0">
      <cellprotection/>
      <appEtDbRelations/>
    </woSheetProps>
  </woSheetsProps>
  <woBookProps>
    <bookSettings fileId="AK20260224RQYWLP:5219_task_zl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  <pixelatorList sheetStid="5"/>
  <pixelatorList sheetStid="6"/>
  <pixelatorList sheetStid="7"/>
  <pixelatorList sheetStid="8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WWO_wpscloud_20260521140422-4fc981a905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总投资</vt:lpstr>
      <vt:lpstr>固定资产折旧</vt:lpstr>
      <vt:lpstr>营业收入及税金表</vt:lpstr>
      <vt:lpstr>总成本费用表</vt:lpstr>
      <vt:lpstr>利润及利润分配表</vt:lpstr>
      <vt:lpstr>项目投资现金流量表</vt:lpstr>
      <vt:lpstr>还本付息表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超</cp:lastModifiedBy>
  <dcterms:created xsi:type="dcterms:W3CDTF">2024-05-17T18:32:00Z</dcterms:created>
  <dcterms:modified xsi:type="dcterms:W3CDTF">2026-05-26T16:43:00Z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2052-12.9.0.26442</vt:lpwstr>
  </property>
  <property fmtid="{D5CDD505-2E9C-101B-9397-08002B2CF9AE}" pid="3" name="ICV">
    <vt:lpwstr>3C98D0FB9E744029A9E84F0EECD248E5_12</vt:lpwstr>
  </property>
  <property fmtid="{D5CDD505-2E9C-101B-9397-08002B2CF9AE}" pid="4" name="CalculationRule">
    <vt:i4>0</vt:i4>
  </property>
</Properties>
</file>