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封面" sheetId="1" r:id="rId1"/>
    <sheet name="核心参数" sheetId="2" r:id="rId2"/>
    <sheet name="外购原料及动力成本表" sheetId="3" r:id="rId3"/>
    <sheet name="总投资" sheetId="4" r:id="rId4"/>
    <sheet name="固定资产折旧" sheetId="5" r:id="rId5"/>
    <sheet name="营业收入及税金表" sheetId="6" r:id="rId6"/>
    <sheet name="总成本费用表" sheetId="7" r:id="rId7"/>
    <sheet name="工资及福利费" sheetId="8" r:id="rId8"/>
    <sheet name="利润及利润分配表" sheetId="9" r:id="rId9"/>
    <sheet name="项目投资现金流量表" sheetId="10" r:id="rId10"/>
    <sheet name="还本付息表" sheetId="1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<sst xmlns="http://schemas.openxmlformats.org/spreadsheetml/2006/main" count="537" uniqueCount="328">
  <si>
    <t>汝阳县金堆城林光互补矿山综合治理项目</t>
  </si>
  <si>
    <t>项目财务评估报告</t>
  </si>
  <si>
    <t>核心评估指标</t>
  </si>
  <si>
    <t>项目总投资</t>
  </si>
  <si>
    <t>万元</t>
  </si>
  <si>
    <t>年均营业收入</t>
  </si>
  <si>
    <t>固定资产投资</t>
  </si>
  <si>
    <t>年均总成本</t>
  </si>
  <si>
    <t>流动资金</t>
  </si>
  <si>
    <t>年均固定成本</t>
  </si>
  <si>
    <t>贷款金额</t>
  </si>
  <si>
    <t>年均可变成本</t>
  </si>
  <si>
    <t>资本金</t>
  </si>
  <si>
    <t>年均经营成本</t>
  </si>
  <si>
    <t>达产年营业收入（含税）</t>
  </si>
  <si>
    <t>年均利税总额</t>
  </si>
  <si>
    <t>达产年总成本费用</t>
  </si>
  <si>
    <t>年均营业税金及附加</t>
  </si>
  <si>
    <t>贷款期限</t>
  </si>
  <si>
    <t>年</t>
  </si>
  <si>
    <t>年均利润</t>
  </si>
  <si>
    <t>贷款利率</t>
  </si>
  <si>
    <t>%</t>
  </si>
  <si>
    <t>年均增值税</t>
  </si>
  <si>
    <t>折现率</t>
  </si>
  <si>
    <t>年均净利润</t>
  </si>
  <si>
    <r>
      <rPr>
        <sz val="10"/>
        <color rgb="FF000000"/>
        <rFont val="Noto Sans CJK SC"/>
        <charset val="134"/>
      </rPr>
      <t>项目投资财务内部收益率（</t>
    </r>
    <r>
      <rPr>
        <sz val="10"/>
        <color rgb="FF000000"/>
        <rFont val="微软雅黑"/>
        <charset val="134"/>
      </rPr>
      <t>4.2%</t>
    </r>
    <r>
      <rPr>
        <sz val="10"/>
        <color rgb="FF000000"/>
        <rFont val="Noto Sans CJK SC"/>
        <charset val="134"/>
      </rPr>
      <t>）（所得税前）</t>
    </r>
  </si>
  <si>
    <t>年均息税前利润</t>
  </si>
  <si>
    <r>
      <rPr>
        <sz val="10"/>
        <color rgb="FF000000"/>
        <rFont val="Noto Sans CJK SC"/>
        <charset val="134"/>
      </rPr>
      <t>项目投资财务净现值（所得税前）（</t>
    </r>
    <r>
      <rPr>
        <sz val="10"/>
        <color rgb="FF000000"/>
        <rFont val="微软雅黑"/>
        <charset val="134"/>
      </rPr>
      <t>ic=4.2%</t>
    </r>
    <r>
      <rPr>
        <sz val="10"/>
        <color rgb="FF000000"/>
        <rFont val="Noto Sans CJK SC"/>
        <charset val="134"/>
      </rPr>
      <t>）</t>
    </r>
  </si>
  <si>
    <t>总投资收益率</t>
  </si>
  <si>
    <t>项目投资回收期（年）（所得税前）</t>
  </si>
  <si>
    <t>投资利税率</t>
  </si>
  <si>
    <r>
      <rPr>
        <b/>
        <sz val="10"/>
        <color rgb="FF000000"/>
        <rFont val="宋体"/>
        <charset val="134"/>
      </rPr>
      <t>项目投资财务内部收益率（</t>
    </r>
    <r>
      <rPr>
        <b/>
        <sz val="10"/>
        <color rgb="FF000000"/>
        <rFont val="微软雅黑"/>
        <charset val="134"/>
      </rPr>
      <t>4.2%</t>
    </r>
    <r>
      <rPr>
        <b/>
        <sz val="10"/>
        <color rgb="FF000000"/>
        <rFont val="宋体"/>
        <charset val="134"/>
      </rPr>
      <t>）（所得税后）</t>
    </r>
  </si>
  <si>
    <t>项目资本金净利润率</t>
  </si>
  <si>
    <r>
      <rPr>
        <b/>
        <sz val="10"/>
        <color rgb="FF000000"/>
        <rFont val="宋体"/>
        <charset val="134"/>
      </rPr>
      <t>项目投资财务净现值（所得税后）（</t>
    </r>
    <r>
      <rPr>
        <b/>
        <sz val="10"/>
        <color rgb="FF000000"/>
        <rFont val="微软雅黑"/>
        <charset val="134"/>
      </rPr>
      <t>ic=4.2%</t>
    </r>
    <r>
      <rPr>
        <b/>
        <sz val="10"/>
        <color rgb="FF000000"/>
        <rFont val="宋体"/>
        <charset val="134"/>
      </rPr>
      <t>）</t>
    </r>
  </si>
  <si>
    <t>盈亏平衡点</t>
  </si>
  <si>
    <t>项目投资回收期（年）（所得税后）</t>
  </si>
  <si>
    <t>偿债备付率</t>
  </si>
  <si>
    <t>-</t>
  </si>
  <si>
    <t>报表索引</t>
  </si>
  <si>
    <t>报表名称</t>
  </si>
  <si>
    <t>说明</t>
  </si>
  <si>
    <t>总投资</t>
  </si>
  <si>
    <t>建设投资估算表，含工程费用、工程建设其他费用、预备费、流动资金等</t>
  </si>
  <si>
    <t>固定资产折旧</t>
  </si>
  <si>
    <t>建筑物折旧、设备折旧、土地摊销</t>
  </si>
  <si>
    <t>营业收入及税金表</t>
  </si>
  <si>
    <t>产能利用率、销量、含税收入、增值税、营业税金及附加</t>
  </si>
  <si>
    <t>总成本费用表</t>
  </si>
  <si>
    <t>生产成本、销售费用、管理费用、折旧、利息</t>
  </si>
  <si>
    <t>利润及利润分配表</t>
  </si>
  <si>
    <t>利润总额、所得税、净利润、盈余公积金、未分配利润</t>
  </si>
  <si>
    <t>还本付息表</t>
  </si>
  <si>
    <r>
      <rPr>
        <sz val="10"/>
        <color rgb="FF000000"/>
        <rFont val="宋体"/>
        <charset val="134"/>
      </rPr>
      <t>贷款，年期，年利率</t>
    </r>
    <r>
      <rPr>
        <sz val="10"/>
        <color rgb="FF000000"/>
        <rFont val="微软雅黑"/>
        <charset val="134"/>
      </rPr>
      <t>4.5%</t>
    </r>
    <r>
      <rPr>
        <sz val="10"/>
        <color rgb="FF000000"/>
        <rFont val="宋体"/>
        <charset val="134"/>
      </rPr>
      <t>，半年还款明细</t>
    </r>
  </si>
  <si>
    <t>项目投资现金流量表</t>
  </si>
  <si>
    <r>
      <rPr>
        <sz val="10"/>
        <color rgb="FF000000"/>
        <rFont val="Noto Sans CJK SC"/>
        <charset val="134"/>
      </rPr>
      <t>项目投资角度，含增值税退税影响，税前</t>
    </r>
    <r>
      <rPr>
        <sz val="10"/>
        <color rgb="FF000000"/>
        <rFont val="微软雅黑"/>
        <charset val="134"/>
      </rPr>
      <t>/</t>
    </r>
    <r>
      <rPr>
        <sz val="10"/>
        <color rgb="FF000000"/>
        <rFont val="Noto Sans CJK SC"/>
        <charset val="134"/>
      </rPr>
      <t>税后分析</t>
    </r>
  </si>
  <si>
    <t>核心参数</t>
  </si>
  <si>
    <t>项目基本参数、投资参数、成本参数、融资参数、税务参数、评估参数</t>
  </si>
  <si>
    <r>
      <rPr>
        <b/>
        <sz val="14"/>
        <color rgb="FF000000"/>
        <rFont val="Noto Sans CJK SC"/>
        <charset val="134"/>
      </rPr>
      <t xml:space="preserve">汝阳县金堆城林光互补矿山综合治理项目测算 </t>
    </r>
    <r>
      <rPr>
        <b/>
        <sz val="14"/>
        <color rgb="FF000000"/>
        <rFont val="微软雅黑"/>
        <charset val="134"/>
      </rPr>
      <t xml:space="preserve">- </t>
    </r>
    <r>
      <rPr>
        <b/>
        <sz val="14"/>
        <color rgb="FF000000"/>
        <rFont val="Noto Sans CJK SC"/>
        <charset val="134"/>
      </rPr>
      <t>核心参数</t>
    </r>
  </si>
  <si>
    <t>一、项目基本参数</t>
  </si>
  <si>
    <t>光伏发电电价（产品1）</t>
  </si>
  <si>
    <r>
      <rPr>
        <sz val="10"/>
        <rFont val="宋体"/>
        <charset val="134"/>
      </rPr>
      <t>元</t>
    </r>
    <r>
      <rPr>
        <sz val="10"/>
        <rFont val="微软雅黑"/>
        <charset val="134"/>
      </rPr>
      <t>/度</t>
    </r>
  </si>
  <si>
    <t>含税价格</t>
  </si>
  <si>
    <t>光伏设计产能（产品1）</t>
  </si>
  <si>
    <t>MW</t>
  </si>
  <si>
    <t>储能电售价（产品2）</t>
  </si>
  <si>
    <t>储能设计产能（产品2）</t>
  </si>
  <si>
    <t>MWH</t>
  </si>
  <si>
    <t>芦竹每亩售价</t>
  </si>
  <si>
    <t>元/亩</t>
  </si>
  <si>
    <t>芦竹种植数量</t>
  </si>
  <si>
    <t>亩</t>
  </si>
  <si>
    <t>建设期</t>
  </si>
  <si>
    <t>运营期</t>
  </si>
  <si>
    <t>第一年产能利用率</t>
  </si>
  <si>
    <t>达产年产能利用率</t>
  </si>
  <si>
    <t>第x年达产</t>
  </si>
  <si>
    <t>光伏第一年衰减率</t>
  </si>
  <si>
    <t>后续衰减率</t>
  </si>
  <si>
    <r>
      <rPr>
        <sz val="10"/>
        <color rgb="FF000000"/>
        <rFont val="宋体"/>
        <charset val="134"/>
      </rPr>
      <t>后续每年</t>
    </r>
    <r>
      <rPr>
        <sz val="10"/>
        <color rgb="FF000000"/>
        <rFont val="Noto Sans CJK SC"/>
        <charset val="134"/>
      </rPr>
      <t>0.5%</t>
    </r>
  </si>
  <si>
    <t>1KW 光伏装机容量平均日发电量</t>
  </si>
  <si>
    <t>度/天</t>
  </si>
  <si>
    <t>年平均工作天数</t>
  </si>
  <si>
    <t>天</t>
  </si>
  <si>
    <t>储能利用率</t>
  </si>
  <si>
    <t>二、投资参数</t>
  </si>
  <si>
    <t>工程费用</t>
  </si>
  <si>
    <t>工程建设其他费用</t>
  </si>
  <si>
    <t>预备费</t>
  </si>
  <si>
    <t>建设投资合计</t>
  </si>
  <si>
    <t>建设期利息</t>
  </si>
  <si>
    <t>三、折旧参数</t>
  </si>
  <si>
    <t>建筑折旧年限</t>
  </si>
  <si>
    <t>建筑残值率</t>
  </si>
  <si>
    <t>建筑维修费率</t>
  </si>
  <si>
    <t>建筑初始折旧比率</t>
  </si>
  <si>
    <t>设备折旧年限</t>
  </si>
  <si>
    <t>设备残值率</t>
  </si>
  <si>
    <t>设备维修费率</t>
  </si>
  <si>
    <t>设备初始折旧比率</t>
  </si>
  <si>
    <t>土地摊销年限</t>
  </si>
  <si>
    <t>四、成本参数</t>
  </si>
  <si>
    <t>项目外购原材料及动力占比</t>
  </si>
  <si>
    <t>生产成本占收入比</t>
  </si>
  <si>
    <t>含原材料、燃料动力、工资等</t>
  </si>
  <si>
    <t>序号</t>
  </si>
  <si>
    <t>项目</t>
  </si>
  <si>
    <t>单位</t>
  </si>
  <si>
    <t>进项税率</t>
  </si>
  <si>
    <t>年耗量</t>
  </si>
  <si>
    <t>吨耗金额/单价</t>
  </si>
  <si>
    <t>管理费用占收入比</t>
  </si>
  <si>
    <t>销售费用占收入比</t>
  </si>
  <si>
    <t>一</t>
  </si>
  <si>
    <t>主要原材料</t>
  </si>
  <si>
    <t>保洁维护费</t>
  </si>
  <si>
    <r>
      <rPr>
        <sz val="10"/>
        <color rgb="FF000000"/>
        <rFont val="宋体"/>
        <charset val="134"/>
      </rPr>
      <t>按折旧费的</t>
    </r>
    <r>
      <rPr>
        <sz val="10"/>
        <color rgb="FF000000"/>
        <rFont val="Noto Sans CJK SC"/>
        <charset val="134"/>
      </rPr>
      <t>0.08</t>
    </r>
    <r>
      <rPr>
        <sz val="10"/>
        <color rgb="FF000000"/>
        <rFont val="宋体"/>
        <charset val="134"/>
      </rPr>
      <t>计取</t>
    </r>
  </si>
  <si>
    <t>芦竹苗</t>
  </si>
  <si>
    <t>人员数量</t>
  </si>
  <si>
    <t>人</t>
  </si>
  <si>
    <t>注意是否存在产能与人工的配比关系</t>
  </si>
  <si>
    <t>二</t>
  </si>
  <si>
    <t>燃料及动力</t>
  </si>
  <si>
    <t>年工资</t>
  </si>
  <si>
    <t>电</t>
  </si>
  <si>
    <t>度</t>
  </si>
  <si>
    <t>蒸汽</t>
  </si>
  <si>
    <t>吨</t>
  </si>
  <si>
    <t>水</t>
  </si>
  <si>
    <t>三</t>
  </si>
  <si>
    <t>辅材料</t>
  </si>
  <si>
    <t>自建光伏费用减免</t>
  </si>
  <si>
    <t>万度电</t>
  </si>
  <si>
    <t>自建储能系统费用减免</t>
  </si>
  <si>
    <t>系统用电费用减免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</si>
  <si>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Noto Sans CJK SC"/>
        <charset val="134"/>
      </rPr>
      <t>/</t>
    </r>
    <r>
      <rPr>
        <sz val="10"/>
        <color rgb="FF000000"/>
        <rFont val="宋体"/>
        <charset val="134"/>
      </rPr>
      <t>度</t>
    </r>
  </si>
  <si>
    <t>五、融资参数</t>
  </si>
  <si>
    <r>
      <rPr>
        <sz val="10"/>
        <color rgb="FF000000"/>
        <rFont val="Noto Sans CJK SC"/>
        <charset val="134"/>
      </rPr>
      <t>年利率</t>
    </r>
    <r>
      <rPr>
        <sz val="10"/>
        <color rgb="FF000000"/>
        <rFont val="微软雅黑"/>
        <charset val="134"/>
      </rPr>
      <t>4.5%</t>
    </r>
  </si>
  <si>
    <t>套</t>
  </si>
  <si>
    <t>四</t>
  </si>
  <si>
    <t>外购服务</t>
  </si>
  <si>
    <t>污水处理服务费</t>
  </si>
  <si>
    <t>六、其他税务参数</t>
  </si>
  <si>
    <t>五</t>
  </si>
  <si>
    <t>备品备件</t>
  </si>
  <si>
    <t>增值税率</t>
  </si>
  <si>
    <t>城建税率</t>
  </si>
  <si>
    <t>教育费附加率</t>
  </si>
  <si>
    <t>房产税</t>
  </si>
  <si>
    <t>印花税</t>
  </si>
  <si>
    <t>所得税率</t>
  </si>
  <si>
    <t>盈余公积金提取率</t>
  </si>
  <si>
    <t>芦竹产品增值税</t>
  </si>
  <si>
    <t>七、评估参数</t>
  </si>
  <si>
    <r>
      <rPr>
        <b/>
        <sz val="14"/>
        <rFont val="宋体"/>
        <charset val="134"/>
      </rPr>
      <t xml:space="preserve">   外购原辅材料及燃料动力费用估算表</t>
    </r>
  </si>
  <si>
    <t>单位：万元</t>
  </si>
  <si>
    <t>单价（元）</t>
  </si>
  <si>
    <t>直接算入收入</t>
  </si>
  <si>
    <t>小计</t>
  </si>
  <si>
    <t>备件、辅助材料小计</t>
  </si>
  <si>
    <t>合计</t>
  </si>
  <si>
    <t>建设投资估算表</t>
  </si>
  <si>
    <t>工程或费用名称</t>
  </si>
  <si>
    <t>建筑工程费</t>
  </si>
  <si>
    <t>安装工程费</t>
  </si>
  <si>
    <t>设备购置费</t>
  </si>
  <si>
    <t>其他费用</t>
  </si>
  <si>
    <t>数量</t>
  </si>
  <si>
    <t>综合单价（万元）</t>
  </si>
  <si>
    <t>（一）</t>
  </si>
  <si>
    <t>建筑工程费用</t>
  </si>
  <si>
    <t>（二）</t>
  </si>
  <si>
    <t>工艺设备购置费用</t>
  </si>
  <si>
    <t>光伏组件</t>
  </si>
  <si>
    <t>　</t>
  </si>
  <si>
    <t>KW</t>
  </si>
  <si>
    <t>640Wp单晶N型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</si>
  <si>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</si>
  <si>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</si>
  <si>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</si>
  <si>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</si>
  <si>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</si>
  <si>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</si>
  <si>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</si>
  <si>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</si>
  <si>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</si>
  <si>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</si>
  <si>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</si>
  <si>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</si>
  <si>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</si>
  <si>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</si>
  <si>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</si>
  <si>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土建基础</t>
  </si>
  <si>
    <t>项</t>
  </si>
  <si>
    <t>组件、电气安装、辅材等</t>
  </si>
  <si>
    <t>电池储能集装箱</t>
  </si>
  <si>
    <t>KWH</t>
  </si>
  <si>
    <t>电池系统 2000KWH</t>
  </si>
  <si>
    <t>个</t>
  </si>
  <si>
    <t>储能变流器</t>
  </si>
  <si>
    <t>温控系统</t>
  </si>
  <si>
    <t>消防系统</t>
  </si>
  <si>
    <t>储能EMS</t>
  </si>
  <si>
    <t>储能箱基础及连接电缆</t>
  </si>
  <si>
    <t>超级芦竹种植</t>
  </si>
  <si>
    <t>配套工程</t>
  </si>
  <si>
    <t>㎡</t>
  </si>
  <si>
    <t>升压/降压变压器</t>
  </si>
  <si>
    <t>中压输电电缆</t>
  </si>
  <si>
    <t>m</t>
  </si>
  <si>
    <t>建设管理费</t>
  </si>
  <si>
    <t>建设工程监理费</t>
  </si>
  <si>
    <t>建设项目前期工作咨询费</t>
  </si>
  <si>
    <t>工程勘察费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</si>
  <si>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</si>
  <si>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</si>
  <si>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</si>
  <si>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</si>
  <si>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</si>
  <si>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</si>
  <si>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基本预备费</t>
  </si>
  <si>
    <r>
      <rPr>
        <sz val="7"/>
        <rFont val="宋体"/>
        <charset val="134"/>
      </rPr>
      <t>（一</t>
    </r>
    <r>
      <rPr>
        <sz val="7"/>
        <rFont val="Times New Roman"/>
        <charset val="134"/>
      </rPr>
      <t>+</t>
    </r>
    <r>
      <rPr>
        <sz val="7"/>
        <rFont val="宋体"/>
        <charset val="134"/>
      </rPr>
      <t>二）</t>
    </r>
    <r>
      <rPr>
        <sz val="7"/>
        <rFont val="Times New Roman"/>
        <charset val="134"/>
      </rPr>
      <t>*5%</t>
    </r>
  </si>
  <si>
    <t>涨价预备费</t>
  </si>
  <si>
    <t>比例（%）</t>
  </si>
  <si>
    <t>六</t>
  </si>
  <si>
    <t>七</t>
  </si>
  <si>
    <t>八</t>
  </si>
  <si>
    <t>固定资产折旧表</t>
  </si>
  <si>
    <t>残值率</t>
  </si>
  <si>
    <t>折旧年限</t>
  </si>
  <si>
    <t>房屋、建筑物</t>
  </si>
  <si>
    <t>原值</t>
  </si>
  <si>
    <t>当期折旧额</t>
  </si>
  <si>
    <t>净值</t>
  </si>
  <si>
    <t>设备折旧</t>
  </si>
  <si>
    <t>折旧费</t>
  </si>
  <si>
    <t>无形资产摊销</t>
  </si>
  <si>
    <t>营业收入</t>
  </si>
  <si>
    <t>光伏收入</t>
  </si>
  <si>
    <t>装机容量</t>
  </si>
  <si>
    <t>衰减值</t>
  </si>
  <si>
    <t>年发电天数</t>
  </si>
  <si>
    <t>工商业用电平均电价</t>
  </si>
  <si>
    <t>储能收入</t>
  </si>
  <si>
    <t>储能销售电价</t>
  </si>
  <si>
    <t>360天一充一放扣能耗（万kwh/n)</t>
  </si>
  <si>
    <t>超级芦竹收入</t>
  </si>
  <si>
    <t>面积</t>
  </si>
  <si>
    <t>每亩价格</t>
  </si>
  <si>
    <t>营业税金与附加</t>
  </si>
  <si>
    <t>营业税</t>
  </si>
  <si>
    <t>消费税</t>
  </si>
  <si>
    <t>城市建设维护税</t>
  </si>
  <si>
    <t>教育费附加</t>
  </si>
  <si>
    <t>（三）</t>
  </si>
  <si>
    <t>增值税</t>
  </si>
  <si>
    <t>销项税额</t>
  </si>
  <si>
    <t>进项税额</t>
  </si>
  <si>
    <t>外购燃料及动力费</t>
  </si>
  <si>
    <t>工资及福利费</t>
  </si>
  <si>
    <t>管理费及其他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</si>
  <si>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</si>
  <si>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</si>
  <si>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</si>
  <si>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</si>
  <si>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</si>
  <si>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</si>
  <si>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 xml:space="preserve">附表6 </t>
  </si>
  <si>
    <r>
      <rPr>
        <b/>
        <sz val="14"/>
        <rFont val="宋体"/>
        <charset val="134"/>
      </rPr>
      <t xml:space="preserve"> 工资及福利费估算表</t>
    </r>
  </si>
  <si>
    <t>序 号</t>
  </si>
  <si>
    <t>员工人数</t>
  </si>
  <si>
    <t>人均年工资（元）</t>
  </si>
  <si>
    <t>工资福利费总额（万元）</t>
  </si>
  <si>
    <t>项	目</t>
  </si>
  <si>
    <t>营业税金及附加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</si>
  <si>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</si>
  <si>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</si>
  <si>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</si>
  <si>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</si>
  <si>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</si>
  <si>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</si>
  <si>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</si>
  <si>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</si>
  <si>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</si>
  <si>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</si>
  <si>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</si>
  <si>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</si>
  <si>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</si>
  <si>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</si>
  <si>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</si>
  <si>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</si>
  <si>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</si>
  <si>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</si>
  <si>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</si>
  <si>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r>
      <rPr>
        <b/>
        <sz val="8"/>
        <color rgb="FF000000"/>
        <rFont val="宋体"/>
        <charset val="134"/>
      </rPr>
      <t>项</t>
    </r>
    <r>
      <rPr>
        <b/>
        <sz val="8"/>
        <color rgb="FF000000"/>
        <rFont val="宋体"/>
        <charset val="134"/>
      </rPr>
      <t>目</t>
    </r>
  </si>
  <si>
    <t>计算期</t>
  </si>
  <si>
    <t>现金流入</t>
  </si>
  <si>
    <t>留抵退税</t>
  </si>
  <si>
    <t>回收固定资产余值</t>
  </si>
  <si>
    <t>回收流动资金</t>
  </si>
  <si>
    <t>现金流出</t>
  </si>
  <si>
    <t>建设投资</t>
  </si>
  <si>
    <t>经营成本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</si>
  <si>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</si>
  <si>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</si>
  <si>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</si>
  <si>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</si>
  <si>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</si>
  <si>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</si>
  <si>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</si>
  <si>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</si>
  <si>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</si>
  <si>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</si>
  <si>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</si>
  <si>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r>
      <rPr>
        <sz val="8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）（所得税前）</t>
    </r>
  </si>
  <si>
    <r>
      <rPr>
        <sz val="8"/>
        <color rgb="FF000000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）（所得税后）</t>
    </r>
  </si>
  <si>
    <r>
      <rPr>
        <sz val="8"/>
        <rFont val="宋体"/>
        <charset val="134"/>
      </rPr>
      <t>项目投资财务净现值（所得税前）（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Arial"/>
        <charset val="134"/>
      </rPr>
      <t>4.2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</si>
  <si>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项目投资财务净现值（所得税后）（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Times New Roman"/>
        <charset val="134"/>
      </rPr>
      <t>4.2%</t>
    </r>
    <r>
      <rPr>
        <sz val="8"/>
        <color rgb="FF000000"/>
        <rFont val="宋体"/>
        <charset val="134"/>
      </rPr>
      <t>）</t>
    </r>
  </si>
  <si>
    <t>1年建设期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</si>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</sst>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  <numFmt numFmtId="180" formatCode="0.0000_ "/>
    <numFmt numFmtId="181" formatCode="0.0%"/>
    <numFmt numFmtId="182" formatCode="0.00_);[Red]\(0.00\)"/>
    <numFmt numFmtId="183" formatCode="#,##0.00_ "/>
  </numFmts>
  <fonts count="8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8"/>
      <color rgb="FF000000"/>
      <name val="Arial"/>
      <charset val="134"/>
    </font>
    <font>
      <b/>
      <sz val="8"/>
      <name val="Arial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Arial"/>
      <charset val="134"/>
    </font>
    <font>
      <sz val="8"/>
      <color rgb="FF000000"/>
      <name val="Arial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rgb="FFFF0000"/>
      <name val="宋体"/>
      <charset val="134"/>
    </font>
    <font>
      <b/>
      <sz val="8"/>
      <name val="Times New Roman"/>
      <charset val="134"/>
    </font>
    <font>
      <b/>
      <sz val="7"/>
      <name val="Times New Roman"/>
      <charset val="134"/>
    </font>
    <font>
      <b/>
      <sz val="8"/>
      <color rgb="FFFF0000"/>
      <name val="宋体"/>
      <charset val="134"/>
    </font>
    <font>
      <sz val="7"/>
      <name val="宋体"/>
      <charset val="134"/>
    </font>
    <font>
      <sz val="7"/>
      <name val="Times New Roman"/>
      <charset val="134"/>
    </font>
    <font>
      <sz val="8"/>
      <color rgb="FFFF0000"/>
      <name val="Times New Roman"/>
      <charset val="134"/>
    </font>
    <font>
      <sz val="12"/>
      <color rgb="FFC0000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rgb="FF000000"/>
      <name val="微软雅黑"/>
      <charset val="134"/>
    </font>
    <font>
      <sz val="10"/>
      <color rgb="FF000000"/>
      <name val="Noto Sans CJK SC"/>
      <charset val="134"/>
    </font>
    <font>
      <sz val="10"/>
      <color rgb="FF000000"/>
      <name val="微软雅黑"/>
      <charset val="134"/>
    </font>
    <font>
      <b/>
      <sz val="14"/>
      <name val="Noto Sans CJK SC"/>
      <charset val="134"/>
    </font>
    <font>
      <b/>
      <sz val="14"/>
      <color rgb="FF000000"/>
      <name val="Noto Sans CJK SC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name val="Noto Sans CJK SC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rgb="FFFF0000"/>
      <name val="Noto Sans CJK SC"/>
      <charset val="134"/>
    </font>
    <font>
      <sz val="10"/>
      <color rgb="FFFF0000"/>
      <name val="微软雅黑"/>
      <charset val="134"/>
    </font>
    <font>
      <b/>
      <sz val="10"/>
      <name val="Noto Sans CJK SC"/>
      <charset val="134"/>
    </font>
    <font>
      <b/>
      <sz val="18"/>
      <color rgb="FF000000"/>
      <name val="宋体"/>
      <charset val="134"/>
    </font>
    <font>
      <b/>
      <sz val="18"/>
      <color rgb="FF000000"/>
      <name val="Noto Sans CJK SC"/>
      <charset val="134"/>
    </font>
    <font>
      <b/>
      <sz val="12"/>
      <color rgb="FF000000"/>
      <name val="Noto Sans CJK SC"/>
      <charset val="134"/>
    </font>
    <font>
      <b/>
      <sz val="10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10"/>
      <color rgb="FF000000"/>
      <name val="Noto Sans CJK SC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44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41" fontId="65" fillId="0" borderId="0" applyFont="0" applyFill="0" applyBorder="0" applyAlignment="0" applyProtection="0">
      <alignment vertical="center"/>
    </xf>
    <xf numFmtId="42" fontId="65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5" fillId="10" borderId="17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11" borderId="20" applyNumberFormat="0" applyAlignment="0" applyProtection="0">
      <alignment vertical="center"/>
    </xf>
    <xf numFmtId="0" fontId="75" fillId="8" borderId="21" applyNumberFormat="0" applyAlignment="0" applyProtection="0">
      <alignment vertical="center"/>
    </xf>
    <xf numFmtId="0" fontId="76" fillId="8" borderId="20" applyNumberFormat="0" applyAlignment="0" applyProtection="0">
      <alignment vertical="center"/>
    </xf>
    <xf numFmtId="0" fontId="77" fillId="12" borderId="22" applyNumberFormat="0" applyAlignment="0" applyProtection="0">
      <alignment vertical="center"/>
    </xf>
    <xf numFmtId="0" fontId="78" fillId="0" borderId="23" applyNumberFormat="0" applyFill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3" fillId="16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3" fillId="23" borderId="0" applyNumberFormat="0" applyBorder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84" fillId="25" borderId="0" applyNumberFormat="0" applyBorder="0" applyAlignment="0" applyProtection="0">
      <alignment vertical="center"/>
    </xf>
    <xf numFmtId="0" fontId="84" fillId="26" borderId="0" applyNumberFormat="0" applyBorder="0" applyAlignment="0" applyProtection="0">
      <alignment vertical="center"/>
    </xf>
    <xf numFmtId="0" fontId="83" fillId="27" borderId="0" applyNumberFormat="0" applyBorder="0" applyAlignment="0" applyProtection="0">
      <alignment vertical="center"/>
    </xf>
    <xf numFmtId="0" fontId="83" fillId="28" borderId="0" applyNumberFormat="0" applyBorder="0" applyAlignment="0" applyProtection="0">
      <alignment vertical="center"/>
    </xf>
    <xf numFmtId="0" fontId="84" fillId="29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4" borderId="0" applyNumberFormat="0" applyBorder="0" applyAlignment="0" applyProtection="0">
      <alignment vertical="center"/>
    </xf>
    <xf numFmtId="0" fontId="83" fillId="35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4" fillId="37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left" vertical="top" wrapText="1"/>
    </xf>
    <xf numFmtId="176" fontId="6" fillId="0" borderId="1" xfId="0" applyNumberFormat="1" applyFont="1" applyBorder="1" applyAlignment="1">
      <alignment horizontal="left" vertical="top" wrapText="1"/>
    </xf>
    <xf numFmtId="176" fontId="7" fillId="0" borderId="1" xfId="0" applyNumberFormat="1" applyFont="1" applyBorder="1" applyAlignment="1">
      <alignment horizontal="center" vertical="top" wrapText="1"/>
    </xf>
    <xf numFmtId="177" fontId="5" fillId="0" borderId="1" xfId="0" applyNumberFormat="1" applyFont="1" applyBorder="1" applyAlignment="1">
      <alignment horizontal="center" vertical="top" wrapText="1"/>
    </xf>
    <xf numFmtId="177" fontId="7" fillId="0" borderId="1" xfId="0" applyNumberFormat="1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left" vertical="top" wrapText="1"/>
    </xf>
    <xf numFmtId="176" fontId="8" fillId="0" borderId="1" xfId="0" applyNumberFormat="1" applyFont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left" vertical="top" wrapText="1"/>
    </xf>
    <xf numFmtId="176" fontId="9" fillId="0" borderId="1" xfId="0" applyNumberFormat="1" applyFont="1" applyBorder="1" applyAlignment="1">
      <alignment horizontal="center" vertical="top" wrapText="1"/>
    </xf>
    <xf numFmtId="178" fontId="8" fillId="0" borderId="1" xfId="0" applyNumberFormat="1" applyFont="1" applyBorder="1" applyAlignment="1">
      <alignment horizontal="left" vertical="top" wrapText="1"/>
    </xf>
    <xf numFmtId="176" fontId="8" fillId="0" borderId="1" xfId="0" applyNumberFormat="1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left" vertical="center" wrapText="1"/>
    </xf>
    <xf numFmtId="176" fontId="10" fillId="0" borderId="0" xfId="0" applyNumberFormat="1" applyFo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76" fontId="8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10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76" fontId="12" fillId="0" borderId="1" xfId="0" applyNumberFormat="1" applyFont="1" applyBorder="1" applyAlignment="1">
      <alignment horizontal="center" vertical="top" wrapText="1"/>
    </xf>
    <xf numFmtId="176" fontId="12" fillId="0" borderId="3" xfId="0" applyNumberFormat="1" applyFont="1" applyBorder="1" applyAlignment="1">
      <alignment horizontal="center" vertical="top" wrapText="1"/>
    </xf>
    <xf numFmtId="176" fontId="13" fillId="0" borderId="1" xfId="0" applyNumberFormat="1" applyFont="1" applyBorder="1" applyAlignment="1">
      <alignment horizontal="center" vertical="top" wrapText="1"/>
    </xf>
    <xf numFmtId="0" fontId="15" fillId="0" borderId="0" xfId="0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top" wrapText="1"/>
    </xf>
    <xf numFmtId="0" fontId="21" fillId="0" borderId="0" xfId="0" applyNumberFormat="1" applyFon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76" fontId="11" fillId="0" borderId="12" xfId="0" applyNumberFormat="1" applyFont="1" applyBorder="1" applyAlignment="1">
      <alignment horizontal="center" vertical="top" wrapText="1"/>
    </xf>
    <xf numFmtId="176" fontId="5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176" fontId="25" fillId="0" borderId="1" xfId="0" applyNumberFormat="1" applyFont="1" applyBorder="1" applyAlignment="1">
      <alignment horizontal="center" vertical="top" wrapText="1"/>
    </xf>
    <xf numFmtId="176" fontId="11" fillId="0" borderId="1" xfId="0" applyNumberFormat="1" applyFont="1" applyBorder="1" applyAlignment="1">
      <alignment horizontal="center" vertical="top" wrapText="1"/>
    </xf>
    <xf numFmtId="176" fontId="26" fillId="0" borderId="1" xfId="0" applyNumberFormat="1" applyFont="1" applyBorder="1" applyAlignment="1">
      <alignment horizontal="center" vertical="top" wrapText="1"/>
    </xf>
    <xf numFmtId="10" fontId="26" fillId="0" borderId="1" xfId="0" applyNumberFormat="1" applyFont="1" applyBorder="1" applyAlignment="1">
      <alignment horizontal="center" vertical="top" wrapText="1"/>
    </xf>
    <xf numFmtId="10" fontId="12" fillId="0" borderId="1" xfId="0" applyNumberFormat="1" applyFont="1" applyBorder="1" applyAlignment="1">
      <alignment horizontal="center" vertical="top" wrapText="1"/>
    </xf>
    <xf numFmtId="10" fontId="8" fillId="0" borderId="1" xfId="0" applyNumberFormat="1" applyFont="1" applyBorder="1" applyAlignment="1">
      <alignment horizontal="center" vertical="top" wrapText="1"/>
    </xf>
    <xf numFmtId="176" fontId="27" fillId="0" borderId="1" xfId="0" applyNumberFormat="1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center" vertical="top" wrapText="1"/>
    </xf>
    <xf numFmtId="177" fontId="12" fillId="0" borderId="1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76" fontId="12" fillId="0" borderId="3" xfId="0" applyNumberFormat="1" applyFont="1" applyBorder="1" applyAlignment="1">
      <alignment horizontal="left" vertical="top" wrapText="1"/>
    </xf>
    <xf numFmtId="177" fontId="12" fillId="0" borderId="3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left" vertical="top" wrapText="1"/>
    </xf>
    <xf numFmtId="176" fontId="12" fillId="0" borderId="1" xfId="0" applyNumberFormat="1" applyFont="1" applyBorder="1" applyAlignment="1">
      <alignment horizontal="left" vertical="top" wrapText="1"/>
    </xf>
    <xf numFmtId="0" fontId="2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76" fontId="30" fillId="0" borderId="0" xfId="0" applyNumberFormat="1" applyFont="1" applyAlignment="1">
      <alignment horizontal="center" vertical="top" wrapText="1"/>
    </xf>
    <xf numFmtId="0" fontId="32" fillId="0" borderId="0" xfId="0" applyFont="1" applyAlignment="1">
      <alignment horizontal="right" vertical="top" wrapText="1"/>
    </xf>
    <xf numFmtId="0" fontId="33" fillId="0" borderId="0" xfId="0" applyFont="1" applyAlignment="1">
      <alignment horizontal="right" vertical="top" wrapText="1"/>
    </xf>
    <xf numFmtId="176" fontId="32" fillId="0" borderId="0" xfId="0" applyNumberFormat="1" applyFont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176" fontId="35" fillId="0" borderId="1" xfId="0" applyNumberFormat="1" applyFont="1" applyBorder="1" applyAlignment="1">
      <alignment horizontal="center" vertical="top" wrapText="1"/>
    </xf>
    <xf numFmtId="176" fontId="35" fillId="2" borderId="1" xfId="0" applyNumberFormat="1" applyFont="1" applyFill="1" applyBorder="1" applyAlignment="1">
      <alignment horizontal="center" vertical="top" wrapText="1"/>
    </xf>
    <xf numFmtId="10" fontId="36" fillId="0" borderId="12" xfId="0" applyNumberFormat="1" applyFont="1" applyBorder="1" applyAlignment="1">
      <alignment horizontal="center" vertical="top" wrapText="1"/>
    </xf>
    <xf numFmtId="10" fontId="36" fillId="0" borderId="13" xfId="0" applyNumberFormat="1" applyFont="1" applyBorder="1" applyAlignment="1">
      <alignment horizontal="center" vertical="top" wrapText="1"/>
    </xf>
    <xf numFmtId="176" fontId="36" fillId="0" borderId="14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176" fontId="35" fillId="0" borderId="1" xfId="0" applyNumberFormat="1" applyFont="1" applyFill="1" applyBorder="1" applyAlignment="1">
      <alignment horizontal="center" vertical="top" wrapText="1"/>
    </xf>
    <xf numFmtId="10" fontId="36" fillId="0" borderId="14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26" fillId="0" borderId="1" xfId="0" applyFont="1" applyBorder="1" applyAlignment="1">
      <alignment horizontal="center" vertical="top" wrapText="1"/>
    </xf>
    <xf numFmtId="176" fontId="8" fillId="3" borderId="1" xfId="0" applyNumberFormat="1" applyFon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80" fontId="5" fillId="3" borderId="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176" fontId="8" fillId="3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179" fontId="7" fillId="0" borderId="0" xfId="0" applyNumberFormat="1" applyFont="1">
      <alignment vertical="center"/>
    </xf>
    <xf numFmtId="179" fontId="37" fillId="0" borderId="0" xfId="0" applyNumberFormat="1" applyFont="1">
      <alignment vertical="center"/>
    </xf>
    <xf numFmtId="176" fontId="38" fillId="0" borderId="12" xfId="0" applyNumberFormat="1" applyFont="1" applyBorder="1" applyAlignment="1">
      <alignment horizontal="center" vertical="top" wrapText="1"/>
    </xf>
    <xf numFmtId="176" fontId="39" fillId="0" borderId="13" xfId="0" applyNumberFormat="1" applyFont="1" applyBorder="1" applyAlignment="1">
      <alignment horizontal="center" vertical="top" wrapText="1"/>
    </xf>
    <xf numFmtId="176" fontId="39" fillId="0" borderId="14" xfId="0" applyNumberFormat="1" applyFont="1" applyBorder="1" applyAlignment="1">
      <alignment horizontal="center" vertical="top" wrapText="1"/>
    </xf>
    <xf numFmtId="179" fontId="9" fillId="0" borderId="0" xfId="0" applyNumberFormat="1" applyFont="1">
      <alignment vertical="center"/>
    </xf>
    <xf numFmtId="179" fontId="10" fillId="0" borderId="0" xfId="0" applyNumberFormat="1" applyFont="1">
      <alignment vertical="center"/>
    </xf>
    <xf numFmtId="176" fontId="38" fillId="0" borderId="12" xfId="0" applyNumberFormat="1" applyFont="1" applyBorder="1" applyAlignment="1">
      <alignment horizontal="center" vertical="center" wrapText="1"/>
    </xf>
    <xf numFmtId="176" fontId="38" fillId="0" borderId="13" xfId="0" applyNumberFormat="1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left" vertical="center" wrapText="1"/>
    </xf>
    <xf numFmtId="176" fontId="38" fillId="0" borderId="14" xfId="0" applyNumberFormat="1" applyFont="1" applyBorder="1" applyAlignment="1">
      <alignment horizontal="center" vertical="center" wrapText="1"/>
    </xf>
    <xf numFmtId="176" fontId="38" fillId="0" borderId="13" xfId="0" applyNumberFormat="1" applyFont="1" applyBorder="1" applyAlignment="1">
      <alignment horizontal="center" vertical="top" wrapText="1"/>
    </xf>
    <xf numFmtId="176" fontId="38" fillId="0" borderId="14" xfId="0" applyNumberFormat="1" applyFont="1" applyBorder="1" applyAlignment="1">
      <alignment horizontal="left" vertical="top" wrapText="1"/>
    </xf>
    <xf numFmtId="176" fontId="38" fillId="0" borderId="14" xfId="0" applyNumberFormat="1" applyFont="1" applyBorder="1" applyAlignment="1">
      <alignment horizontal="center" vertical="top" wrapText="1"/>
    </xf>
    <xf numFmtId="176" fontId="21" fillId="0" borderId="0" xfId="0" applyNumberFormat="1" applyFont="1">
      <alignment vertical="center"/>
    </xf>
    <xf numFmtId="9" fontId="13" fillId="0" borderId="1" xfId="0" applyNumberFormat="1" applyFont="1" applyBorder="1" applyAlignment="1">
      <alignment horizontal="center" vertical="top" wrapText="1"/>
    </xf>
    <xf numFmtId="176" fontId="39" fillId="0" borderId="12" xfId="0" applyNumberFormat="1" applyFont="1" applyBorder="1" applyAlignment="1">
      <alignment horizontal="center" vertical="top" wrapText="1"/>
    </xf>
    <xf numFmtId="176" fontId="40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10" fontId="20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45" fillId="0" borderId="0" xfId="0" applyFont="1">
      <alignment vertical="center"/>
    </xf>
    <xf numFmtId="0" fontId="46" fillId="0" borderId="4" xfId="0" applyFont="1" applyBorder="1" applyAlignment="1">
      <alignment horizontal="left" vertical="center"/>
    </xf>
    <xf numFmtId="0" fontId="47" fillId="0" borderId="4" xfId="0" applyFont="1" applyBorder="1" applyAlignment="1">
      <alignment horizontal="right" vertical="center"/>
    </xf>
    <xf numFmtId="0" fontId="48" fillId="0" borderId="4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6" fillId="5" borderId="4" xfId="0" applyFont="1" applyFill="1" applyBorder="1" applyAlignment="1">
      <alignment horizontal="left" vertical="center"/>
    </xf>
    <xf numFmtId="0" fontId="47" fillId="5" borderId="4" xfId="0" applyFont="1" applyFill="1" applyBorder="1" applyAlignment="1">
      <alignment horizontal="right" vertical="center"/>
    </xf>
    <xf numFmtId="0" fontId="50" fillId="6" borderId="4" xfId="0" applyFont="1" applyFill="1" applyBorder="1" applyAlignment="1">
      <alignment horizontal="left" vertical="center"/>
    </xf>
    <xf numFmtId="0" fontId="51" fillId="6" borderId="4" xfId="0" applyFont="1" applyFill="1" applyBorder="1" applyAlignment="1">
      <alignment horizontal="right" vertical="center"/>
    </xf>
    <xf numFmtId="0" fontId="52" fillId="6" borderId="4" xfId="0" applyFont="1" applyFill="1" applyBorder="1" applyAlignment="1">
      <alignment horizontal="left" vertical="center"/>
    </xf>
    <xf numFmtId="0" fontId="50" fillId="7" borderId="4" xfId="0" applyFont="1" applyFill="1" applyBorder="1" applyAlignment="1">
      <alignment horizontal="left" vertical="center"/>
    </xf>
    <xf numFmtId="0" fontId="51" fillId="7" borderId="4" xfId="0" applyFont="1" applyFill="1" applyBorder="1" applyAlignment="1">
      <alignment horizontal="right" vertical="center"/>
    </xf>
    <xf numFmtId="0" fontId="52" fillId="7" borderId="4" xfId="0" applyFont="1" applyFill="1" applyBorder="1" applyAlignment="1">
      <alignment horizontal="left" vertical="center"/>
    </xf>
    <xf numFmtId="0" fontId="53" fillId="2" borderId="4" xfId="0" applyFont="1" applyFill="1" applyBorder="1" applyAlignment="1">
      <alignment horizontal="left" vertical="center"/>
    </xf>
    <xf numFmtId="0" fontId="47" fillId="2" borderId="4" xfId="0" applyFont="1" applyFill="1" applyBorder="1" applyAlignment="1">
      <alignment horizontal="right" vertical="center"/>
    </xf>
    <xf numFmtId="0" fontId="53" fillId="0" borderId="4" xfId="0" applyFont="1" applyBorder="1" applyAlignment="1">
      <alignment horizontal="left" vertical="center"/>
    </xf>
    <xf numFmtId="0" fontId="54" fillId="0" borderId="4" xfId="0" applyFont="1" applyBorder="1" applyAlignment="1">
      <alignment horizontal="left" vertical="center"/>
    </xf>
    <xf numFmtId="9" fontId="55" fillId="0" borderId="4" xfId="0" applyNumberFormat="1" applyFont="1" applyBorder="1" applyAlignment="1">
      <alignment horizontal="right" vertical="center"/>
    </xf>
    <xf numFmtId="0" fontId="56" fillId="0" borderId="4" xfId="0" applyFont="1" applyBorder="1" applyAlignment="1">
      <alignment horizontal="left" vertical="center"/>
    </xf>
    <xf numFmtId="9" fontId="57" fillId="0" borderId="4" xfId="0" applyNumberFormat="1" applyFont="1" applyBorder="1" applyAlignment="1">
      <alignment horizontal="right" vertical="center"/>
    </xf>
    <xf numFmtId="9" fontId="47" fillId="0" borderId="4" xfId="0" applyNumberFormat="1" applyFont="1" applyBorder="1" applyAlignment="1">
      <alignment horizontal="right" vertical="center"/>
    </xf>
    <xf numFmtId="0" fontId="53" fillId="0" borderId="4" xfId="0" applyNumberFormat="1" applyFont="1" applyBorder="1" applyAlignment="1">
      <alignment horizontal="left" vertical="center"/>
    </xf>
    <xf numFmtId="10" fontId="47" fillId="0" borderId="15" xfId="0" applyNumberFormat="1" applyFont="1" applyBorder="1" applyAlignment="1">
      <alignment horizontal="right" vertical="center"/>
    </xf>
    <xf numFmtId="0" fontId="47" fillId="0" borderId="16" xfId="0" applyFont="1" applyBorder="1" applyAlignment="1">
      <alignment horizontal="right" vertical="center"/>
    </xf>
    <xf numFmtId="0" fontId="50" fillId="0" borderId="4" xfId="0" applyFont="1" applyBorder="1" applyAlignment="1">
      <alignment horizontal="left" vertical="center"/>
    </xf>
    <xf numFmtId="0" fontId="47" fillId="0" borderId="0" xfId="0" applyFont="1" applyAlignment="1">
      <alignment horizontal="right" vertical="center"/>
    </xf>
    <xf numFmtId="4" fontId="47" fillId="0" borderId="4" xfId="0" applyNumberFormat="1" applyFont="1" applyBorder="1" applyAlignment="1">
      <alignment horizontal="right" vertical="center"/>
    </xf>
    <xf numFmtId="1" fontId="47" fillId="0" borderId="4" xfId="0" applyNumberFormat="1" applyFont="1" applyBorder="1" applyAlignment="1">
      <alignment horizontal="right" vertical="center"/>
    </xf>
    <xf numFmtId="9" fontId="46" fillId="0" borderId="4" xfId="0" applyNumberFormat="1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58" fillId="5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52" fillId="0" borderId="7" xfId="0" applyFont="1" applyBorder="1" applyAlignment="1">
      <alignment vertical="center" wrapText="1"/>
    </xf>
    <xf numFmtId="181" fontId="47" fillId="0" borderId="4" xfId="0" applyNumberFormat="1" applyFont="1" applyBorder="1" applyAlignment="1">
      <alignment horizontal="left" vertical="center"/>
    </xf>
    <xf numFmtId="0" fontId="52" fillId="0" borderId="4" xfId="0" applyFont="1" applyBorder="1" applyAlignment="1">
      <alignment vertical="center" wrapText="1"/>
    </xf>
    <xf numFmtId="0" fontId="58" fillId="0" borderId="4" xfId="0" applyFont="1" applyBorder="1" applyAlignment="1">
      <alignment vertical="center" wrapText="1"/>
    </xf>
    <xf numFmtId="0" fontId="52" fillId="0" borderId="4" xfId="0" applyFont="1" applyBorder="1" applyAlignment="1">
      <alignment horizontal="left" vertical="center" wrapText="1"/>
    </xf>
    <xf numFmtId="10" fontId="52" fillId="0" borderId="4" xfId="0" applyNumberFormat="1" applyFont="1" applyBorder="1" applyAlignment="1">
      <alignment horizontal="left" vertical="center" wrapText="1"/>
    </xf>
    <xf numFmtId="0" fontId="52" fillId="0" borderId="4" xfId="0" applyFont="1" applyBorder="1" applyAlignment="1">
      <alignment horizontal="left" vertical="center"/>
    </xf>
    <xf numFmtId="182" fontId="47" fillId="0" borderId="4" xfId="0" applyNumberFormat="1" applyFont="1" applyBorder="1" applyAlignment="1">
      <alignment horizontal="right" vertical="center"/>
    </xf>
    <xf numFmtId="183" fontId="47" fillId="0" borderId="4" xfId="0" applyNumberFormat="1" applyFont="1" applyBorder="1" applyAlignment="1">
      <alignment horizontal="left" vertical="center"/>
    </xf>
    <xf numFmtId="0" fontId="52" fillId="0" borderId="4" xfId="0" applyFont="1" applyBorder="1">
      <alignment vertical="center"/>
    </xf>
    <xf numFmtId="0" fontId="58" fillId="0" borderId="4" xfId="0" applyFont="1" applyBorder="1">
      <alignment vertical="center"/>
    </xf>
    <xf numFmtId="179" fontId="47" fillId="0" borderId="4" xfId="0" applyNumberFormat="1" applyFont="1" applyBorder="1" applyAlignment="1">
      <alignment horizontal="right" vertical="center"/>
    </xf>
    <xf numFmtId="0" fontId="53" fillId="5" borderId="4" xfId="0" applyFont="1" applyFill="1" applyBorder="1" applyAlignment="1">
      <alignment horizontal="left" vertical="center"/>
    </xf>
    <xf numFmtId="0" fontId="57" fillId="0" borderId="4" xfId="0" applyFont="1" applyBorder="1" applyAlignment="1">
      <alignment horizontal="right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46" fillId="6" borderId="4" xfId="0" applyFont="1" applyFill="1" applyBorder="1" applyAlignment="1">
      <alignment horizontal="left" vertical="center"/>
    </xf>
    <xf numFmtId="2" fontId="45" fillId="0" borderId="4" xfId="0" applyNumberFormat="1" applyFont="1" applyBorder="1">
      <alignment vertical="center"/>
    </xf>
    <xf numFmtId="0" fontId="46" fillId="6" borderId="4" xfId="0" applyFont="1" applyFill="1" applyBorder="1" applyAlignment="1">
      <alignment horizontal="center" vertical="center"/>
    </xf>
    <xf numFmtId="179" fontId="47" fillId="6" borderId="4" xfId="0" applyNumberFormat="1" applyFont="1" applyFill="1" applyBorder="1" applyAlignment="1">
      <alignment horizontal="right" vertical="center"/>
    </xf>
    <xf numFmtId="0" fontId="47" fillId="6" borderId="4" xfId="0" applyFont="1" applyFill="1" applyBorder="1" applyAlignment="1">
      <alignment horizontal="center" vertical="center"/>
    </xf>
    <xf numFmtId="10" fontId="47" fillId="0" borderId="4" xfId="0" applyNumberFormat="1" applyFont="1" applyBorder="1" applyAlignment="1">
      <alignment horizontal="right" vertical="center"/>
    </xf>
    <xf numFmtId="0" fontId="47" fillId="0" borderId="4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10" fontId="45" fillId="0" borderId="4" xfId="0" applyNumberFormat="1" applyFont="1" applyBorder="1">
      <alignment vertical="center"/>
    </xf>
    <xf numFmtId="2" fontId="51" fillId="0" borderId="4" xfId="0" applyNumberFormat="1" applyFont="1" applyBorder="1" applyAlignment="1">
      <alignment horizontal="right" vertical="center"/>
    </xf>
    <xf numFmtId="0" fontId="62" fillId="8" borderId="4" xfId="0" applyFont="1" applyFill="1" applyBorder="1" applyAlignment="1">
      <alignment horizontal="left" vertical="center"/>
    </xf>
    <xf numFmtId="10" fontId="63" fillId="8" borderId="4" xfId="0" applyNumberFormat="1" applyFont="1" applyFill="1" applyBorder="1" applyAlignment="1">
      <alignment horizontal="right" vertical="center"/>
    </xf>
    <xf numFmtId="0" fontId="63" fillId="8" borderId="4" xfId="0" applyFont="1" applyFill="1" applyBorder="1" applyAlignment="1">
      <alignment horizontal="center" vertical="center"/>
    </xf>
    <xf numFmtId="0" fontId="62" fillId="8" borderId="4" xfId="0" applyFont="1" applyFill="1" applyBorder="1" applyAlignment="1">
      <alignment horizontal="center" vertical="center"/>
    </xf>
    <xf numFmtId="2" fontId="63" fillId="8" borderId="4" xfId="0" applyNumberFormat="1" applyFont="1" applyFill="1" applyBorder="1" applyAlignment="1">
      <alignment horizontal="right" vertical="center"/>
    </xf>
    <xf numFmtId="0" fontId="46" fillId="9" borderId="4" xfId="0" applyFont="1" applyFill="1" applyBorder="1" applyAlignment="1">
      <alignment horizontal="left" vertical="center"/>
    </xf>
    <xf numFmtId="2" fontId="47" fillId="8" borderId="4" xfId="0" applyNumberFormat="1" applyFont="1" applyFill="1" applyBorder="1" applyAlignment="1">
      <alignment horizontal="right" vertical="center"/>
    </xf>
    <xf numFmtId="0" fontId="47" fillId="8" borderId="4" xfId="0" applyFont="1" applyFill="1" applyBorder="1" applyAlignment="1">
      <alignment horizontal="center" vertical="center"/>
    </xf>
    <xf numFmtId="0" fontId="64" fillId="5" borderId="4" xfId="0" applyFont="1" applyFill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9" borderId="4" xfId="0" applyFont="1" applyFill="1" applyBorder="1" applyAlignment="1">
      <alignment horizontal="center" vertical="center" wrapText="1"/>
    </xf>
    <xf numFmtId="0" fontId="53" fillId="9" borderId="4" xfId="0" applyFont="1" applyFill="1" applyBorder="1" applyAlignment="1">
      <alignment horizontal="left" vertical="center" wrapText="1"/>
    </xf>
    <xf numFmtId="0" fontId="46" fillId="9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661" dbFileVersion="0" changeLogVersion="0">
    <open main="233" threadCnt="1"/>
    <sheetInfos>
      <sheetInfo cellCmpFml="33" sheetStid="1">
        <open main="11" threadCnt="1"/>
      </sheetInfo>
      <sheetInfo cellCmpFml="14" sheetStid="2">
        <open main="9" threadCnt="1"/>
      </sheetInfo>
      <sheetInfo cellCmpFml="173" sheetStid="3">
        <open main="7" threadCnt="1"/>
      </sheetInfo>
      <sheetInfo cellCmpFml="83" sheetStid="4">
        <open main="5" threadCnt="1"/>
      </sheetInfo>
      <sheetInfo cellCmpFml="10" sheetStid="5">
        <open main="1" threadCnt="1"/>
      </sheetInfo>
      <sheetInfo cellCmpFml="100" sheetStid="6">
        <open main="5" threadCnt="1"/>
      </sheetInfo>
      <sheetInfo cellCmpFml="52" sheetStid="7">
        <open main="1" threadCnt="1"/>
      </sheetInfo>
      <sheetInfo cellCmpFml="5" sheetStid="8">
        <open threadCnt="1"/>
      </sheetInfo>
      <sheetInfo cellCmpFml="80" sheetStid="9">
        <open main="2" threadCnt="1"/>
      </sheetInfo>
      <sheetInfo cellCmpFml="82" sheetStid="10">
        <open main="2" threadCnt="1"/>
      </sheetInfo>
      <sheetInfo cellCmpFml="29" sheetStid="1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woinfos" Target="woinfos.xml"/><Relationship Id="rId17" Type="http://schemas.openxmlformats.org/officeDocument/2006/relationships/styles" Target="styles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&#24314;&#35774;&#26399;6&#24180;&#36816;&#33829;&#26399;&#20339;&#27888;&#39033;&#30446;&#27979;&#31639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核心参数"/>
      <sheetName val="投资概算表"/>
      <sheetName val="外购原材料及动力燃料"/>
      <sheetName val="销售收入"/>
      <sheetName val="固定资产折旧表"/>
      <sheetName val="流动资金"/>
      <sheetName val="总成本费用"/>
      <sheetName val="营业税金及附加"/>
      <sheetName val="工资及福利费"/>
      <sheetName val="利润及利润分配表"/>
      <sheetName val="投资现金流量表"/>
      <sheetName val="贷款偿还表"/>
    </sheetNames>
    <sheetDataSet>
      <sheetData sheetId="0"/>
      <sheetData sheetId="1">
        <row r="45">
          <cell r="E45">
            <v>230</v>
          </cell>
        </row>
        <row r="46">
          <cell r="E46">
            <v>32.4</v>
          </cell>
        </row>
      </sheetData>
      <sheetData sheetId="2">
        <row r="53">
          <cell r="G53">
            <v>0</v>
          </cell>
        </row>
      </sheetData>
      <sheetData sheetId="3"/>
      <sheetData sheetId="4">
        <row r="8">
          <cell r="D8">
            <v>0.7</v>
          </cell>
          <cell r="E8">
            <v>0.8</v>
          </cell>
          <cell r="F8">
            <v>0.9</v>
          </cell>
          <cell r="G8">
            <v>0.95</v>
          </cell>
          <cell r="H8">
            <v>0.95</v>
          </cell>
          <cell r="I8">
            <v>0.95</v>
          </cell>
        </row>
        <row r="9">
          <cell r="D9">
            <v>5000</v>
          </cell>
          <cell r="E9">
            <v>5000</v>
          </cell>
          <cell r="F9">
            <v>5000</v>
          </cell>
          <cell r="G9">
            <v>5000</v>
          </cell>
          <cell r="H9">
            <v>5000</v>
          </cell>
          <cell r="I9">
            <v>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0"/>
  <sheetViews>
    <sheetView tabSelected="1" topLeftCell="C9" workbookViewId="0">
      <selection activeCell="C23" sqref="C23"/>
    </sheetView>
  </sheetViews>
  <sheetFormatPr defaultColWidth="9.45833333333333" defaultRowHeight="14.25"/>
  <cols>
    <col min="1" max="1" width="9.45833333333333" style="49"/>
    <col min="2" max="2" width="43.5416666666667" style="49" customWidth="1"/>
    <col min="3" max="3" width="11.1833333333333" style="49" customWidth="1"/>
    <col min="4" max="4" width="13.3666666666667" style="49" customWidth="1"/>
    <col min="5" max="5" width="15.275" style="49"/>
    <col min="6" max="6" width="33.2916666666667" style="49" customWidth="1"/>
    <col min="7" max="7" width="14.125" style="49"/>
    <col min="8" max="26" width="9.45833333333333" style="49"/>
  </cols>
  <sheetData>
    <row r="1" s="49" customFormat="1" ht="16.5" spans="1:26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="49" customFormat="1" ht="16.5" spans="1:26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</row>
    <row r="3" s="49" customFormat="1" ht="25" customHeight="1" spans="1:26">
      <c r="A3" s="184"/>
      <c r="B3" s="230" t="s">
        <v>0</v>
      </c>
      <c r="C3" s="231"/>
      <c r="D3" s="231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</row>
    <row r="4" s="49" customFormat="1" ht="18" customHeight="1" spans="1:26">
      <c r="A4" s="184"/>
      <c r="B4" s="232" t="s">
        <v>1</v>
      </c>
      <c r="C4" s="232"/>
      <c r="D4" s="232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</row>
    <row r="5" s="49" customFormat="1" ht="16.5" spans="1:26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</row>
    <row r="6" s="49" customFormat="1" ht="16.5" spans="1:26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="49" customFormat="1" ht="16.5" customHeight="1" spans="1:26">
      <c r="A7" s="184"/>
      <c r="B7" s="233" t="s">
        <v>2</v>
      </c>
      <c r="C7" s="233"/>
      <c r="D7" s="233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</row>
    <row r="8" s="49" customFormat="1" ht="16.5" spans="1:26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="49" customFormat="1" ht="16.5" spans="1:26">
      <c r="A9" s="184"/>
      <c r="B9" s="234" t="s">
        <v>3</v>
      </c>
      <c r="C9" s="235">
        <f>总投资!G54</f>
        <v>8981.800520556</v>
      </c>
      <c r="D9" s="236" t="s">
        <v>4</v>
      </c>
      <c r="E9" s="184"/>
      <c r="F9" s="234" t="s">
        <v>5</v>
      </c>
      <c r="G9" s="235">
        <f>AVERAGE(营业收入及税金表!D5:L5)</f>
        <v>1528.72649379623</v>
      </c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</row>
    <row r="10" s="49" customFormat="1" ht="16.5" spans="1:26">
      <c r="A10" s="184"/>
      <c r="B10" s="234" t="s">
        <v>6</v>
      </c>
      <c r="C10" s="235">
        <f>总投资!G53</f>
        <v>8981.800520556</v>
      </c>
      <c r="D10" s="236" t="s">
        <v>4</v>
      </c>
      <c r="E10" s="184"/>
      <c r="F10" s="234" t="s">
        <v>7</v>
      </c>
      <c r="G10" s="235">
        <f>AVERAGE(总成本费用表!D13:L13)</f>
        <v>740.987903954814</v>
      </c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</row>
    <row r="11" s="49" customFormat="1" ht="16.5" spans="1:26">
      <c r="A11" s="184"/>
      <c r="B11" s="234" t="s">
        <v>8</v>
      </c>
      <c r="C11" s="235">
        <f>[1]投资概算表!G53</f>
        <v>0</v>
      </c>
      <c r="D11" s="236" t="s">
        <v>4</v>
      </c>
      <c r="E11" s="184"/>
      <c r="F11" s="234" t="s">
        <v>9</v>
      </c>
      <c r="G11" s="235">
        <f>AVERAGE(总成本费用表!D14:L14)</f>
        <v>670.881253254732</v>
      </c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</row>
    <row r="12" s="49" customFormat="1" ht="16.5" spans="1:26">
      <c r="A12" s="184"/>
      <c r="B12" s="234" t="s">
        <v>10</v>
      </c>
      <c r="C12" s="235">
        <f>核心参数!C58</f>
        <v>7100</v>
      </c>
      <c r="D12" s="236" t="s">
        <v>4</v>
      </c>
      <c r="E12" s="184"/>
      <c r="F12" s="234" t="s">
        <v>11</v>
      </c>
      <c r="G12" s="235">
        <f>AVERAGE(总成本费用表!D15:L15)</f>
        <v>54.5066507000827</v>
      </c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</row>
    <row r="13" s="49" customFormat="1" ht="16.5" spans="1:26">
      <c r="A13" s="184"/>
      <c r="B13" s="234" t="s">
        <v>12</v>
      </c>
      <c r="C13" s="235">
        <f>C9-C12</f>
        <v>1881.800520556</v>
      </c>
      <c r="D13" s="236" t="s">
        <v>4</v>
      </c>
      <c r="E13" s="184">
        <f>C13/C9</f>
        <v>0.209512615677587</v>
      </c>
      <c r="F13" s="234" t="s">
        <v>13</v>
      </c>
      <c r="G13" s="235">
        <f>AVERAGE(总成本费用表!D9:L9)</f>
        <v>192.404770203781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</row>
    <row r="14" s="49" customFormat="1" ht="16.5" spans="1:26">
      <c r="A14" s="184"/>
      <c r="B14" s="234" t="s">
        <v>14</v>
      </c>
      <c r="C14" s="235">
        <f>营业收入及税金表!D5</f>
        <v>1558.98168</v>
      </c>
      <c r="D14" s="236" t="s">
        <v>4</v>
      </c>
      <c r="E14" s="184"/>
      <c r="F14" s="234" t="s">
        <v>15</v>
      </c>
      <c r="G14" s="235">
        <f>G15+G16+G17</f>
        <v>787.738589841417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="49" customFormat="1" ht="16.5" spans="1:26">
      <c r="A15" s="184"/>
      <c r="B15" s="234" t="s">
        <v>16</v>
      </c>
      <c r="C15" s="235">
        <f>总成本费用表!D13</f>
        <v>879.908318851116</v>
      </c>
      <c r="D15" s="236" t="s">
        <v>4</v>
      </c>
      <c r="E15" s="184"/>
      <c r="F15" s="234" t="s">
        <v>17</v>
      </c>
      <c r="G15" s="235">
        <f>AVERAGE(营业收入及税金表!D18:L18)</f>
        <v>18.175401487517</v>
      </c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="49" customFormat="1" ht="16.5" spans="1:26">
      <c r="A16" s="184"/>
      <c r="B16" s="234" t="s">
        <v>18</v>
      </c>
      <c r="C16" s="235">
        <f>核心参数!C60</f>
        <v>10</v>
      </c>
      <c r="D16" s="236" t="s">
        <v>19</v>
      </c>
      <c r="E16" s="184"/>
      <c r="F16" s="234" t="s">
        <v>20</v>
      </c>
      <c r="G16" s="235">
        <f>AVERAGE(利润及利润分配表!D10:L10)</f>
        <v>587.80917347873</v>
      </c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="49" customFormat="1" ht="16.5" spans="1:26">
      <c r="A17" s="184"/>
      <c r="B17" s="234" t="s">
        <v>21</v>
      </c>
      <c r="C17" s="237">
        <f>核心参数!C59</f>
        <v>0.045</v>
      </c>
      <c r="D17" s="238" t="s">
        <v>22</v>
      </c>
      <c r="E17" s="184"/>
      <c r="F17" s="234" t="s">
        <v>23</v>
      </c>
      <c r="G17" s="235">
        <f>AVERAGE(营业收入及税金表!D23:L23)</f>
        <v>181.75401487517</v>
      </c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</row>
    <row r="18" s="49" customFormat="1" ht="16.5" spans="1:26">
      <c r="A18" s="184"/>
      <c r="B18" s="234" t="s">
        <v>24</v>
      </c>
      <c r="C18" s="237">
        <f>核心参数!C73</f>
        <v>0.042</v>
      </c>
      <c r="D18" s="238" t="s">
        <v>22</v>
      </c>
      <c r="E18" s="184"/>
      <c r="F18" s="234" t="s">
        <v>25</v>
      </c>
      <c r="G18" s="235">
        <f>AVERAGE(利润及利润分配表!D14:L14)</f>
        <v>440.856880109048</v>
      </c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="49" customFormat="1" ht="16.5" spans="1:26">
      <c r="A19" s="184"/>
      <c r="B19" s="185" t="s">
        <v>26</v>
      </c>
      <c r="C19" s="239">
        <f>项目投资现金流量表!F27</f>
        <v>0.112157451925038</v>
      </c>
      <c r="D19" s="240" t="s">
        <v>22</v>
      </c>
      <c r="E19" s="184"/>
      <c r="F19" s="234" t="s">
        <v>27</v>
      </c>
      <c r="G19" s="235">
        <f>AVERAGE(利润及利润分配表!D25:L25)</f>
        <v>755.059173478731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="49" customFormat="1" ht="16.5" spans="1:26">
      <c r="A20" s="184"/>
      <c r="B20" s="185" t="s">
        <v>28</v>
      </c>
      <c r="C20" s="235">
        <f>项目投资现金流量表!F28</f>
        <v>6521.62433906773</v>
      </c>
      <c r="D20" s="241" t="s">
        <v>4</v>
      </c>
      <c r="E20" s="184"/>
      <c r="F20" s="234" t="s">
        <v>29</v>
      </c>
      <c r="G20" s="242">
        <f>G19/C9</f>
        <v>0.084065457894626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</row>
    <row r="21" s="49" customFormat="1" ht="16.5" spans="1:26">
      <c r="A21" s="184"/>
      <c r="B21" s="185" t="s">
        <v>30</v>
      </c>
      <c r="C21" s="243">
        <f>项目投资现金流量表!F29</f>
        <v>9.19032168132126</v>
      </c>
      <c r="D21" s="241" t="s">
        <v>19</v>
      </c>
      <c r="E21" s="184"/>
      <c r="F21" s="234" t="s">
        <v>31</v>
      </c>
      <c r="G21" s="242">
        <f>(G16+G17)/C9</f>
        <v>0.0856802805398156</v>
      </c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</row>
    <row r="22" s="49" customFormat="1" ht="16.5" spans="1:26">
      <c r="A22" s="184"/>
      <c r="B22" s="244" t="s">
        <v>32</v>
      </c>
      <c r="C22" s="245">
        <f>项目投资现金流量表!L27</f>
        <v>0.0915889150423954</v>
      </c>
      <c r="D22" s="246" t="s">
        <v>22</v>
      </c>
      <c r="E22" s="184"/>
      <c r="F22" s="234" t="s">
        <v>33</v>
      </c>
      <c r="G22" s="242">
        <f>G16/C13</f>
        <v>0.312365294332608</v>
      </c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="49" customFormat="1" ht="16.5" spans="1:26">
      <c r="A23" s="184"/>
      <c r="B23" s="244" t="s">
        <v>34</v>
      </c>
      <c r="C23" s="235">
        <f>项目投资现金流量表!L28</f>
        <v>5252.36268808199</v>
      </c>
      <c r="D23" s="247" t="s">
        <v>4</v>
      </c>
      <c r="E23" s="184"/>
      <c r="F23" s="234" t="s">
        <v>35</v>
      </c>
      <c r="G23" s="242">
        <f>G11/(G9-G12-G15)</f>
        <v>0.460756027826695</v>
      </c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</row>
    <row r="24" s="49" customFormat="1" ht="16.5" spans="1:26">
      <c r="A24" s="184"/>
      <c r="B24" s="244" t="s">
        <v>36</v>
      </c>
      <c r="C24" s="248">
        <f>项目投资现金流量表!L29</f>
        <v>9.01052077673583</v>
      </c>
      <c r="D24" s="247" t="s">
        <v>19</v>
      </c>
      <c r="E24" s="184"/>
      <c r="F24"/>
      <c r="G2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</row>
    <row r="25" s="49" customFormat="1" ht="16.5" spans="1:26">
      <c r="A25" s="184"/>
      <c r="B25" s="249" t="s">
        <v>37</v>
      </c>
      <c r="C25" s="250">
        <f>还本付息表!C13</f>
        <v>1.16686032687597</v>
      </c>
      <c r="D25" s="251" t="s">
        <v>38</v>
      </c>
      <c r="E25" s="184"/>
      <c r="F25"/>
      <c r="G25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</row>
    <row r="26" s="49" customFormat="1" ht="16.5" spans="1:26">
      <c r="A26" s="184"/>
      <c r="B26" s="184"/>
      <c r="C26" s="184"/>
      <c r="D26" s="184"/>
      <c r="E26" s="184"/>
      <c r="F26"/>
      <c r="G26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="49" customFormat="1" ht="16.5" spans="1:26">
      <c r="A27" s="184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</row>
    <row r="28" s="49" customFormat="1" ht="16.5" customHeight="1" spans="1:26">
      <c r="A28" s="184"/>
      <c r="B28" s="233" t="s">
        <v>39</v>
      </c>
      <c r="C28" s="233"/>
      <c r="D28" s="233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</row>
    <row r="29" s="49" customFormat="1" ht="16.5" spans="1:26">
      <c r="A29" s="184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="49" customFormat="1" ht="16.5" customHeight="1" spans="1:26">
      <c r="A30" s="184"/>
      <c r="B30" s="252" t="s">
        <v>40</v>
      </c>
      <c r="C30" s="252" t="s">
        <v>41</v>
      </c>
      <c r="D30" s="252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</row>
    <row r="31" s="49" customFormat="1" ht="52" customHeight="1" spans="1:26">
      <c r="A31" s="253"/>
      <c r="B31" s="254" t="s">
        <v>42</v>
      </c>
      <c r="C31" s="255" t="s">
        <v>43</v>
      </c>
      <c r="D31" s="255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</row>
    <row r="32" s="49" customFormat="1" ht="58" customHeight="1" spans="1:26">
      <c r="A32" s="253"/>
      <c r="B32" s="256" t="s">
        <v>44</v>
      </c>
      <c r="C32" s="257" t="s">
        <v>45</v>
      </c>
      <c r="D32" s="258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</row>
    <row r="33" s="49" customFormat="1" ht="39" customHeight="1" spans="1:26">
      <c r="A33" s="253"/>
      <c r="B33" s="254" t="s">
        <v>46</v>
      </c>
      <c r="C33" s="255" t="s">
        <v>47</v>
      </c>
      <c r="D33" s="255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</row>
    <row r="34" s="49" customFormat="1" ht="56.5" customHeight="1" spans="1:26">
      <c r="A34" s="253"/>
      <c r="B34" s="256" t="s">
        <v>48</v>
      </c>
      <c r="C34" s="257" t="s">
        <v>49</v>
      </c>
      <c r="D34" s="258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</row>
    <row r="35" s="49" customFormat="1" ht="39" customHeight="1" spans="1:26">
      <c r="A35" s="253"/>
      <c r="B35" s="254" t="s">
        <v>50</v>
      </c>
      <c r="C35" s="255" t="s">
        <v>51</v>
      </c>
      <c r="D35" s="255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</row>
    <row r="36" s="49" customFormat="1" ht="42" customHeight="1" spans="1:26">
      <c r="A36" s="253"/>
      <c r="B36" s="256" t="s">
        <v>52</v>
      </c>
      <c r="C36" s="257" t="s">
        <v>53</v>
      </c>
      <c r="D36" s="258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</row>
    <row r="37" s="49" customFormat="1" ht="40.5" customHeight="1" spans="1:26">
      <c r="A37" s="253"/>
      <c r="B37" s="254" t="s">
        <v>54</v>
      </c>
      <c r="C37" s="255" t="s">
        <v>55</v>
      </c>
      <c r="D37" s="255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</row>
    <row r="38" s="49" customFormat="1" ht="52" customHeight="1" spans="1:26">
      <c r="A38" s="184"/>
      <c r="B38" s="256" t="s">
        <v>56</v>
      </c>
      <c r="C38" s="258" t="s">
        <v>57</v>
      </c>
      <c r="D38" s="258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</row>
    <row r="39" s="49" customFormat="1" ht="16.5" spans="1:26">
      <c r="A39" s="184"/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</row>
    <row r="40" s="49" customFormat="1" ht="16.5" spans="1:26">
      <c r="A40" s="184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</row>
    <row r="41" s="49" customFormat="1" ht="16.5" spans="1:26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</row>
    <row r="42" s="49" customFormat="1" ht="16.5" spans="1:26">
      <c r="A42" s="184"/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</row>
    <row r="43" s="49" customFormat="1" ht="16.5" spans="1:26">
      <c r="A43" s="184"/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</row>
    <row r="44" s="49" customFormat="1" ht="16.5" spans="1:26">
      <c r="A44" s="184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</row>
    <row r="45" s="49" customFormat="1" ht="16.5" spans="1:26">
      <c r="A45" s="184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</row>
    <row r="46" s="49" customFormat="1" ht="16.5" spans="1:26">
      <c r="A46" s="184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</row>
    <row r="47" s="49" customFormat="1" ht="16.5" spans="1:26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</row>
    <row r="48" s="49" customFormat="1" ht="16.5" spans="1:26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</row>
    <row r="49" s="49" customFormat="1" ht="16.5" spans="1:26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</row>
    <row r="50" s="49" customFormat="1" ht="16.5" spans="1:26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="49" customFormat="1" ht="16.5" spans="1:26">
      <c r="A51" s="184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</row>
    <row r="52" s="49" customFormat="1" ht="16.5" spans="1:26">
      <c r="A52" s="184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</row>
    <row r="53" s="49" customFormat="1" ht="16.5" spans="1:26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</row>
    <row r="54" s="49" customFormat="1" ht="16.5" spans="1:26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</row>
    <row r="55" s="49" customFormat="1" ht="16.5" spans="1:26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</row>
    <row r="56" s="49" customFormat="1" ht="16.5" spans="1:26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</row>
    <row r="57" s="49" customFormat="1" ht="16.5" spans="1:26">
      <c r="A57" s="184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</row>
    <row r="58" s="49" customFormat="1" ht="16.5" spans="1:26">
      <c r="A58" s="184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</row>
    <row r="59" s="49" customFormat="1" ht="16.5" spans="1:26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</row>
    <row r="60" s="49" customFormat="1" ht="16.5" spans="1:26">
      <c r="A60" s="184"/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</row>
    <row r="61" s="49" customFormat="1" ht="16.5" spans="1:26">
      <c r="A61" s="184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</row>
    <row r="62" s="49" customFormat="1" ht="16.5" spans="1:26">
      <c r="A62" s="184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</row>
    <row r="63" s="49" customFormat="1" ht="16.5" spans="1:26">
      <c r="A63" s="184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</row>
    <row r="64" s="49" customFormat="1" ht="16.5" spans="1:26">
      <c r="A64" s="184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="49" customFormat="1" ht="16.5" spans="1:26">
      <c r="A65" s="184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</row>
    <row r="66" s="49" customFormat="1" ht="16.5" spans="1:26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</row>
    <row r="67" s="49" customFormat="1" ht="16.5" spans="1:26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</row>
    <row r="68" s="49" customFormat="1" ht="16.5" spans="1:26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</row>
    <row r="69" s="49" customFormat="1" ht="16.5" spans="1:26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</row>
    <row r="70" s="49" customFormat="1" ht="16.5" spans="1:26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</row>
    <row r="71" s="49" customFormat="1" ht="16.5" spans="1:26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</row>
    <row r="72" s="49" customFormat="1" ht="16.5" spans="1:26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</row>
    <row r="73" s="49" customFormat="1" ht="16.5" spans="1:26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</row>
    <row r="74" s="49" customFormat="1" ht="16.5" spans="1:26">
      <c r="A74" s="184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</row>
    <row r="75" s="49" customFormat="1" ht="16.5" spans="1:26">
      <c r="A75" s="184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</row>
    <row r="76" s="49" customFormat="1" ht="16.5" spans="1:26">
      <c r="A76" s="184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</row>
    <row r="77" s="49" customFormat="1" ht="16.5" spans="1:26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</row>
    <row r="78" s="49" customFormat="1" ht="16.5" spans="1:26">
      <c r="A78" s="184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="49" customFormat="1" ht="16.5" spans="1:26">
      <c r="A79" s="184"/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</row>
    <row r="80" s="49" customFormat="1" ht="16.5" spans="1:26">
      <c r="A80" s="184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</row>
    <row r="81" s="49" customFormat="1" ht="16.5" spans="1:26">
      <c r="A81" s="184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</row>
    <row r="82" s="49" customFormat="1" ht="16.5" spans="1:26">
      <c r="A82" s="184"/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</row>
    <row r="83" s="49" customFormat="1" ht="16.5" spans="1:26">
      <c r="A83" s="184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</row>
    <row r="84" s="49" customFormat="1" ht="16.5" spans="1:26">
      <c r="A84" s="184"/>
      <c r="B84" s="184"/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</row>
    <row r="85" s="49" customFormat="1" ht="16.5" spans="1:26">
      <c r="A85" s="184"/>
      <c r="B85" s="184"/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</row>
    <row r="86" s="49" customFormat="1" ht="16.5" spans="1:26">
      <c r="A86" s="184"/>
      <c r="B86" s="184"/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</row>
    <row r="87" s="49" customFormat="1" ht="16.5" spans="1:26">
      <c r="A87" s="184"/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</row>
    <row r="88" s="49" customFormat="1" ht="16.5" spans="1:26">
      <c r="A88" s="184"/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</row>
    <row r="89" s="49" customFormat="1" ht="16.5" spans="1:26">
      <c r="A89" s="184"/>
      <c r="B89" s="184"/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</row>
    <row r="90" s="49" customFormat="1" ht="16.5" spans="1:26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</row>
    <row r="91" s="49" customFormat="1" ht="16.5" spans="1:26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</row>
    <row r="92" s="49" customFormat="1" ht="16.5" spans="1:26">
      <c r="A92" s="184"/>
      <c r="B92" s="184"/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="49" customFormat="1" ht="16.5" spans="1:26">
      <c r="A93" s="184"/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</row>
    <row r="94" s="49" customFormat="1" ht="16.5" spans="1:26">
      <c r="A94" s="184"/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</row>
    <row r="95" s="49" customFormat="1" ht="16.5" spans="1:26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</row>
    <row r="96" s="49" customFormat="1" ht="16.5" spans="1:26">
      <c r="A96" s="184"/>
      <c r="B96" s="184"/>
      <c r="C96" s="184"/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</row>
    <row r="97" s="49" customFormat="1" ht="16.5" spans="1:26">
      <c r="A97" s="184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</row>
    <row r="98" s="49" customFormat="1" ht="16.5" spans="1:26">
      <c r="A98" s="184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</row>
    <row r="99" s="49" customFormat="1" ht="16.5" spans="1:26">
      <c r="A99" s="184"/>
      <c r="B99" s="184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</row>
    <row r="100" s="49" customFormat="1" ht="16.5" spans="1:26">
      <c r="A100" s="184"/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</row>
    <row r="101" s="49" customFormat="1" ht="16.5" spans="1:26">
      <c r="A101" s="184"/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</row>
    <row r="102" s="49" customFormat="1" ht="16.5" spans="1:26">
      <c r="A102" s="184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</row>
    <row r="103" s="49" customFormat="1" ht="16.5" spans="1:26">
      <c r="A103" s="184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</row>
    <row r="104" s="49" customFormat="1" ht="16.5" spans="1:26">
      <c r="A104" s="184"/>
      <c r="B104" s="184"/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</row>
    <row r="105" s="49" customFormat="1" ht="16.5" spans="1:26">
      <c r="A105" s="184"/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</row>
    <row r="106" s="49" customFormat="1" ht="16.5" spans="1:26">
      <c r="A106" s="184"/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="49" customFormat="1" ht="16.5" spans="1:26">
      <c r="A107" s="184"/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</row>
    <row r="108" s="49" customFormat="1" ht="16.5" spans="1:26">
      <c r="A108" s="184"/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</row>
    <row r="109" s="49" customFormat="1" ht="16.5" spans="1:26">
      <c r="A109" s="184"/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</row>
    <row r="110" s="49" customFormat="1" ht="16.5" spans="1:26">
      <c r="A110" s="184"/>
      <c r="B110" s="18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</row>
    <row r="111" s="49" customFormat="1" ht="16.5" spans="1:26">
      <c r="A111" s="184"/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</row>
    <row r="112" s="49" customFormat="1" ht="16.5" spans="1:26">
      <c r="A112" s="184"/>
      <c r="B112" s="184"/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</row>
    <row r="113" s="49" customFormat="1" ht="16.5" spans="1:26">
      <c r="A113" s="184"/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</row>
    <row r="114" s="49" customFormat="1" ht="16.5" spans="1:26">
      <c r="A114" s="184"/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</row>
    <row r="115" s="49" customFormat="1" ht="16.5" spans="1:26">
      <c r="A115" s="184"/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</row>
    <row r="116" s="49" customFormat="1" ht="16.5" spans="1:26">
      <c r="A116" s="184"/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</row>
    <row r="117" s="49" customFormat="1" ht="16.5" spans="1:26">
      <c r="A117" s="184"/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</row>
    <row r="118" s="49" customFormat="1" ht="16.5" spans="1:26">
      <c r="A118" s="184"/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</row>
    <row r="119" s="49" customFormat="1" ht="16.5" spans="1:26">
      <c r="A119" s="184"/>
      <c r="B119" s="184"/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</row>
    <row r="120" s="49" customFormat="1" ht="16.5" spans="1:26">
      <c r="A120" s="184"/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="49" customFormat="1" ht="16.5" spans="1:26">
      <c r="A121" s="184"/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</row>
    <row r="122" s="49" customFormat="1" ht="16.5" spans="1:26">
      <c r="A122" s="184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</row>
    <row r="123" s="49" customFormat="1" ht="16.5" spans="1:26">
      <c r="A123" s="184"/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</row>
    <row r="124" s="49" customFormat="1" ht="16.5" spans="1:26">
      <c r="A124" s="184"/>
      <c r="B124" s="184"/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</row>
    <row r="125" s="49" customFormat="1" ht="16.5" spans="1:26">
      <c r="A125" s="184"/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</row>
    <row r="126" s="49" customFormat="1" ht="16.5" spans="1:26">
      <c r="A126" s="184"/>
      <c r="B126" s="184"/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</row>
    <row r="127" s="49" customFormat="1" ht="16.5" spans="1:26">
      <c r="A127" s="184"/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</row>
    <row r="128" s="49" customFormat="1" ht="16.5" spans="1:26">
      <c r="A128" s="184"/>
      <c r="B128" s="184"/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</row>
    <row r="129" s="49" customFormat="1" ht="16.5" spans="1:26">
      <c r="A129" s="184"/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</row>
    <row r="130" s="49" customFormat="1" ht="16.5" spans="1:26">
      <c r="A130" s="184"/>
      <c r="B130" s="184"/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</row>
    <row r="131" s="49" customFormat="1" ht="16.5" spans="1:26">
      <c r="A131" s="184"/>
      <c r="B131" s="184"/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</row>
    <row r="132" s="49" customFormat="1" ht="16.5" spans="1:26">
      <c r="A132" s="184"/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</row>
    <row r="133" s="49" customFormat="1" ht="16.5" spans="1:26">
      <c r="A133" s="184"/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</row>
    <row r="134" s="49" customFormat="1" ht="16.5" spans="1:26">
      <c r="A134" s="184"/>
      <c r="B134" s="184"/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="49" customFormat="1" ht="16.5" spans="1:26">
      <c r="A135" s="184"/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</row>
    <row r="136" s="49" customFormat="1" ht="16.5" spans="1:26">
      <c r="A136" s="184"/>
      <c r="B136" s="184"/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</row>
    <row r="137" s="49" customFormat="1" ht="16.5" spans="1:26">
      <c r="A137" s="184"/>
      <c r="B137" s="184"/>
      <c r="C137" s="184"/>
      <c r="D137" s="184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</row>
    <row r="138" s="49" customFormat="1" ht="16.5" spans="1:26">
      <c r="A138" s="184"/>
      <c r="B138" s="184"/>
      <c r="C138" s="184"/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</row>
    <row r="139" s="49" customFormat="1" ht="16.5" spans="1:26">
      <c r="A139" s="184"/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</row>
    <row r="140" s="49" customFormat="1" ht="16.5" spans="1:26">
      <c r="A140" s="184"/>
      <c r="B140" s="184"/>
      <c r="C140" s="184"/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</row>
    <row r="141" s="49" customFormat="1" ht="16.5" spans="1:26">
      <c r="A141" s="184"/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</row>
    <row r="142" s="49" customFormat="1" ht="16.5" spans="1:26">
      <c r="A142" s="184"/>
      <c r="B142" s="184"/>
      <c r="C142" s="184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</row>
    <row r="143" s="49" customFormat="1" ht="16.5" spans="1:26">
      <c r="A143" s="184"/>
      <c r="B143" s="184"/>
      <c r="C143" s="184"/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</row>
    <row r="144" s="49" customFormat="1" ht="16.5" spans="1:26">
      <c r="A144" s="184"/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</row>
    <row r="145" s="49" customFormat="1" ht="16.5" spans="1:26">
      <c r="A145" s="184"/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</row>
    <row r="146" s="49" customFormat="1" ht="16.5" spans="1:26">
      <c r="A146" s="184"/>
      <c r="B146" s="184"/>
      <c r="C146" s="184"/>
      <c r="D146" s="184"/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</row>
    <row r="147" s="49" customFormat="1" ht="16.5" spans="1:26">
      <c r="A147" s="184"/>
      <c r="B147" s="184"/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</row>
    <row r="148" s="49" customFormat="1" ht="16.5" spans="1:26">
      <c r="A148" s="184"/>
      <c r="B148" s="184"/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="49" customFormat="1" ht="16.5" spans="1:26">
      <c r="A149" s="184"/>
      <c r="B149" s="184"/>
      <c r="C149" s="184"/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</row>
    <row r="150" s="49" customFormat="1" ht="16.5" spans="1:26">
      <c r="A150" s="184"/>
      <c r="B150" s="184"/>
      <c r="C150" s="184"/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</row>
    <row r="151" s="49" customFormat="1" ht="16.5" spans="1:26">
      <c r="A151" s="184"/>
      <c r="B151" s="184"/>
      <c r="C151" s="184"/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</row>
    <row r="152" s="49" customFormat="1" ht="16.5" spans="1:26">
      <c r="A152" s="184"/>
      <c r="B152" s="184"/>
      <c r="C152" s="184"/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</row>
    <row r="153" s="49" customFormat="1" ht="16.5" spans="1:26">
      <c r="A153" s="184"/>
      <c r="B153" s="184"/>
      <c r="C153" s="184"/>
      <c r="D153" s="184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</row>
    <row r="154" s="49" customFormat="1" ht="16.5" spans="1:26">
      <c r="A154" s="184"/>
      <c r="B154" s="184"/>
      <c r="C154" s="184"/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</row>
    <row r="155" s="49" customFormat="1" ht="16.5" spans="1:26">
      <c r="A155" s="184"/>
      <c r="B155" s="184"/>
      <c r="C155" s="184"/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</row>
    <row r="156" s="49" customFormat="1" ht="16.5" spans="1:26">
      <c r="A156" s="184"/>
      <c r="B156" s="184"/>
      <c r="C156" s="184"/>
      <c r="D156" s="184"/>
      <c r="E156" s="184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</row>
    <row r="157" s="49" customFormat="1" ht="16.5" spans="1:26">
      <c r="A157" s="184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</row>
    <row r="158" s="49" customFormat="1" ht="16.5" spans="1:26">
      <c r="A158" s="184"/>
      <c r="B158" s="184"/>
      <c r="C158" s="184"/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</row>
    <row r="159" s="49" customFormat="1" ht="16.5" spans="1:26">
      <c r="A159" s="184"/>
      <c r="B159" s="184"/>
      <c r="C159" s="184"/>
      <c r="D159" s="184"/>
      <c r="E159" s="184"/>
      <c r="F159" s="184"/>
      <c r="G159" s="184"/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</row>
    <row r="160" s="49" customFormat="1" ht="16.5" spans="1:26">
      <c r="A160" s="184"/>
      <c r="B160" s="184"/>
      <c r="C160" s="184"/>
      <c r="D160" s="184"/>
      <c r="E160" s="184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</row>
    <row r="161" s="49" customFormat="1" ht="16.5" spans="1:26">
      <c r="A161" s="184"/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</row>
    <row r="162" s="49" customFormat="1" ht="16.5" spans="1:26">
      <c r="A162" s="184"/>
      <c r="B162" s="184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</row>
    <row r="163" s="49" customFormat="1" ht="16.5" spans="1:26">
      <c r="A163" s="184"/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</row>
    <row r="164" s="49" customFormat="1" ht="16.5" spans="1:26">
      <c r="A164" s="184"/>
      <c r="B164" s="184"/>
      <c r="C164" s="184"/>
      <c r="D164" s="184"/>
      <c r="E164" s="184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</row>
    <row r="165" s="49" customFormat="1" ht="16.5" spans="1:26">
      <c r="A165" s="184"/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</row>
    <row r="166" s="49" customFormat="1" ht="16.5" spans="1:26">
      <c r="A166" s="184"/>
      <c r="B166" s="184"/>
      <c r="C166" s="184"/>
      <c r="D166" s="184"/>
      <c r="E166" s="184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</row>
    <row r="167" s="49" customFormat="1" ht="16.5" spans="1:26">
      <c r="A167" s="184"/>
      <c r="B167" s="184"/>
      <c r="C167" s="184"/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</row>
    <row r="168" s="49" customFormat="1" ht="16.5" spans="1:26">
      <c r="A168" s="184"/>
      <c r="B168" s="184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</row>
    <row r="169" s="49" customFormat="1" ht="16.5" spans="1:26">
      <c r="A169" s="184"/>
      <c r="B169" s="184"/>
      <c r="C169" s="184"/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</row>
    <row r="170" s="49" customFormat="1" ht="16.5" spans="1:26">
      <c r="A170" s="184"/>
      <c r="B170" s="184"/>
      <c r="C170" s="184"/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</row>
    <row r="171" s="49" customFormat="1" ht="16.5" spans="1:26">
      <c r="A171" s="184"/>
      <c r="B171" s="184"/>
      <c r="C171" s="184"/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</row>
    <row r="172" s="49" customFormat="1" ht="16.5" spans="1:26">
      <c r="A172" s="184"/>
      <c r="B172" s="184"/>
      <c r="C172" s="184"/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</row>
    <row r="173" s="49" customFormat="1" ht="16.5" spans="1:26">
      <c r="A173" s="184"/>
      <c r="B173" s="184"/>
      <c r="C173" s="184"/>
      <c r="D173" s="184"/>
      <c r="E173" s="184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</row>
    <row r="174" s="49" customFormat="1" ht="16.5" spans="1:26">
      <c r="A174" s="184"/>
      <c r="B174" s="184"/>
      <c r="C174" s="184"/>
      <c r="D174" s="184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</row>
    <row r="175" s="49" customFormat="1" ht="16.5" spans="1:26">
      <c r="A175" s="184"/>
      <c r="B175" s="184"/>
      <c r="C175" s="184"/>
      <c r="D175" s="184"/>
      <c r="E175" s="184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</row>
    <row r="176" s="49" customFormat="1" ht="16.5" spans="1:26">
      <c r="A176" s="184"/>
      <c r="B176" s="184"/>
      <c r="C176" s="184"/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</row>
    <row r="177" s="49" customFormat="1" ht="16.5" spans="1:26">
      <c r="A177" s="184"/>
      <c r="B177" s="184"/>
      <c r="C177" s="184"/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</row>
    <row r="178" s="49" customFormat="1" ht="16.5" spans="1:26">
      <c r="A178" s="184"/>
      <c r="B178" s="184"/>
      <c r="C178" s="184"/>
      <c r="D178" s="184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</row>
    <row r="179" s="49" customFormat="1" ht="16.5" spans="1:26">
      <c r="A179" s="184"/>
      <c r="B179" s="184"/>
      <c r="C179" s="184"/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</row>
    <row r="180" s="49" customFormat="1" ht="16.5" spans="1:26">
      <c r="A180" s="184"/>
      <c r="B180" s="184"/>
      <c r="C180" s="184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</row>
    <row r="181" s="49" customFormat="1" ht="16.5" spans="1:26">
      <c r="A181" s="184"/>
      <c r="B181" s="184"/>
      <c r="C181" s="184"/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</row>
    <row r="182" s="49" customFormat="1" ht="16.5" spans="1:26">
      <c r="A182" s="184"/>
      <c r="B182" s="184"/>
      <c r="C182" s="184"/>
      <c r="D182" s="184"/>
      <c r="E182" s="184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</row>
    <row r="183" s="49" customFormat="1" ht="16.5" spans="1:26">
      <c r="A183" s="184"/>
      <c r="B183" s="184"/>
      <c r="C183" s="184"/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</row>
    <row r="184" s="49" customFormat="1" ht="16.5" spans="1:26">
      <c r="A184" s="184"/>
      <c r="B184" s="184"/>
      <c r="C184" s="184"/>
      <c r="D184" s="184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</row>
    <row r="185" s="49" customFormat="1" ht="16.5" spans="1:26">
      <c r="A185" s="184"/>
      <c r="B185" s="184"/>
      <c r="C185" s="184"/>
      <c r="D185" s="184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</row>
    <row r="186" s="49" customFormat="1" ht="16.5" spans="1:26">
      <c r="A186" s="184"/>
      <c r="B186" s="184"/>
      <c r="C186" s="184"/>
      <c r="D186" s="184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</row>
    <row r="187" s="49" customFormat="1" ht="16.5" spans="1:26">
      <c r="A187" s="184"/>
      <c r="B187" s="184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</row>
    <row r="188" s="49" customFormat="1" ht="16.5" spans="1:26">
      <c r="A188" s="184"/>
      <c r="B188" s="184"/>
      <c r="C188" s="184"/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</row>
    <row r="189" s="49" customFormat="1" ht="16.5" spans="1:26">
      <c r="A189" s="184"/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</row>
    <row r="190" s="49" customFormat="1" ht="16.5" spans="1:26">
      <c r="A190" s="184"/>
      <c r="B190" s="184"/>
      <c r="C190" s="184"/>
      <c r="D190" s="184"/>
      <c r="E190" s="184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</row>
    <row r="191" s="49" customFormat="1" ht="16.5" spans="1:26">
      <c r="A191" s="184"/>
      <c r="B191" s="184"/>
      <c r="C191" s="184"/>
      <c r="D191" s="184"/>
      <c r="E191" s="184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</row>
    <row r="192" s="49" customFormat="1" ht="16.5" spans="1:26">
      <c r="A192" s="184"/>
      <c r="B192" s="184"/>
      <c r="C192" s="184"/>
      <c r="D192" s="184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</row>
    <row r="193" s="49" customFormat="1" ht="16.5" spans="1:26">
      <c r="A193" s="184"/>
      <c r="B193" s="184"/>
      <c r="C193" s="184"/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</row>
    <row r="194" s="49" customFormat="1" ht="16.5" spans="1:26">
      <c r="A194" s="184"/>
      <c r="B194" s="184"/>
      <c r="C194" s="184"/>
      <c r="D194" s="184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</row>
    <row r="195" s="49" customFormat="1" ht="16.5" spans="1:26">
      <c r="A195" s="184"/>
      <c r="B195" s="184"/>
      <c r="C195" s="184"/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</row>
    <row r="196" s="49" customFormat="1" ht="16.5" spans="1:26">
      <c r="A196" s="184"/>
      <c r="B196" s="184"/>
      <c r="C196" s="184"/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</row>
    <row r="197" s="49" customFormat="1" ht="16.5" spans="1:26">
      <c r="A197" s="184"/>
      <c r="B197" s="184"/>
      <c r="C197" s="184"/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</row>
    <row r="198" s="49" customFormat="1" ht="16.5" spans="1:26">
      <c r="A198" s="184"/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</row>
    <row r="199" s="49" customFormat="1" ht="16.5" spans="1:26">
      <c r="A199" s="184"/>
      <c r="B199" s="184"/>
      <c r="C199" s="184"/>
      <c r="D199" s="184"/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</row>
    <row r="200" s="49" customFormat="1" ht="16.5" spans="1:26">
      <c r="A200" s="184"/>
      <c r="B200" s="184"/>
      <c r="C200" s="184"/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</row>
  </sheetData>
  <sheetProtection formatCells="0" insertHyperlinks="0" autoFilter="0"/>
  <mergeCells count="13">
    <mergeCell ref="B3:D3"/>
    <mergeCell ref="B4:D4"/>
    <mergeCell ref="B7:D7"/>
    <mergeCell ref="B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0" zoomScaleNormal="120" topLeftCell="A7" workbookViewId="0">
      <selection activeCell="A1" sqref="A1:M1"/>
    </sheetView>
  </sheetViews>
  <sheetFormatPr defaultColWidth="9" defaultRowHeight="13.5"/>
  <cols>
    <col min="1" max="1" width="4.13333333333333" customWidth="1"/>
    <col min="2" max="2" width="17.5583333333333" customWidth="1"/>
    <col min="3" max="3" width="9.63333333333333" customWidth="1"/>
    <col min="4" max="13" width="8.24166666666667" customWidth="1"/>
  </cols>
  <sheetData>
    <row r="1" ht="17.85" customHeight="1" spans="1:13">
      <c r="A1" s="21" t="s">
        <v>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>
      <c r="M2" t="s">
        <v>155</v>
      </c>
    </row>
    <row r="3" s="19" customFormat="1" ht="15" customHeight="1" spans="1:13">
      <c r="A3" s="23" t="s">
        <v>105</v>
      </c>
      <c r="B3" s="24" t="s">
        <v>294</v>
      </c>
      <c r="C3" s="24" t="s">
        <v>160</v>
      </c>
      <c r="D3" s="25" t="s">
        <v>295</v>
      </c>
      <c r="E3" s="25"/>
      <c r="F3" s="25"/>
      <c r="G3" s="25"/>
      <c r="H3" s="25"/>
      <c r="I3" s="25"/>
      <c r="J3" s="25"/>
      <c r="K3" s="25"/>
      <c r="L3" s="25"/>
      <c r="M3" s="25"/>
    </row>
    <row r="4" s="19" customFormat="1" ht="15" customHeight="1" spans="1:13">
      <c r="A4" s="23"/>
      <c r="B4" s="26"/>
      <c r="C4" s="27"/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</row>
    <row r="5" s="19" customFormat="1" ht="15" customHeight="1" spans="1:13">
      <c r="A5" s="29">
        <v>1</v>
      </c>
      <c r="B5" s="30" t="s">
        <v>296</v>
      </c>
      <c r="C5" s="31">
        <f>SUM(D5:M5)</f>
        <v>19148.5907609628</v>
      </c>
      <c r="D5" s="32">
        <f t="shared" ref="D5:M5" si="0">D6+D7+D8+D9</f>
        <v>793.98454685004</v>
      </c>
      <c r="E5" s="32">
        <f t="shared" si="0"/>
        <v>1558.98168</v>
      </c>
      <c r="F5" s="32">
        <f t="shared" si="0"/>
        <v>1551.3292716</v>
      </c>
      <c r="G5" s="32">
        <f t="shared" si="0"/>
        <v>1543.715125242</v>
      </c>
      <c r="H5" s="32">
        <f t="shared" si="0"/>
        <v>1536.13904961579</v>
      </c>
      <c r="I5" s="32">
        <f t="shared" si="0"/>
        <v>1528.60085436771</v>
      </c>
      <c r="J5" s="32">
        <f t="shared" si="0"/>
        <v>1521.10035009587</v>
      </c>
      <c r="K5" s="32">
        <f t="shared" si="0"/>
        <v>1513.63734834539</v>
      </c>
      <c r="L5" s="32">
        <f t="shared" si="0"/>
        <v>1506.21166160367</v>
      </c>
      <c r="M5" s="32">
        <f t="shared" si="0"/>
        <v>6094.89087324231</v>
      </c>
    </row>
    <row r="6" s="19" customFormat="1" ht="15" customHeight="1" spans="1:13">
      <c r="A6" s="29">
        <v>1.1</v>
      </c>
      <c r="B6" s="30" t="s">
        <v>237</v>
      </c>
      <c r="C6" s="31">
        <f>SUM(D6:M6)</f>
        <v>13758.5384441661</v>
      </c>
      <c r="D6" s="32">
        <v>0</v>
      </c>
      <c r="E6" s="32">
        <f>营业收入及税金表!D5</f>
        <v>1558.98168</v>
      </c>
      <c r="F6" s="32">
        <f>营业收入及税金表!E5</f>
        <v>1551.3292716</v>
      </c>
      <c r="G6" s="32">
        <f>营业收入及税金表!F5</f>
        <v>1543.715125242</v>
      </c>
      <c r="H6" s="32">
        <f>营业收入及税金表!G5</f>
        <v>1536.13904961579</v>
      </c>
      <c r="I6" s="32">
        <f>营业收入及税金表!H5</f>
        <v>1528.60085436771</v>
      </c>
      <c r="J6" s="32">
        <f>营业收入及税金表!I5</f>
        <v>1521.10035009587</v>
      </c>
      <c r="K6" s="32">
        <f>营业收入及税金表!J5</f>
        <v>1513.63734834539</v>
      </c>
      <c r="L6" s="32">
        <f>营业收入及税金表!K5</f>
        <v>1506.21166160367</v>
      </c>
      <c r="M6" s="32">
        <f>营业收入及税金表!L5</f>
        <v>1498.82310329565</v>
      </c>
    </row>
    <row r="7" s="20" customFormat="1" ht="15" customHeight="1" spans="1:13">
      <c r="A7" s="33">
        <v>1.2</v>
      </c>
      <c r="B7" s="34" t="s">
        <v>297</v>
      </c>
      <c r="C7" s="31">
        <f>SUM(D7:M7)</f>
        <v>793.98454685004</v>
      </c>
      <c r="D7" s="35">
        <f>(D11)*0.09</f>
        <v>793.98454685004</v>
      </c>
      <c r="E7" s="35"/>
      <c r="F7" s="36"/>
      <c r="G7" s="35"/>
      <c r="H7" s="35"/>
      <c r="I7" s="35"/>
      <c r="J7" s="35"/>
      <c r="K7" s="35"/>
      <c r="L7" s="35"/>
      <c r="M7" s="35"/>
    </row>
    <row r="8" s="19" customFormat="1" ht="15" customHeight="1" spans="1:13">
      <c r="A8" s="29">
        <v>1.3</v>
      </c>
      <c r="B8" s="30" t="s">
        <v>298</v>
      </c>
      <c r="C8" s="31">
        <f>SUM(D8:M8)</f>
        <v>4596.06776994667</v>
      </c>
      <c r="D8" s="32"/>
      <c r="E8" s="32"/>
      <c r="F8" s="32"/>
      <c r="G8" s="32"/>
      <c r="H8" s="32"/>
      <c r="I8" s="32"/>
      <c r="J8" s="32"/>
      <c r="K8" s="32"/>
      <c r="L8" s="32"/>
      <c r="M8" s="32">
        <f>固定资产折旧!N13</f>
        <v>4596.06776994667</v>
      </c>
    </row>
    <row r="9" s="19" customFormat="1" ht="15" customHeight="1" spans="1:13">
      <c r="A9" s="29">
        <v>1.4</v>
      </c>
      <c r="B9" s="30" t="s">
        <v>299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="19" customFormat="1" ht="15" customHeight="1" spans="1:13">
      <c r="A10" s="29">
        <v>2</v>
      </c>
      <c r="B10" s="30" t="s">
        <v>300</v>
      </c>
      <c r="C10" s="31">
        <f>SUM(D10:M10)</f>
        <v>12353.0581996542</v>
      </c>
      <c r="D10" s="32">
        <f t="shared" ref="D10:M10" si="1">D11+D12+D13+D14+D15+D16</f>
        <v>8822.050520556</v>
      </c>
      <c r="E10" s="32">
        <f t="shared" si="1"/>
        <v>398.841472015175</v>
      </c>
      <c r="F10" s="32">
        <f t="shared" si="1"/>
        <v>397.195592016503</v>
      </c>
      <c r="G10" s="32">
        <f t="shared" si="1"/>
        <v>395.557941417824</v>
      </c>
      <c r="H10" s="32">
        <f t="shared" si="1"/>
        <v>393.928479072139</v>
      </c>
      <c r="I10" s="32">
        <f t="shared" si="1"/>
        <v>392.307164038182</v>
      </c>
      <c r="J10" s="32">
        <f t="shared" si="1"/>
        <v>390.693955579395</v>
      </c>
      <c r="K10" s="32">
        <f t="shared" si="1"/>
        <v>389.088813162902</v>
      </c>
      <c r="L10" s="32">
        <f t="shared" si="1"/>
        <v>387.491696458491</v>
      </c>
      <c r="M10" s="32">
        <f t="shared" si="1"/>
        <v>385.902565337602</v>
      </c>
    </row>
    <row r="11" s="19" customFormat="1" ht="15" customHeight="1" spans="1:13">
      <c r="A11" s="29">
        <v>2.1</v>
      </c>
      <c r="B11" s="30" t="s">
        <v>301</v>
      </c>
      <c r="C11" s="31">
        <f>SUM(D11:M11)</f>
        <v>8822.050520556</v>
      </c>
      <c r="D11" s="32">
        <f>总投资!G50</f>
        <v>8822.050520556</v>
      </c>
      <c r="E11" s="32"/>
      <c r="F11" s="32"/>
      <c r="G11" s="32"/>
      <c r="H11" s="32"/>
      <c r="I11" s="32"/>
      <c r="J11" s="32"/>
      <c r="K11" s="32"/>
      <c r="L11" s="32"/>
      <c r="M11" s="32"/>
    </row>
    <row r="12" s="19" customFormat="1" ht="15" customHeight="1" spans="1:13">
      <c r="A12" s="29">
        <v>2.2</v>
      </c>
      <c r="B12" s="30" t="s">
        <v>8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="19" customFormat="1" ht="15" customHeight="1" spans="1:13">
      <c r="A13" s="29">
        <v>2.3</v>
      </c>
      <c r="B13" s="30" t="s">
        <v>302</v>
      </c>
      <c r="C13" s="31">
        <f>SUM(D13:M13)</f>
        <v>1731.64293183403</v>
      </c>
      <c r="D13" s="32">
        <v>0</v>
      </c>
      <c r="E13" s="32">
        <f>总成本费用表!D9</f>
        <v>194.825185100083</v>
      </c>
      <c r="F13" s="32">
        <f>总成本费用表!E9</f>
        <v>194.212992428083</v>
      </c>
      <c r="G13" s="32">
        <f>总成本费用表!F9</f>
        <v>193.603860719443</v>
      </c>
      <c r="H13" s="32">
        <f>总成本费用表!G9</f>
        <v>192.997774669346</v>
      </c>
      <c r="I13" s="32">
        <f>总成本费用表!H9</f>
        <v>192.3947190495</v>
      </c>
      <c r="J13" s="32">
        <f>总成本费用表!I9</f>
        <v>191.794678707753</v>
      </c>
      <c r="K13" s="32">
        <f>总成本费用表!J9</f>
        <v>191.197638567714</v>
      </c>
      <c r="L13" s="32">
        <f>总成本费用表!K9</f>
        <v>190.603583628376</v>
      </c>
      <c r="M13" s="32">
        <f>总成本费用表!L9</f>
        <v>190.012498963735</v>
      </c>
    </row>
    <row r="14" s="19" customFormat="1" ht="15" customHeight="1" spans="1:13">
      <c r="A14" s="29">
        <v>2.4</v>
      </c>
      <c r="B14" s="30" t="s">
        <v>274</v>
      </c>
      <c r="C14" s="31">
        <f>SUM(D14:M14)</f>
        <v>163.578613387653</v>
      </c>
      <c r="D14" s="32">
        <v>0</v>
      </c>
      <c r="E14" s="32">
        <f>营业收入及税金表!D18</f>
        <v>18.5469351740993</v>
      </c>
      <c r="F14" s="32">
        <f>营业收入及税金表!E18</f>
        <v>18.4529635989473</v>
      </c>
      <c r="G14" s="32">
        <f>营业收入及税金表!F18</f>
        <v>18.359461881671</v>
      </c>
      <c r="H14" s="32">
        <f>营业收入及税金表!G18</f>
        <v>18.2664276729812</v>
      </c>
      <c r="I14" s="32">
        <f>营业收入及税金表!H18</f>
        <v>18.1738586353348</v>
      </c>
      <c r="J14" s="32">
        <f>营业收入及税金表!I18</f>
        <v>18.0817524428766</v>
      </c>
      <c r="K14" s="32">
        <f>营业收入及税金表!J18</f>
        <v>17.9901067813807</v>
      </c>
      <c r="L14" s="32">
        <f>营业收入及税金表!K18</f>
        <v>17.8989193481923</v>
      </c>
      <c r="M14" s="32">
        <f>营业收入及税金表!L18</f>
        <v>17.8081878521698</v>
      </c>
    </row>
    <row r="15" s="19" customFormat="1" ht="15" customHeight="1" spans="1:13">
      <c r="A15" s="29">
        <v>2.5</v>
      </c>
      <c r="B15" s="30" t="s">
        <v>255</v>
      </c>
      <c r="C15" s="31">
        <f>SUM(D15:M15)</f>
        <v>1635.78613387653</v>
      </c>
      <c r="D15" s="32">
        <v>0</v>
      </c>
      <c r="E15" s="32">
        <f>利润及利润分配表!D7</f>
        <v>185.469351740993</v>
      </c>
      <c r="F15" s="32">
        <f>利润及利润分配表!E7</f>
        <v>184.529635989473</v>
      </c>
      <c r="G15" s="32">
        <f>利润及利润分配表!F7</f>
        <v>183.59461881671</v>
      </c>
      <c r="H15" s="32">
        <f>利润及利润分配表!G7</f>
        <v>182.664276729812</v>
      </c>
      <c r="I15" s="32">
        <f>利润及利润分配表!H7</f>
        <v>181.738586353347</v>
      </c>
      <c r="J15" s="32">
        <f>利润及利润分配表!I7</f>
        <v>180.817524428766</v>
      </c>
      <c r="K15" s="32">
        <f>利润及利润分配表!J7</f>
        <v>179.901067813807</v>
      </c>
      <c r="L15" s="32">
        <f>利润及利润分配表!K7</f>
        <v>178.989193481923</v>
      </c>
      <c r="M15" s="32">
        <f>利润及利润分配表!L7</f>
        <v>178.081878521698</v>
      </c>
    </row>
    <row r="16" s="19" customFormat="1" ht="15" customHeight="1" spans="1:13">
      <c r="A16" s="29">
        <v>2.6</v>
      </c>
      <c r="B16" s="30" t="s">
        <v>303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="19" customFormat="1" ht="22" customHeight="1" spans="1:13">
      <c r="A17" s="29">
        <v>3</v>
      </c>
      <c r="B17" s="37" t="s">
        <v>304</v>
      </c>
      <c r="C17" s="31">
        <f>SUM(D17:M17)</f>
        <v>6795.53256130858</v>
      </c>
      <c r="D17" s="32">
        <f t="shared" ref="D17:M17" si="2">D5-D10</f>
        <v>-8028.06597370596</v>
      </c>
      <c r="E17" s="32">
        <f t="shared" si="2"/>
        <v>1160.14020798483</v>
      </c>
      <c r="F17" s="32">
        <f t="shared" si="2"/>
        <v>1154.1336795835</v>
      </c>
      <c r="G17" s="32">
        <f t="shared" si="2"/>
        <v>1148.15718382418</v>
      </c>
      <c r="H17" s="32">
        <f t="shared" si="2"/>
        <v>1142.21057054365</v>
      </c>
      <c r="I17" s="32">
        <f t="shared" si="2"/>
        <v>1136.29369032953</v>
      </c>
      <c r="J17" s="32">
        <f t="shared" si="2"/>
        <v>1130.40639451648</v>
      </c>
      <c r="K17" s="32">
        <f t="shared" si="2"/>
        <v>1124.54853518249</v>
      </c>
      <c r="L17" s="32">
        <f t="shared" si="2"/>
        <v>1118.71996514518</v>
      </c>
      <c r="M17" s="32">
        <f t="shared" si="2"/>
        <v>5708.98830790471</v>
      </c>
    </row>
    <row r="18" s="19" customFormat="1" ht="22" customHeight="1" spans="1:13">
      <c r="A18" s="29">
        <v>4</v>
      </c>
      <c r="B18" s="37" t="s">
        <v>305</v>
      </c>
      <c r="C18" s="31"/>
      <c r="D18" s="32">
        <f>D17</f>
        <v>-8028.06597370596</v>
      </c>
      <c r="E18" s="32">
        <f t="shared" ref="E18:M18" si="3">D18+E17</f>
        <v>-6867.92576572113</v>
      </c>
      <c r="F18" s="32">
        <f t="shared" si="3"/>
        <v>-5713.79208613764</v>
      </c>
      <c r="G18" s="32">
        <f t="shared" si="3"/>
        <v>-4565.63490231346</v>
      </c>
      <c r="H18" s="32">
        <f t="shared" si="3"/>
        <v>-3423.42433176981</v>
      </c>
      <c r="I18" s="32">
        <f t="shared" si="3"/>
        <v>-2287.13064144028</v>
      </c>
      <c r="J18" s="32">
        <f t="shared" si="3"/>
        <v>-1156.7242469238</v>
      </c>
      <c r="K18" s="32">
        <f t="shared" si="3"/>
        <v>-32.175711741309</v>
      </c>
      <c r="L18" s="32">
        <f t="shared" si="3"/>
        <v>1086.54425340387</v>
      </c>
      <c r="M18" s="32">
        <f t="shared" si="3"/>
        <v>6795.53256130858</v>
      </c>
    </row>
    <row r="19" s="19" customFormat="1" ht="22" customHeight="1" spans="1:13">
      <c r="A19" s="29">
        <v>5</v>
      </c>
      <c r="B19" s="37" t="s">
        <v>306</v>
      </c>
      <c r="C19" s="31">
        <f>SUM(D19:M19)</f>
        <v>6521.62433906773</v>
      </c>
      <c r="D19" s="32">
        <f t="shared" ref="D19:M19" si="4">D17/POWER(1.042,1)</f>
        <v>-7704.47790182914</v>
      </c>
      <c r="E19" s="32">
        <f t="shared" si="4"/>
        <v>1113.37831860348</v>
      </c>
      <c r="F19" s="32">
        <f t="shared" si="4"/>
        <v>1107.61389595345</v>
      </c>
      <c r="G19" s="32">
        <f t="shared" si="4"/>
        <v>1101.87829541668</v>
      </c>
      <c r="H19" s="32">
        <f t="shared" si="4"/>
        <v>1096.17137288258</v>
      </c>
      <c r="I19" s="32">
        <f t="shared" si="4"/>
        <v>1090.49298496116</v>
      </c>
      <c r="J19" s="32">
        <f t="shared" si="4"/>
        <v>1084.84298897935</v>
      </c>
      <c r="K19" s="32">
        <f t="shared" si="4"/>
        <v>1079.22124297744</v>
      </c>
      <c r="L19" s="32">
        <f t="shared" si="4"/>
        <v>1073.62760570554</v>
      </c>
      <c r="M19" s="32">
        <f t="shared" si="4"/>
        <v>5478.87553541719</v>
      </c>
    </row>
    <row r="20" s="19" customFormat="1" ht="22" customHeight="1" spans="1:13">
      <c r="A20" s="29">
        <v>6</v>
      </c>
      <c r="B20" s="37" t="s">
        <v>307</v>
      </c>
      <c r="C20" s="31"/>
      <c r="D20" s="32">
        <f>D19</f>
        <v>-7704.47790182914</v>
      </c>
      <c r="E20" s="32">
        <f t="shared" ref="E20:M20" si="5">D20+E19</f>
        <v>-6591.09958322566</v>
      </c>
      <c r="F20" s="32">
        <f t="shared" si="5"/>
        <v>-5483.4856872722</v>
      </c>
      <c r="G20" s="32">
        <f t="shared" si="5"/>
        <v>-4381.60739185553</v>
      </c>
      <c r="H20" s="32">
        <f t="shared" si="5"/>
        <v>-3285.43601897295</v>
      </c>
      <c r="I20" s="32">
        <f t="shared" si="5"/>
        <v>-2194.94303401178</v>
      </c>
      <c r="J20" s="32">
        <f t="shared" si="5"/>
        <v>-1110.10004503244</v>
      </c>
      <c r="K20" s="32">
        <f t="shared" si="5"/>
        <v>-30.8788020549998</v>
      </c>
      <c r="L20" s="32">
        <f t="shared" si="5"/>
        <v>1042.74880365054</v>
      </c>
      <c r="M20" s="32">
        <f t="shared" si="5"/>
        <v>6521.62433906773</v>
      </c>
    </row>
    <row r="21" s="19" customFormat="1" ht="22" customHeight="1" spans="1:13">
      <c r="A21" s="29">
        <v>7</v>
      </c>
      <c r="B21" s="37" t="s">
        <v>308</v>
      </c>
      <c r="C21" s="31">
        <f>SUM(D21:M21)</f>
        <v>1322.57064032714</v>
      </c>
      <c r="D21" s="32">
        <v>0</v>
      </c>
      <c r="E21" s="32">
        <f>利润及利润分配表!D13</f>
        <v>118.764268558448</v>
      </c>
      <c r="F21" s="32">
        <f>利润及利润分配表!E13</f>
        <v>125.137636458116</v>
      </c>
      <c r="G21" s="32">
        <f>利润及利润分配表!F13</f>
        <v>131.799762518286</v>
      </c>
      <c r="H21" s="32">
        <f>利润及利润分配表!G13</f>
        <v>138.750609198155</v>
      </c>
      <c r="I21" s="32">
        <f>利润及利润分配表!H13</f>
        <v>145.990139144624</v>
      </c>
      <c r="J21" s="32">
        <f>利润及利润分配表!I13</f>
        <v>153.518315191361</v>
      </c>
      <c r="K21" s="32">
        <f>利润及利润分配表!J13</f>
        <v>161.335100357865</v>
      </c>
      <c r="L21" s="32">
        <f>利润及利润分配表!K13</f>
        <v>169.440457848536</v>
      </c>
      <c r="M21" s="32">
        <f>利润及利润分配表!L13</f>
        <v>177.834351051753</v>
      </c>
    </row>
    <row r="22" s="19" customFormat="1" ht="22" customHeight="1" spans="1:13">
      <c r="A22" s="29">
        <v>8</v>
      </c>
      <c r="B22" s="37" t="s">
        <v>309</v>
      </c>
      <c r="C22" s="31">
        <f>SUM(D22:M22)</f>
        <v>5472.96192098143</v>
      </c>
      <c r="D22" s="32">
        <f t="shared" ref="D22:M22" si="6">D17-D21</f>
        <v>-8028.06597370596</v>
      </c>
      <c r="E22" s="32">
        <f t="shared" si="6"/>
        <v>1041.37593942638</v>
      </c>
      <c r="F22" s="32">
        <f t="shared" si="6"/>
        <v>1028.99604312538</v>
      </c>
      <c r="G22" s="32">
        <f t="shared" si="6"/>
        <v>1016.35742130589</v>
      </c>
      <c r="H22" s="32">
        <f t="shared" si="6"/>
        <v>1003.4599613455</v>
      </c>
      <c r="I22" s="32">
        <f t="shared" si="6"/>
        <v>990.303551184905</v>
      </c>
      <c r="J22" s="32">
        <f t="shared" si="6"/>
        <v>976.888079325117</v>
      </c>
      <c r="K22" s="32">
        <f t="shared" si="6"/>
        <v>963.213434824627</v>
      </c>
      <c r="L22" s="32">
        <f t="shared" si="6"/>
        <v>949.27950729664</v>
      </c>
      <c r="M22" s="32">
        <f t="shared" si="6"/>
        <v>5531.15395685296</v>
      </c>
    </row>
    <row r="23" s="19" customFormat="1" ht="22" customHeight="1" spans="1:13">
      <c r="A23" s="29">
        <v>9</v>
      </c>
      <c r="B23" s="37" t="s">
        <v>310</v>
      </c>
      <c r="C23" s="31"/>
      <c r="D23" s="32">
        <f>D22</f>
        <v>-8028.06597370596</v>
      </c>
      <c r="E23" s="32">
        <f t="shared" ref="E23:M23" si="7">D23+E22</f>
        <v>-6986.69003427958</v>
      </c>
      <c r="F23" s="32">
        <f t="shared" si="7"/>
        <v>-5957.6939911542</v>
      </c>
      <c r="G23" s="32">
        <f t="shared" si="7"/>
        <v>-4941.33656984831</v>
      </c>
      <c r="H23" s="32">
        <f t="shared" si="7"/>
        <v>-3937.87660850281</v>
      </c>
      <c r="I23" s="32">
        <f t="shared" si="7"/>
        <v>-2947.57305731791</v>
      </c>
      <c r="J23" s="32">
        <f t="shared" si="7"/>
        <v>-1970.68497799279</v>
      </c>
      <c r="K23" s="32">
        <f t="shared" si="7"/>
        <v>-1007.47154316816</v>
      </c>
      <c r="L23" s="32">
        <f t="shared" si="7"/>
        <v>-58.1920358715247</v>
      </c>
      <c r="M23" s="32">
        <f t="shared" si="7"/>
        <v>5472.96192098143</v>
      </c>
    </row>
    <row r="24" s="19" customFormat="1" ht="22" customHeight="1" spans="1:13">
      <c r="A24" s="29">
        <v>10</v>
      </c>
      <c r="B24" s="37" t="s">
        <v>311</v>
      </c>
      <c r="C24" s="31">
        <f>SUM(D24:M24)</f>
        <v>5252.36268808199</v>
      </c>
      <c r="D24" s="32">
        <f t="shared" ref="D24:M24" si="8">D22/POWER(1.042,1)</f>
        <v>-7704.47790182914</v>
      </c>
      <c r="E24" s="32">
        <f t="shared" si="8"/>
        <v>999.401093499403</v>
      </c>
      <c r="F24" s="32">
        <f t="shared" si="8"/>
        <v>987.520194937986</v>
      </c>
      <c r="G24" s="32">
        <f t="shared" si="8"/>
        <v>975.390999333868</v>
      </c>
      <c r="H24" s="32">
        <f t="shared" si="8"/>
        <v>963.013398604124</v>
      </c>
      <c r="I24" s="32">
        <f t="shared" si="8"/>
        <v>950.387285206243</v>
      </c>
      <c r="J24" s="32">
        <f t="shared" si="8"/>
        <v>937.512552135429</v>
      </c>
      <c r="K24" s="32">
        <f t="shared" si="8"/>
        <v>924.389092921907</v>
      </c>
      <c r="L24" s="32">
        <f t="shared" si="8"/>
        <v>911.016801628253</v>
      </c>
      <c r="M24" s="32">
        <f t="shared" si="8"/>
        <v>5308.20917164391</v>
      </c>
    </row>
    <row r="25" s="19" customFormat="1" ht="22" customHeight="1" spans="1:13">
      <c r="A25" s="29">
        <v>11</v>
      </c>
      <c r="B25" s="37" t="s">
        <v>312</v>
      </c>
      <c r="C25" s="31"/>
      <c r="D25" s="32">
        <f>D24</f>
        <v>-7704.47790182914</v>
      </c>
      <c r="E25" s="32">
        <f t="shared" ref="E25:M25" si="9">D25+E24</f>
        <v>-6705.07680832973</v>
      </c>
      <c r="F25" s="32">
        <f t="shared" si="9"/>
        <v>-5717.55661339175</v>
      </c>
      <c r="G25" s="32">
        <f t="shared" si="9"/>
        <v>-4742.16561405788</v>
      </c>
      <c r="H25" s="32">
        <f t="shared" si="9"/>
        <v>-3779.15221545376</v>
      </c>
      <c r="I25" s="32">
        <f t="shared" si="9"/>
        <v>-2828.76493024751</v>
      </c>
      <c r="J25" s="32">
        <f t="shared" si="9"/>
        <v>-1891.25237811208</v>
      </c>
      <c r="K25" s="32">
        <f t="shared" si="9"/>
        <v>-966.863285190176</v>
      </c>
      <c r="L25" s="32">
        <f t="shared" si="9"/>
        <v>-55.8464835619229</v>
      </c>
      <c r="M25" s="32">
        <f t="shared" si="9"/>
        <v>5252.36268808199</v>
      </c>
    </row>
    <row r="26" spans="1:13">
      <c r="B26" s="38" t="s">
        <v>313</v>
      </c>
    </row>
    <row r="27" spans="1:13">
      <c r="B27" s="39" t="s">
        <v>314</v>
      </c>
      <c r="C27" s="39"/>
      <c r="D27" s="39"/>
      <c r="E27" s="39"/>
      <c r="F27" s="40">
        <f>IRR(D17:M17)</f>
        <v>0.112157451925038</v>
      </c>
      <c r="G27" s="39"/>
      <c r="H27" s="38" t="s">
        <v>315</v>
      </c>
      <c r="L27" s="40">
        <f>IRR(D22:M22,4.2%)</f>
        <v>0.0915889150423954</v>
      </c>
    </row>
    <row r="28" spans="1:13">
      <c r="B28" s="39" t="s">
        <v>316</v>
      </c>
      <c r="C28" s="39"/>
      <c r="D28" s="39"/>
      <c r="E28" s="39"/>
      <c r="F28" s="41">
        <f>M20</f>
        <v>6521.62433906773</v>
      </c>
      <c r="H28" s="38" t="s">
        <v>317</v>
      </c>
      <c r="L28" s="41">
        <f>M25</f>
        <v>5252.36268808199</v>
      </c>
    </row>
    <row r="29" spans="1:13">
      <c r="B29" s="39" t="s">
        <v>30</v>
      </c>
      <c r="C29" s="39"/>
      <c r="D29" s="39"/>
      <c r="E29" s="39"/>
      <c r="F29" s="41">
        <f>10-1+ABS(L20)/M19</f>
        <v>9.19032168132126</v>
      </c>
      <c r="H29" s="38" t="s">
        <v>36</v>
      </c>
      <c r="L29" s="41">
        <f>10-1+ABS(L25)/M24</f>
        <v>9.01052077673583</v>
      </c>
    </row>
    <row r="30" spans="1:13">
      <c r="F30" s="41"/>
    </row>
  </sheetData>
  <sheetProtection formatCells="0" insertHyperlinks="0" autoFilter="0"/>
  <mergeCells count="5">
    <mergeCell ref="A1:M1"/>
    <mergeCell ref="D3:M3"/>
    <mergeCell ref="A3:A4"/>
    <mergeCell ref="B3:B4"/>
    <mergeCell ref="C3:C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1" sqref="A1:M1"/>
    </sheetView>
  </sheetViews>
  <sheetFormatPr defaultColWidth="8.63333333333333" defaultRowHeight="13.5"/>
  <cols>
    <col min="1" max="1" width="4.13333333333333" style="1" customWidth="1"/>
    <col min="2" max="2" width="17.6833333333333" style="1" customWidth="1"/>
    <col min="3" max="3" width="9.36666666666667" style="1"/>
    <col min="4" max="4" width="7.5" style="2" customWidth="1"/>
    <col min="5" max="5" width="8.33333333333333" style="2" customWidth="1"/>
    <col min="6" max="13" width="7.86666666666667" style="1" customWidth="1"/>
    <col min="14" max="17" width="8.63333333333333" style="1"/>
  </cols>
  <sheetData>
    <row r="1" ht="18.75" spans="1:13">
      <c r="A1" s="3" t="s">
        <v>52</v>
      </c>
      <c r="B1" s="3"/>
      <c r="C1" s="3"/>
      <c r="D1" s="4"/>
      <c r="E1" s="4"/>
      <c r="F1" s="3"/>
      <c r="G1" s="3"/>
      <c r="H1" s="3"/>
      <c r="I1" s="3"/>
      <c r="J1" s="3"/>
      <c r="K1" s="3"/>
      <c r="L1" s="3"/>
      <c r="M1" s="3"/>
    </row>
    <row r="2" ht="16.15" customHeight="1" spans="1:13">
      <c r="M2" s="5" t="s">
        <v>155</v>
      </c>
    </row>
    <row r="3" spans="1:13">
      <c r="A3" s="6" t="s">
        <v>105</v>
      </c>
      <c r="B3" s="7"/>
      <c r="C3" s="7"/>
      <c r="D3" s="8" t="s">
        <v>295</v>
      </c>
      <c r="E3" s="8"/>
      <c r="F3" s="8"/>
      <c r="G3" s="8"/>
      <c r="H3" s="8"/>
      <c r="I3" s="8"/>
      <c r="J3" s="8"/>
      <c r="K3" s="8"/>
      <c r="L3" s="8"/>
      <c r="M3" s="8"/>
    </row>
    <row r="4" spans="1:13">
      <c r="A4" s="6"/>
      <c r="B4" s="6" t="s">
        <v>294</v>
      </c>
      <c r="C4" s="6" t="s">
        <v>160</v>
      </c>
      <c r="D4" s="9" t="s">
        <v>318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</row>
    <row r="5" ht="12.95" customHeight="1" spans="1:13">
      <c r="A5" s="11">
        <v>1</v>
      </c>
      <c r="B5" s="12" t="s">
        <v>319</v>
      </c>
      <c r="C5" s="13">
        <f>SUM(D5:M5)</f>
        <v>7100</v>
      </c>
      <c r="D5" s="14">
        <f>核心参数!C58</f>
        <v>7100</v>
      </c>
      <c r="E5" s="14"/>
      <c r="F5" s="14"/>
      <c r="G5" s="14"/>
      <c r="H5" s="14"/>
      <c r="I5" s="14"/>
      <c r="J5" s="14"/>
      <c r="K5" s="14"/>
      <c r="L5" s="14"/>
      <c r="M5" s="14"/>
    </row>
    <row r="6" spans="1:13">
      <c r="A6" s="15">
        <v>1.1</v>
      </c>
      <c r="B6" s="12" t="s">
        <v>320</v>
      </c>
      <c r="C6" s="13">
        <f>SUM(D6:M6)</f>
        <v>37000</v>
      </c>
      <c r="D6" s="14"/>
      <c r="E6" s="14">
        <f t="shared" ref="E6:M6" si="0">D10</f>
        <v>7100</v>
      </c>
      <c r="F6" s="14">
        <f t="shared" si="0"/>
        <v>6400</v>
      </c>
      <c r="G6" s="14">
        <f t="shared" si="0"/>
        <v>5700</v>
      </c>
      <c r="H6" s="14">
        <f t="shared" si="0"/>
        <v>4950</v>
      </c>
      <c r="I6" s="14">
        <f t="shared" si="0"/>
        <v>4200</v>
      </c>
      <c r="J6" s="14">
        <f t="shared" si="0"/>
        <v>3400</v>
      </c>
      <c r="K6" s="14">
        <f t="shared" si="0"/>
        <v>2600</v>
      </c>
      <c r="L6" s="14">
        <f t="shared" si="0"/>
        <v>1750</v>
      </c>
      <c r="M6" s="14">
        <f t="shared" si="0"/>
        <v>900</v>
      </c>
    </row>
    <row r="7" ht="12.95" customHeight="1" spans="1:13">
      <c r="A7" s="15">
        <v>1.2</v>
      </c>
      <c r="B7" s="12" t="s">
        <v>321</v>
      </c>
      <c r="C7" s="13">
        <f>SUM(D7:M7)</f>
        <v>8765</v>
      </c>
      <c r="D7" s="14">
        <f t="shared" ref="D7:M7" si="1">D8+D9</f>
        <v>159.75</v>
      </c>
      <c r="E7" s="14">
        <f t="shared" si="1"/>
        <v>1003.75</v>
      </c>
      <c r="F7" s="14">
        <f t="shared" si="1"/>
        <v>972.25</v>
      </c>
      <c r="G7" s="14">
        <f t="shared" si="1"/>
        <v>989.625</v>
      </c>
      <c r="H7" s="14">
        <f t="shared" si="1"/>
        <v>955.875</v>
      </c>
      <c r="I7" s="14">
        <f t="shared" si="1"/>
        <v>971</v>
      </c>
      <c r="J7" s="14">
        <f t="shared" si="1"/>
        <v>935</v>
      </c>
      <c r="K7" s="14">
        <f t="shared" si="1"/>
        <v>947.875</v>
      </c>
      <c r="L7" s="14">
        <f t="shared" si="1"/>
        <v>909.625</v>
      </c>
      <c r="M7" s="14">
        <f t="shared" si="1"/>
        <v>920.25</v>
      </c>
    </row>
    <row r="8" ht="14.1" customHeight="1" spans="1:13">
      <c r="A8" s="15"/>
      <c r="B8" s="13" t="s">
        <v>322</v>
      </c>
      <c r="C8" s="13">
        <f>SUM(D8:M8)</f>
        <v>7100</v>
      </c>
      <c r="D8" s="14"/>
      <c r="E8" s="14">
        <v>700</v>
      </c>
      <c r="F8" s="14">
        <v>700</v>
      </c>
      <c r="G8" s="14">
        <v>750</v>
      </c>
      <c r="H8" s="14">
        <v>750</v>
      </c>
      <c r="I8" s="14">
        <v>800</v>
      </c>
      <c r="J8" s="14">
        <f>800</f>
        <v>800</v>
      </c>
      <c r="K8" s="14">
        <v>850</v>
      </c>
      <c r="L8" s="14">
        <v>850</v>
      </c>
      <c r="M8" s="14">
        <f>900</f>
        <v>900</v>
      </c>
    </row>
    <row r="9" spans="1:13">
      <c r="A9" s="15"/>
      <c r="B9" s="16" t="s">
        <v>323</v>
      </c>
      <c r="C9" s="13">
        <f>SUM(D9:M9)</f>
        <v>1665</v>
      </c>
      <c r="D9" s="14">
        <f>D5*0.045*0.5</f>
        <v>159.75</v>
      </c>
      <c r="E9" s="14">
        <f t="shared" ref="E9:L9" si="2">(E6+F6)/2*0.045</f>
        <v>303.75</v>
      </c>
      <c r="F9" s="14">
        <f t="shared" si="2"/>
        <v>272.25</v>
      </c>
      <c r="G9" s="14">
        <f t="shared" si="2"/>
        <v>239.625</v>
      </c>
      <c r="H9" s="14">
        <f t="shared" si="2"/>
        <v>205.875</v>
      </c>
      <c r="I9" s="14">
        <f t="shared" si="2"/>
        <v>171</v>
      </c>
      <c r="J9" s="14">
        <f t="shared" si="2"/>
        <v>135</v>
      </c>
      <c r="K9" s="14">
        <f t="shared" si="2"/>
        <v>97.875</v>
      </c>
      <c r="L9" s="14">
        <f t="shared" si="2"/>
        <v>59.625</v>
      </c>
      <c r="M9" s="14">
        <f>(M6/2*0.045)</f>
        <v>20.25</v>
      </c>
    </row>
    <row r="10" spans="1:13">
      <c r="A10" s="15">
        <v>1.3</v>
      </c>
      <c r="B10" s="12" t="s">
        <v>324</v>
      </c>
      <c r="C10" s="13"/>
      <c r="D10" s="14">
        <f>D5</f>
        <v>7100</v>
      </c>
      <c r="E10" s="14">
        <f t="shared" ref="E10:M10" si="3">E6-E8</f>
        <v>6400</v>
      </c>
      <c r="F10" s="14">
        <f t="shared" si="3"/>
        <v>5700</v>
      </c>
      <c r="G10" s="14">
        <f t="shared" si="3"/>
        <v>4950</v>
      </c>
      <c r="H10" s="14">
        <f t="shared" si="3"/>
        <v>4200</v>
      </c>
      <c r="I10" s="14">
        <f t="shared" si="3"/>
        <v>3400</v>
      </c>
      <c r="J10" s="14">
        <f t="shared" si="3"/>
        <v>2600</v>
      </c>
      <c r="K10" s="14">
        <f t="shared" si="3"/>
        <v>1750</v>
      </c>
      <c r="L10" s="14">
        <f t="shared" si="3"/>
        <v>900</v>
      </c>
      <c r="M10" s="14">
        <f t="shared" si="3"/>
        <v>0</v>
      </c>
    </row>
    <row r="11" ht="19.9" customHeight="1" spans="1:13">
      <c r="A11" s="11">
        <v>4</v>
      </c>
      <c r="B11" s="13" t="s">
        <v>325</v>
      </c>
      <c r="C11" s="13">
        <f>SUM(D11:M11)</f>
        <v>10227.5307650679</v>
      </c>
      <c r="D11" s="14"/>
      <c r="E11" s="14">
        <f>利润及利润分配表!D26</f>
        <v>1160.14020798483</v>
      </c>
      <c r="F11" s="14">
        <f>利润及利润分配表!E26</f>
        <v>1154.1336795835</v>
      </c>
      <c r="G11" s="14">
        <f>利润及利润分配表!F26</f>
        <v>1148.15718382418</v>
      </c>
      <c r="H11" s="14">
        <f>利润及利润分配表!G26</f>
        <v>1142.21057054365</v>
      </c>
      <c r="I11" s="14">
        <f>利润及利润分配表!H26</f>
        <v>1136.29369032953</v>
      </c>
      <c r="J11" s="14">
        <f>利润及利润分配表!I26</f>
        <v>1130.40639451648</v>
      </c>
      <c r="K11" s="14">
        <f>利润及利润分配表!J26</f>
        <v>1124.54853518249</v>
      </c>
      <c r="L11" s="14">
        <f>利润及利润分配表!K26</f>
        <v>1118.71996514518</v>
      </c>
      <c r="M11" s="14">
        <f>利润及利润分配表!L26</f>
        <v>1112.92053795805</v>
      </c>
    </row>
    <row r="12" spans="1:13">
      <c r="A12" s="17" t="s">
        <v>326</v>
      </c>
      <c r="B12" s="13" t="s">
        <v>327</v>
      </c>
      <c r="C12" s="12">
        <f>C11/(C9)</f>
        <v>6.14266112016088</v>
      </c>
      <c r="D12" s="14"/>
      <c r="E12" s="14">
        <f t="shared" ref="E12:M12" si="4">E11/(E9)</f>
        <v>3.81939163122576</v>
      </c>
      <c r="F12" s="14">
        <f t="shared" si="4"/>
        <v>4.23924216559595</v>
      </c>
      <c r="G12" s="14">
        <f t="shared" si="4"/>
        <v>4.79147494553647</v>
      </c>
      <c r="H12" s="14">
        <f t="shared" si="4"/>
        <v>5.54807805971416</v>
      </c>
      <c r="I12" s="14">
        <f t="shared" si="4"/>
        <v>6.64499234110836</v>
      </c>
      <c r="J12" s="14">
        <f t="shared" si="4"/>
        <v>8.37338070012206</v>
      </c>
      <c r="K12" s="14">
        <f t="shared" si="4"/>
        <v>11.4896402062068</v>
      </c>
      <c r="L12" s="14">
        <f t="shared" si="4"/>
        <v>18.7625989961455</v>
      </c>
      <c r="M12" s="14">
        <f t="shared" si="4"/>
        <v>54.9590389115084</v>
      </c>
    </row>
    <row r="13" spans="1:13">
      <c r="A13" s="17"/>
      <c r="B13" s="13" t="s">
        <v>37</v>
      </c>
      <c r="C13" s="12">
        <f>C11/(C7)</f>
        <v>1.16686032687597</v>
      </c>
      <c r="D13" s="14"/>
      <c r="E13" s="14">
        <f t="shared" ref="E13:M13" si="5">E11/(E7)</f>
        <v>1.15580593572585</v>
      </c>
      <c r="F13" s="14">
        <f t="shared" si="5"/>
        <v>1.18707501114271</v>
      </c>
      <c r="G13" s="14">
        <f t="shared" si="5"/>
        <v>1.16019419863501</v>
      </c>
      <c r="H13" s="14">
        <f t="shared" si="5"/>
        <v>1.19493717331623</v>
      </c>
      <c r="I13" s="14">
        <f t="shared" si="5"/>
        <v>1.17023037109117</v>
      </c>
      <c r="J13" s="14">
        <f t="shared" si="5"/>
        <v>1.20899079627431</v>
      </c>
      <c r="K13" s="14">
        <f t="shared" si="5"/>
        <v>1.18638906520637</v>
      </c>
      <c r="L13" s="14">
        <f t="shared" si="5"/>
        <v>1.22986941337933</v>
      </c>
      <c r="M13" s="14">
        <f t="shared" si="5"/>
        <v>1.20936760440972</v>
      </c>
    </row>
    <row r="16" spans="1:13">
      <c r="E16" s="18"/>
    </row>
  </sheetData>
  <sheetProtection formatCells="0" insertHyperlinks="0" autoFilter="0"/>
  <mergeCells count="4">
    <mergeCell ref="A1:M1"/>
    <mergeCell ref="D3:M3"/>
    <mergeCell ref="A3:A4"/>
    <mergeCell ref="A12:A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1"/>
  <sheetViews>
    <sheetView workbookViewId="0">
      <selection activeCell="A1" sqref="A1"/>
    </sheetView>
  </sheetViews>
  <sheetFormatPr defaultColWidth="9.45833333333333" defaultRowHeight="14.25"/>
  <cols>
    <col min="1" max="1" width="9.45833333333333" style="49"/>
    <col min="2" max="2" width="25.9083333333333" style="49" customWidth="1"/>
    <col min="3" max="3" width="9" style="49" customWidth="1"/>
    <col min="4" max="4" width="9.18333333333333" style="49" customWidth="1"/>
    <col min="5" max="5" width="30.3666666666667" style="49" customWidth="1"/>
    <col min="6" max="26" width="9.45833333333333" style="49"/>
  </cols>
  <sheetData>
    <row r="1" s="49" customFormat="1" ht="16.5" spans="1:26">
      <c r="A1" s="184"/>
      <c r="B1" s="185"/>
      <c r="C1" s="186"/>
      <c r="D1" s="185"/>
      <c r="E1" s="185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="49" customFormat="1" ht="20" customHeight="1" spans="1:26">
      <c r="A2" s="184"/>
      <c r="B2" s="187" t="s">
        <v>58</v>
      </c>
      <c r="C2" s="188"/>
      <c r="D2" s="188"/>
      <c r="E2" s="188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</row>
    <row r="3" s="49" customFormat="1" ht="16.5" spans="1:26">
      <c r="A3" s="184"/>
      <c r="B3" s="185"/>
      <c r="C3" s="186"/>
      <c r="D3" s="185"/>
      <c r="E3" s="185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</row>
    <row r="4" s="49" customFormat="1" ht="16.5" spans="1:26">
      <c r="A4" s="184"/>
      <c r="B4" s="189" t="s">
        <v>59</v>
      </c>
      <c r="C4" s="190"/>
      <c r="D4" s="189"/>
      <c r="E4" s="189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</row>
    <row r="5" s="49" customFormat="1" ht="16.5" spans="1:26">
      <c r="A5" s="184"/>
      <c r="B5" s="191" t="s">
        <v>60</v>
      </c>
      <c r="C5" s="192">
        <v>0.5</v>
      </c>
      <c r="D5" s="191" t="s">
        <v>61</v>
      </c>
      <c r="E5" s="191" t="s">
        <v>62</v>
      </c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</row>
    <row r="6" s="49" customFormat="1" ht="16.5" spans="1:26">
      <c r="A6" s="184"/>
      <c r="B6" s="191" t="s">
        <v>63</v>
      </c>
      <c r="C6" s="192">
        <v>26</v>
      </c>
      <c r="D6" s="191" t="s">
        <v>64</v>
      </c>
      <c r="E6" s="19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="49" customFormat="1" ht="16.5" spans="1:26">
      <c r="A7" s="184"/>
      <c r="B7" s="194" t="s">
        <v>65</v>
      </c>
      <c r="C7" s="192">
        <v>0.5</v>
      </c>
      <c r="D7" s="191" t="s">
        <v>61</v>
      </c>
      <c r="E7" s="194" t="s">
        <v>62</v>
      </c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</row>
    <row r="8" s="49" customFormat="1" ht="16.5" spans="1:26">
      <c r="A8" s="184"/>
      <c r="B8" s="194" t="s">
        <v>66</v>
      </c>
      <c r="C8" s="195">
        <v>6</v>
      </c>
      <c r="D8" s="194" t="s">
        <v>67</v>
      </c>
      <c r="E8" s="196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="49" customFormat="1" ht="16.5" spans="1:26">
      <c r="A9" s="184"/>
      <c r="B9" s="197" t="s">
        <v>68</v>
      </c>
      <c r="C9" s="198">
        <v>1000</v>
      </c>
      <c r="D9" s="197" t="s">
        <v>69</v>
      </c>
      <c r="E9" s="197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</row>
    <row r="10" s="49" customFormat="1" ht="16.5" spans="1:26">
      <c r="A10" s="184"/>
      <c r="B10" s="197" t="s">
        <v>70</v>
      </c>
      <c r="C10" s="198">
        <v>300</v>
      </c>
      <c r="D10" s="197" t="s">
        <v>71</v>
      </c>
      <c r="E10" s="197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</row>
    <row r="11" s="49" customFormat="1" ht="16.5" spans="1:26">
      <c r="A11" s="184"/>
      <c r="B11" s="199"/>
      <c r="C11" s="186"/>
      <c r="D11" s="199"/>
      <c r="E11" s="199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</row>
    <row r="12" s="49" customFormat="1" ht="16.5" spans="1:26">
      <c r="A12" s="184"/>
      <c r="B12" s="199" t="s">
        <v>72</v>
      </c>
      <c r="C12" s="186">
        <v>1</v>
      </c>
      <c r="D12" s="199" t="s">
        <v>19</v>
      </c>
      <c r="E12" s="199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</row>
    <row r="13" s="49" customFormat="1" ht="16.5" spans="1:26">
      <c r="A13" s="184"/>
      <c r="B13" s="185" t="s">
        <v>73</v>
      </c>
      <c r="C13" s="186">
        <v>9</v>
      </c>
      <c r="D13" s="185" t="s">
        <v>19</v>
      </c>
      <c r="E13" s="199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</row>
    <row r="14" s="49" customFormat="1" ht="16.5" spans="1:26">
      <c r="A14" s="184"/>
      <c r="B14" s="200" t="s">
        <v>74</v>
      </c>
      <c r="C14" s="201"/>
      <c r="D14" s="202"/>
      <c r="E14" s="200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="49" customFormat="1" ht="16.5" spans="1:26">
      <c r="A15" s="184"/>
      <c r="B15" s="200" t="s">
        <v>75</v>
      </c>
      <c r="C15" s="203"/>
      <c r="D15" s="202"/>
      <c r="E15" s="200" t="s">
        <v>76</v>
      </c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="49" customFormat="1" ht="16.5" spans="1:26">
      <c r="A16" s="184"/>
      <c r="B16" s="199" t="s">
        <v>77</v>
      </c>
      <c r="C16" s="204">
        <v>0.02</v>
      </c>
      <c r="D16" s="185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="49" customFormat="1" ht="16.5" spans="1:26">
      <c r="A17" s="184"/>
      <c r="B17" s="205" t="s">
        <v>78</v>
      </c>
      <c r="C17" s="206">
        <v>0.005</v>
      </c>
      <c r="D17" s="185"/>
      <c r="E17" s="199" t="s">
        <v>79</v>
      </c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</row>
    <row r="18" s="49" customFormat="1" ht="16.5" spans="1:26">
      <c r="A18" s="184"/>
      <c r="B18" s="199" t="s">
        <v>80</v>
      </c>
      <c r="C18" s="207">
        <v>3.337</v>
      </c>
      <c r="D18" s="208" t="s">
        <v>81</v>
      </c>
      <c r="E18" s="185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="49" customFormat="1" ht="16.5" spans="1:26">
      <c r="A19" s="184"/>
      <c r="B19" s="199" t="s">
        <v>82</v>
      </c>
      <c r="C19" s="209">
        <v>360</v>
      </c>
      <c r="D19" s="199" t="s">
        <v>83</v>
      </c>
      <c r="E19" s="185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="49" customFormat="1" ht="16.5" spans="1:26">
      <c r="A20" s="184"/>
      <c r="B20" s="199" t="s">
        <v>84</v>
      </c>
      <c r="C20" s="204">
        <v>0.9</v>
      </c>
      <c r="D20" s="185"/>
      <c r="E20" s="185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</row>
    <row r="21" s="49" customFormat="1" ht="16.5" spans="1:26">
      <c r="A21" s="184"/>
      <c r="B21" s="189" t="s">
        <v>85</v>
      </c>
      <c r="C21" s="190"/>
      <c r="D21" s="189"/>
      <c r="E21" s="189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</row>
    <row r="22" s="49" customFormat="1" ht="16.5" spans="1:26">
      <c r="A22" s="184"/>
      <c r="B22" s="199" t="s">
        <v>86</v>
      </c>
      <c r="C22" s="210">
        <f>总投资!G4</f>
        <v>7881.75692</v>
      </c>
      <c r="D22" s="185" t="s">
        <v>4</v>
      </c>
      <c r="E22" s="185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="49" customFormat="1" ht="16.5" spans="1:26">
      <c r="A23" s="184"/>
      <c r="B23" s="199" t="s">
        <v>87</v>
      </c>
      <c r="C23" s="211">
        <f>总投资!G36</f>
        <v>520.19595672</v>
      </c>
      <c r="D23" s="185" t="s">
        <v>4</v>
      </c>
      <c r="E23" s="185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</row>
    <row r="24" s="49" customFormat="1" ht="16.5" spans="1:26">
      <c r="A24" s="184"/>
      <c r="B24" s="199" t="s">
        <v>88</v>
      </c>
      <c r="C24" s="210">
        <f>总投资!G47</f>
        <v>420.097643836</v>
      </c>
      <c r="D24" s="185" t="s">
        <v>4</v>
      </c>
      <c r="E24" s="212">
        <v>0.05</v>
      </c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</row>
    <row r="25" s="49" customFormat="1" ht="16.5" spans="1:26">
      <c r="A25" s="184"/>
      <c r="B25" s="199" t="s">
        <v>89</v>
      </c>
      <c r="C25" s="210">
        <f>总投资!G50</f>
        <v>8822.050520556</v>
      </c>
      <c r="D25" s="185" t="s">
        <v>4</v>
      </c>
      <c r="E25" s="185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</row>
    <row r="26" s="49" customFormat="1" ht="16.5" spans="1:26">
      <c r="A26" s="184"/>
      <c r="B26" s="199" t="s">
        <v>90</v>
      </c>
      <c r="C26" s="210">
        <f>总投资!G52</f>
        <v>159.75</v>
      </c>
      <c r="D26" s="185"/>
      <c r="E26" s="213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="49" customFormat="1" ht="16.5" spans="1:26">
      <c r="A27" s="184"/>
      <c r="B27" s="199" t="s">
        <v>6</v>
      </c>
      <c r="C27" s="210">
        <f>总投资!G53</f>
        <v>8981.800520556</v>
      </c>
      <c r="D27" s="185"/>
      <c r="E27" s="213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</row>
    <row r="28" s="49" customFormat="1" ht="16.5" spans="1:26">
      <c r="A28" s="184"/>
      <c r="B28" s="199" t="s">
        <v>8</v>
      </c>
      <c r="C28" s="186">
        <f>[1]投资概算表!G53</f>
        <v>0</v>
      </c>
      <c r="D28" s="185"/>
      <c r="E28" s="185"/>
      <c r="F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</row>
    <row r="29" s="49" customFormat="1" ht="16.5" spans="1:26">
      <c r="A29" s="184"/>
      <c r="B29" s="199" t="s">
        <v>3</v>
      </c>
      <c r="C29" s="211">
        <f>总投资!G54</f>
        <v>8981.800520556</v>
      </c>
      <c r="D29" s="185"/>
      <c r="E29" s="185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="49" customFormat="1" ht="16.5" spans="1:26">
      <c r="A30" s="184"/>
      <c r="B30" s="189" t="s">
        <v>91</v>
      </c>
      <c r="C30" s="190"/>
      <c r="D30" s="189"/>
      <c r="E30" s="189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</row>
    <row r="31" s="49" customFormat="1" ht="16.5" spans="1:26">
      <c r="A31" s="184"/>
      <c r="B31" s="185" t="s">
        <v>92</v>
      </c>
      <c r="C31" s="211">
        <v>20</v>
      </c>
      <c r="D31" s="185" t="s">
        <v>19</v>
      </c>
      <c r="E31" s="185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</row>
    <row r="32" s="49" customFormat="1" ht="16.5" spans="1:26">
      <c r="A32" s="184"/>
      <c r="B32" s="185" t="s">
        <v>93</v>
      </c>
      <c r="C32" s="210">
        <v>0.08</v>
      </c>
      <c r="D32" s="185"/>
      <c r="E32" s="213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="49" customFormat="1" ht="16.5" spans="1:26">
      <c r="A33" s="184"/>
      <c r="B33" s="199" t="s">
        <v>94</v>
      </c>
      <c r="C33" s="186">
        <v>0.004</v>
      </c>
      <c r="D33" s="185"/>
      <c r="E33" s="185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</row>
    <row r="34" s="49" customFormat="1" ht="16.5" spans="1:26">
      <c r="A34" s="184"/>
      <c r="B34" s="199" t="s">
        <v>95</v>
      </c>
      <c r="C34" s="186">
        <v>0.91</v>
      </c>
      <c r="D34" s="185"/>
      <c r="E34" s="185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="49" customFormat="1" ht="16.5" spans="1:26">
      <c r="A35" s="184"/>
      <c r="B35" s="185"/>
      <c r="C35" s="211"/>
      <c r="D35" s="185"/>
      <c r="E35" s="185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</row>
    <row r="36" s="49" customFormat="1" ht="16.5" spans="1:26">
      <c r="A36" s="184"/>
      <c r="B36" s="185" t="s">
        <v>96</v>
      </c>
      <c r="C36" s="211">
        <v>20</v>
      </c>
      <c r="D36" s="185" t="s">
        <v>19</v>
      </c>
      <c r="E36" s="185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="49" customFormat="1" ht="16.5" spans="1:26">
      <c r="A37" s="184"/>
      <c r="B37" s="185" t="s">
        <v>97</v>
      </c>
      <c r="C37" s="210">
        <v>0.05</v>
      </c>
      <c r="D37" s="185"/>
      <c r="E37" s="213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</row>
    <row r="38" s="49" customFormat="1" ht="16.5" spans="1:26">
      <c r="A38" s="184"/>
      <c r="B38" s="199" t="s">
        <v>98</v>
      </c>
      <c r="C38" s="186">
        <v>0.008</v>
      </c>
      <c r="D38" s="185"/>
      <c r="E38" s="185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</row>
    <row r="39" s="49" customFormat="1" ht="16.5" spans="1:26">
      <c r="A39" s="184"/>
      <c r="B39" s="199" t="s">
        <v>99</v>
      </c>
      <c r="C39" s="186">
        <v>0.91</v>
      </c>
      <c r="D39" s="185"/>
      <c r="E39" s="185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</row>
    <row r="40" s="49" customFormat="1" ht="16.5" spans="1:26">
      <c r="A40" s="184"/>
      <c r="B40" s="185"/>
      <c r="C40" s="211"/>
      <c r="D40" s="185"/>
      <c r="E40" s="185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</row>
    <row r="41" s="49" customFormat="1" ht="16.5" spans="1:26">
      <c r="A41" s="184"/>
      <c r="B41" s="185" t="s">
        <v>100</v>
      </c>
      <c r="C41" s="211">
        <v>50</v>
      </c>
      <c r="D41" s="185" t="s">
        <v>19</v>
      </c>
      <c r="E41" s="185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</row>
    <row r="42" s="49" customFormat="1" ht="16.5" spans="1:26">
      <c r="A42" s="184"/>
      <c r="B42" s="185"/>
      <c r="C42" s="186"/>
      <c r="D42" s="185"/>
      <c r="E42" s="185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</row>
    <row r="43" s="49" customFormat="1" ht="16.5" spans="1:26">
      <c r="A43" s="184"/>
      <c r="B43" s="189" t="s">
        <v>101</v>
      </c>
      <c r="C43" s="190"/>
      <c r="D43" s="189"/>
      <c r="E43" s="189"/>
      <c r="F43" s="184"/>
      <c r="G43" s="214" t="s">
        <v>102</v>
      </c>
      <c r="H43" s="215"/>
      <c r="I43" s="215"/>
      <c r="J43" s="215"/>
      <c r="K43" s="215"/>
      <c r="L43" s="215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</row>
    <row r="44" s="49" customFormat="1" ht="24" spans="1:26">
      <c r="A44" s="184"/>
      <c r="B44" s="185" t="s">
        <v>103</v>
      </c>
      <c r="C44" s="210">
        <v>0.6</v>
      </c>
      <c r="D44" s="185"/>
      <c r="E44" s="185" t="s">
        <v>104</v>
      </c>
      <c r="F44" s="184"/>
      <c r="G44" s="216" t="s">
        <v>105</v>
      </c>
      <c r="H44" s="216" t="s">
        <v>106</v>
      </c>
      <c r="I44" s="216" t="s">
        <v>107</v>
      </c>
      <c r="J44" s="216" t="s">
        <v>108</v>
      </c>
      <c r="K44" s="216" t="s">
        <v>109</v>
      </c>
      <c r="L44" s="216" t="s">
        <v>110</v>
      </c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</row>
    <row r="45" s="49" customFormat="1" ht="16.5" spans="1:26">
      <c r="A45" s="184"/>
      <c r="B45" s="185" t="s">
        <v>111</v>
      </c>
      <c r="C45" s="210">
        <v>0.08</v>
      </c>
      <c r="D45" s="185"/>
      <c r="E45" s="217">
        <f>C45</f>
        <v>0.08</v>
      </c>
      <c r="F45" s="184"/>
      <c r="G45" s="218"/>
      <c r="H45" s="218"/>
      <c r="I45" s="218"/>
      <c r="J45" s="218"/>
      <c r="K45" s="218"/>
      <c r="L45" s="218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</row>
    <row r="46" s="49" customFormat="1" ht="16.5" spans="1:26">
      <c r="A46" s="184"/>
      <c r="B46" s="199" t="s">
        <v>112</v>
      </c>
      <c r="C46" s="186">
        <v>0.011</v>
      </c>
      <c r="D46" s="185"/>
      <c r="E46" s="217">
        <f>C46</f>
        <v>0.011</v>
      </c>
      <c r="F46" s="184"/>
      <c r="G46" s="219" t="s">
        <v>113</v>
      </c>
      <c r="H46" s="219" t="s">
        <v>114</v>
      </c>
      <c r="I46" s="218"/>
      <c r="J46" s="218"/>
      <c r="K46" s="218"/>
      <c r="L46" s="218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</row>
    <row r="47" s="49" customFormat="1" ht="16.5" spans="1:26">
      <c r="A47" s="184"/>
      <c r="B47" s="199" t="s">
        <v>115</v>
      </c>
      <c r="C47" s="186">
        <v>0.08</v>
      </c>
      <c r="D47" s="199"/>
      <c r="E47" s="199" t="s">
        <v>116</v>
      </c>
      <c r="F47" s="184"/>
      <c r="G47" s="220">
        <v>1</v>
      </c>
      <c r="H47" s="218" t="s">
        <v>117</v>
      </c>
      <c r="I47" s="218" t="s">
        <v>71</v>
      </c>
      <c r="J47" s="221">
        <v>0.09</v>
      </c>
      <c r="K47" s="220">
        <v>300</v>
      </c>
      <c r="L47" s="222">
        <v>200</v>
      </c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</row>
    <row r="48" s="49" customFormat="1" ht="16.5" spans="1:26">
      <c r="A48" s="184"/>
      <c r="B48" s="199" t="s">
        <v>118</v>
      </c>
      <c r="C48" s="186">
        <v>4</v>
      </c>
      <c r="D48" s="199" t="s">
        <v>119</v>
      </c>
      <c r="E48" s="185" t="s">
        <v>120</v>
      </c>
      <c r="F48" s="184"/>
      <c r="G48" s="219" t="s">
        <v>121</v>
      </c>
      <c r="H48" s="219" t="s">
        <v>122</v>
      </c>
      <c r="I48" s="218"/>
      <c r="J48" s="218"/>
      <c r="K48" s="218"/>
      <c r="L48" s="218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</row>
    <row r="49" s="49" customFormat="1" ht="16.5" spans="1:26">
      <c r="A49" s="184"/>
      <c r="B49" s="199" t="s">
        <v>123</v>
      </c>
      <c r="C49" s="223">
        <v>6</v>
      </c>
      <c r="D49" s="199" t="s">
        <v>4</v>
      </c>
      <c r="E49" s="224"/>
      <c r="F49" s="184"/>
      <c r="G49" s="220">
        <v>1</v>
      </c>
      <c r="H49" s="225" t="s">
        <v>124</v>
      </c>
      <c r="I49" s="218" t="s">
        <v>125</v>
      </c>
      <c r="J49" s="221">
        <v>0.13</v>
      </c>
      <c r="K49" s="220">
        <v>30000</v>
      </c>
      <c r="L49" s="222">
        <v>0</v>
      </c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</row>
    <row r="50" s="49" customFormat="1" ht="16.5" spans="1:26">
      <c r="A50" s="184"/>
      <c r="B50" s="199" t="s">
        <v>102</v>
      </c>
      <c r="C50" s="210"/>
      <c r="D50" s="185"/>
      <c r="E50" s="224"/>
      <c r="F50" s="184"/>
      <c r="G50" s="220">
        <v>2</v>
      </c>
      <c r="H50" s="225" t="s">
        <v>126</v>
      </c>
      <c r="I50" s="218" t="s">
        <v>127</v>
      </c>
      <c r="J50" s="221">
        <v>0.13</v>
      </c>
      <c r="K50" s="220">
        <v>0</v>
      </c>
      <c r="L50" s="222">
        <v>0</v>
      </c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="49" customFormat="1" ht="16.5" spans="1:26">
      <c r="A51" s="184"/>
      <c r="B51" s="185"/>
      <c r="C51" s="210"/>
      <c r="D51" s="185"/>
      <c r="E51" s="224"/>
      <c r="F51" s="184"/>
      <c r="G51" s="220">
        <v>3</v>
      </c>
      <c r="H51" s="225" t="s">
        <v>128</v>
      </c>
      <c r="I51" s="218" t="s">
        <v>127</v>
      </c>
      <c r="J51" s="221">
        <v>0.13</v>
      </c>
      <c r="K51" s="220">
        <v>60000</v>
      </c>
      <c r="L51" s="222">
        <v>1.6</v>
      </c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</row>
    <row r="52" s="49" customFormat="1" ht="16.5" spans="1:26">
      <c r="A52" s="184"/>
      <c r="B52" s="185"/>
      <c r="C52" s="210"/>
      <c r="D52" s="185"/>
      <c r="E52" s="224"/>
      <c r="F52" s="184"/>
      <c r="G52" s="219" t="s">
        <v>129</v>
      </c>
      <c r="H52" s="226" t="s">
        <v>130</v>
      </c>
      <c r="I52" s="218"/>
      <c r="J52" s="218"/>
      <c r="K52" s="218"/>
      <c r="L52" s="225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</row>
    <row r="53" s="49" customFormat="1" ht="16.5" spans="1:26">
      <c r="A53" s="184"/>
      <c r="B53" s="185" t="s">
        <v>131</v>
      </c>
      <c r="C53" s="210">
        <v>2</v>
      </c>
      <c r="D53" s="185" t="s">
        <v>64</v>
      </c>
      <c r="E53" s="224">
        <f>C53*115</f>
        <v>230</v>
      </c>
      <c r="F53" s="184" t="s">
        <v>132</v>
      </c>
      <c r="G53" s="220">
        <v>1</v>
      </c>
      <c r="H53" s="225"/>
      <c r="I53" s="218" t="s">
        <v>127</v>
      </c>
      <c r="J53" s="221">
        <v>0.13</v>
      </c>
      <c r="K53" s="220"/>
      <c r="L53" s="222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</row>
    <row r="54" s="49" customFormat="1" ht="16.5" spans="1:26">
      <c r="A54" s="184"/>
      <c r="B54" s="185" t="s">
        <v>133</v>
      </c>
      <c r="C54" s="210">
        <v>1</v>
      </c>
      <c r="D54" s="185" t="s">
        <v>67</v>
      </c>
      <c r="E54" s="224">
        <f>C54*1000*0.9*360/10000</f>
        <v>32.4</v>
      </c>
      <c r="F54" s="184" t="s">
        <v>132</v>
      </c>
      <c r="G54" s="220">
        <v>2</v>
      </c>
      <c r="H54" s="225"/>
      <c r="I54" s="218" t="s">
        <v>127</v>
      </c>
      <c r="J54" s="221">
        <v>0.13</v>
      </c>
      <c r="K54" s="220"/>
      <c r="L54" s="222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</row>
    <row r="55" s="49" customFormat="1" ht="16.5" spans="1:26">
      <c r="A55" s="184"/>
      <c r="B55" s="199" t="s">
        <v>134</v>
      </c>
      <c r="C55" s="186">
        <f>C53*0.015</f>
        <v>0.03</v>
      </c>
      <c r="D55" s="199" t="s">
        <v>135</v>
      </c>
      <c r="E55" s="185"/>
      <c r="F55" s="184"/>
      <c r="G55" s="220">
        <v>3</v>
      </c>
      <c r="H55" s="225"/>
      <c r="I55" s="218" t="s">
        <v>127</v>
      </c>
      <c r="J55" s="221">
        <v>0.13</v>
      </c>
      <c r="K55" s="220"/>
      <c r="L55" s="222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</row>
    <row r="56" s="49" customFormat="1" ht="16.5" spans="1:26">
      <c r="A56" s="184"/>
      <c r="B56" s="185"/>
      <c r="C56" s="186"/>
      <c r="D56" s="185"/>
      <c r="E56" s="185"/>
      <c r="F56" s="184"/>
      <c r="G56" s="220">
        <v>4</v>
      </c>
      <c r="H56" s="225"/>
      <c r="I56" s="218" t="s">
        <v>127</v>
      </c>
      <c r="J56" s="221">
        <v>0.13</v>
      </c>
      <c r="K56" s="220"/>
      <c r="L56" s="222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</row>
    <row r="57" s="49" customFormat="1" ht="16.5" spans="1:26">
      <c r="A57" s="184"/>
      <c r="B57" s="189" t="s">
        <v>136</v>
      </c>
      <c r="C57" s="190"/>
      <c r="D57" s="189"/>
      <c r="E57" s="189"/>
      <c r="F57" s="184"/>
      <c r="G57" s="220">
        <v>5</v>
      </c>
      <c r="H57" s="225"/>
      <c r="I57" s="218" t="s">
        <v>127</v>
      </c>
      <c r="J57" s="221">
        <v>0.13</v>
      </c>
      <c r="K57" s="220"/>
      <c r="L57" s="222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</row>
    <row r="58" s="49" customFormat="1" ht="16.5" spans="1:26">
      <c r="A58" s="184"/>
      <c r="B58" s="185" t="s">
        <v>10</v>
      </c>
      <c r="C58" s="211">
        <v>7100</v>
      </c>
      <c r="D58" s="185" t="s">
        <v>4</v>
      </c>
      <c r="E58" s="185"/>
      <c r="F58" s="184"/>
      <c r="G58" s="220">
        <v>6</v>
      </c>
      <c r="H58" s="225"/>
      <c r="I58" s="218" t="s">
        <v>127</v>
      </c>
      <c r="J58" s="221">
        <v>0.13</v>
      </c>
      <c r="K58" s="220"/>
      <c r="L58" s="222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</row>
    <row r="59" s="49" customFormat="1" ht="16.5" spans="1:26">
      <c r="A59" s="184"/>
      <c r="B59" s="185" t="s">
        <v>21</v>
      </c>
      <c r="C59" s="227">
        <v>0.045</v>
      </c>
      <c r="D59" s="185"/>
      <c r="E59" s="185" t="s">
        <v>137</v>
      </c>
      <c r="F59" s="184"/>
      <c r="G59" s="220">
        <v>7</v>
      </c>
      <c r="H59" s="225"/>
      <c r="I59" s="218" t="s">
        <v>138</v>
      </c>
      <c r="J59" s="221">
        <v>0.13</v>
      </c>
      <c r="K59" s="220"/>
      <c r="L59" s="222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</row>
    <row r="60" s="49" customFormat="1" ht="16.5" spans="1:26">
      <c r="A60" s="184"/>
      <c r="B60" s="185" t="s">
        <v>18</v>
      </c>
      <c r="C60" s="211">
        <f>C12+C13</f>
        <v>10</v>
      </c>
      <c r="D60" s="185" t="s">
        <v>19</v>
      </c>
      <c r="E60" s="185"/>
      <c r="F60" s="184"/>
      <c r="G60" s="219" t="s">
        <v>139</v>
      </c>
      <c r="H60" s="226" t="s">
        <v>140</v>
      </c>
      <c r="I60" s="218"/>
      <c r="J60" s="218"/>
      <c r="K60" s="218"/>
      <c r="L60" s="225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</row>
    <row r="61" s="49" customFormat="1" ht="16.5" spans="1:26">
      <c r="A61" s="184"/>
      <c r="B61" s="185"/>
      <c r="C61" s="186"/>
      <c r="D61" s="185"/>
      <c r="E61" s="185"/>
      <c r="F61" s="184"/>
      <c r="G61" s="220">
        <v>1</v>
      </c>
      <c r="H61" s="225" t="s">
        <v>141</v>
      </c>
      <c r="I61" s="218"/>
      <c r="J61" s="221">
        <v>0.06</v>
      </c>
      <c r="K61" s="218"/>
      <c r="L61" s="222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</row>
    <row r="62" s="49" customFormat="1" ht="16.5" spans="1:26">
      <c r="A62" s="184"/>
      <c r="B62" s="228" t="s">
        <v>142</v>
      </c>
      <c r="C62" s="190"/>
      <c r="D62" s="189"/>
      <c r="E62" s="189"/>
      <c r="F62" s="184"/>
      <c r="G62" s="219" t="s">
        <v>143</v>
      </c>
      <c r="H62" s="226" t="s">
        <v>144</v>
      </c>
      <c r="I62" s="218"/>
      <c r="J62" s="221">
        <v>0.13</v>
      </c>
      <c r="K62" s="218"/>
      <c r="L62" s="222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</row>
    <row r="63" s="49" customFormat="1" ht="16.5" spans="1:26">
      <c r="A63" s="184"/>
      <c r="B63" s="185" t="s">
        <v>145</v>
      </c>
      <c r="C63" s="186">
        <v>0.13</v>
      </c>
      <c r="D63" s="185"/>
      <c r="E63" s="213">
        <v>0.13</v>
      </c>
      <c r="F63" s="184"/>
      <c r="G63" s="218"/>
      <c r="H63" s="225"/>
      <c r="I63" s="218"/>
      <c r="J63" s="218"/>
      <c r="K63" s="218"/>
      <c r="L63" s="218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</row>
    <row r="64" s="49" customFormat="1" ht="16.5" spans="1:26">
      <c r="A64" s="184"/>
      <c r="B64" s="185" t="s">
        <v>146</v>
      </c>
      <c r="C64" s="186">
        <v>0.07</v>
      </c>
      <c r="D64" s="185"/>
      <c r="E64" s="185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="49" customFormat="1" ht="16.5" spans="1:26">
      <c r="A65" s="184"/>
      <c r="B65" s="185" t="s">
        <v>147</v>
      </c>
      <c r="C65" s="186">
        <v>0.03</v>
      </c>
      <c r="D65" s="185"/>
      <c r="E65" s="185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</row>
    <row r="66" s="49" customFormat="1" ht="16.5" spans="1:26">
      <c r="A66" s="184"/>
      <c r="B66" s="200" t="s">
        <v>148</v>
      </c>
      <c r="C66" s="229">
        <v>0.012</v>
      </c>
      <c r="D66" s="202"/>
      <c r="E66" s="200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</row>
    <row r="67" s="49" customFormat="1" ht="16.5" spans="1:26">
      <c r="A67" s="184"/>
      <c r="B67" s="199" t="s">
        <v>149</v>
      </c>
      <c r="C67" s="186">
        <v>0.0003</v>
      </c>
      <c r="D67" s="185"/>
      <c r="E67" s="213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</row>
    <row r="68" s="49" customFormat="1" ht="16.5" spans="1:26">
      <c r="A68" s="184"/>
      <c r="B68" s="185" t="s">
        <v>150</v>
      </c>
      <c r="C68" s="186">
        <v>0.25</v>
      </c>
      <c r="D68" s="185"/>
      <c r="E68" s="213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</row>
    <row r="69" s="49" customFormat="1" ht="16.5" spans="1:26">
      <c r="A69" s="184"/>
      <c r="B69" s="185" t="s">
        <v>151</v>
      </c>
      <c r="C69" s="186">
        <v>0.1</v>
      </c>
      <c r="D69" s="185"/>
      <c r="E69" s="185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</row>
    <row r="70" s="49" customFormat="1" ht="16.5" spans="1:26">
      <c r="A70" s="184"/>
      <c r="B70" s="199" t="s">
        <v>152</v>
      </c>
      <c r="C70" s="186">
        <v>0.09</v>
      </c>
      <c r="D70" s="185"/>
      <c r="E70" s="185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</row>
    <row r="71" s="49" customFormat="1" ht="16.5" spans="1:26">
      <c r="A71" s="184"/>
      <c r="B71" s="185"/>
      <c r="C71" s="186"/>
      <c r="D71" s="185"/>
      <c r="E71" s="185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</row>
    <row r="72" s="49" customFormat="1" ht="16.5" spans="1:26">
      <c r="A72" s="184"/>
      <c r="B72" s="189" t="s">
        <v>153</v>
      </c>
      <c r="C72" s="190"/>
      <c r="D72" s="189"/>
      <c r="E72" s="189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</row>
    <row r="73" s="49" customFormat="1" ht="16.5" spans="1:26">
      <c r="A73" s="184"/>
      <c r="B73" s="185" t="s">
        <v>24</v>
      </c>
      <c r="C73" s="227">
        <v>0.042</v>
      </c>
      <c r="D73" s="185"/>
      <c r="E73" s="213">
        <v>0.042</v>
      </c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</row>
    <row r="74" s="49" customFormat="1" ht="16.5" spans="1:26">
      <c r="A74" s="184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</row>
    <row r="75" s="49" customFormat="1" ht="16.5" spans="1:26">
      <c r="A75" s="184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</row>
    <row r="76" s="49" customFormat="1" ht="16.5" spans="1:26">
      <c r="A76" s="184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</row>
    <row r="77" s="49" customFormat="1" ht="16.5" spans="1:26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</row>
    <row r="78" s="49" customFormat="1" ht="16.5" spans="1:26">
      <c r="A78" s="184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="49" customFormat="1" ht="16.5" spans="1:26">
      <c r="A79" s="184"/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</row>
    <row r="80" s="49" customFormat="1" ht="16.5" spans="1:26">
      <c r="A80" s="184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</row>
    <row r="81" s="49" customFormat="1" ht="16.5" spans="1:26">
      <c r="A81" s="184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</row>
    <row r="82" s="49" customFormat="1" ht="16.5" spans="1:26">
      <c r="A82" s="184"/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</row>
    <row r="83" s="49" customFormat="1" ht="16.5" spans="1:26">
      <c r="A83" s="184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</row>
    <row r="84" s="49" customFormat="1" ht="16.5" spans="1:26">
      <c r="A84" s="184"/>
      <c r="B84" s="184"/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</row>
    <row r="85" s="49" customFormat="1" ht="16.5" spans="1:26">
      <c r="A85" s="184"/>
      <c r="B85" s="184"/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</row>
    <row r="86" s="49" customFormat="1" ht="16.5" spans="1:26">
      <c r="A86" s="184"/>
      <c r="B86" s="184"/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</row>
    <row r="87" s="49" customFormat="1" ht="16.5" spans="1:26">
      <c r="A87" s="184"/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</row>
    <row r="88" s="49" customFormat="1" ht="16.5" spans="1:26">
      <c r="A88" s="184"/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</row>
    <row r="89" s="49" customFormat="1" ht="16.5" spans="1:26">
      <c r="A89" s="184"/>
      <c r="B89" s="184"/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</row>
    <row r="90" s="49" customFormat="1" ht="16.5" spans="1:26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</row>
    <row r="91" s="49" customFormat="1" ht="16.5" spans="1:26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</row>
    <row r="92" s="49" customFormat="1" ht="16.5" spans="1:26">
      <c r="A92" s="184"/>
      <c r="B92" s="184"/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="49" customFormat="1" ht="16.5" spans="1:26">
      <c r="A93" s="184"/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</row>
    <row r="94" s="49" customFormat="1" ht="16.5" spans="1:26">
      <c r="A94" s="184"/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</row>
    <row r="95" s="49" customFormat="1" ht="16.5" spans="1:26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</row>
    <row r="96" s="49" customFormat="1" ht="16.5" spans="1:26">
      <c r="A96" s="184"/>
      <c r="B96" s="184"/>
      <c r="C96" s="184"/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</row>
    <row r="97" s="49" customFormat="1" ht="16.5" spans="1:26">
      <c r="A97" s="184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</row>
    <row r="98" s="49" customFormat="1" ht="16.5" spans="1:26">
      <c r="A98" s="184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</row>
    <row r="99" s="49" customFormat="1" ht="16.5" spans="1:26">
      <c r="A99" s="184"/>
      <c r="B99" s="184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</row>
    <row r="100" s="49" customFormat="1" ht="16.5" spans="1:26">
      <c r="A100" s="184"/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</row>
    <row r="101" s="49" customFormat="1" ht="16.5" spans="1:26">
      <c r="A101" s="184"/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</row>
    <row r="102" s="49" customFormat="1" ht="16.5" spans="1:26">
      <c r="A102" s="184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</row>
    <row r="103" s="49" customFormat="1" ht="16.5" spans="1:26">
      <c r="A103" s="184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</row>
    <row r="104" s="49" customFormat="1" ht="16.5" spans="1:26">
      <c r="A104" s="184"/>
      <c r="B104" s="184"/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</row>
    <row r="105" s="49" customFormat="1" ht="16.5" spans="1:26">
      <c r="A105" s="184"/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</row>
    <row r="106" s="49" customFormat="1" ht="16.5" spans="1:26">
      <c r="A106" s="184"/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="49" customFormat="1" ht="16.5" spans="1:26">
      <c r="A107" s="184"/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</row>
    <row r="108" s="49" customFormat="1" ht="16.5" spans="1:26">
      <c r="A108" s="184"/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</row>
    <row r="109" s="49" customFormat="1" ht="16.5" spans="1:26">
      <c r="A109" s="184"/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</row>
    <row r="110" s="49" customFormat="1" ht="16.5" spans="1:26">
      <c r="A110" s="184"/>
      <c r="B110" s="18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</row>
    <row r="111" s="49" customFormat="1" ht="16.5" spans="1:26">
      <c r="A111" s="184"/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</row>
    <row r="112" s="49" customFormat="1" ht="16.5" spans="1:26">
      <c r="A112" s="184"/>
      <c r="B112" s="184"/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</row>
    <row r="113" s="49" customFormat="1" ht="16.5" spans="1:26">
      <c r="A113" s="184"/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</row>
    <row r="114" s="49" customFormat="1" ht="16.5" spans="1:26">
      <c r="A114" s="184"/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</row>
    <row r="115" s="49" customFormat="1" ht="16.5" spans="1:26">
      <c r="A115" s="184"/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</row>
    <row r="116" s="49" customFormat="1" ht="16.5" spans="1:26">
      <c r="A116" s="184"/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</row>
    <row r="117" s="49" customFormat="1" ht="16.5" spans="1:26">
      <c r="A117" s="184"/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</row>
    <row r="118" s="49" customFormat="1" ht="16.5" spans="1:26">
      <c r="A118" s="184"/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</row>
    <row r="119" s="49" customFormat="1" ht="16.5" spans="1:26">
      <c r="A119" s="184"/>
      <c r="B119" s="184"/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</row>
    <row r="120" s="49" customFormat="1" ht="16.5" spans="1:26">
      <c r="A120" s="184"/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="49" customFormat="1" ht="16.5" spans="1:26">
      <c r="A121" s="184"/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</row>
    <row r="122" s="49" customFormat="1" ht="16.5" spans="1:26">
      <c r="A122" s="184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</row>
    <row r="123" s="49" customFormat="1" ht="16.5" spans="1:26">
      <c r="A123" s="184"/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</row>
    <row r="124" s="49" customFormat="1" ht="16.5" spans="1:26">
      <c r="A124" s="184"/>
      <c r="B124" s="184"/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</row>
    <row r="125" s="49" customFormat="1" ht="16.5" spans="1:26">
      <c r="A125" s="184"/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</row>
    <row r="126" s="49" customFormat="1" ht="16.5" spans="1:26">
      <c r="A126" s="184"/>
      <c r="B126" s="184"/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</row>
    <row r="127" s="49" customFormat="1" ht="16.5" spans="1:26">
      <c r="A127" s="184"/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</row>
    <row r="128" s="49" customFormat="1" ht="16.5" spans="1:26">
      <c r="A128" s="184"/>
      <c r="B128" s="184"/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</row>
    <row r="129" s="49" customFormat="1" ht="16.5" spans="1:26">
      <c r="A129" s="184"/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</row>
    <row r="130" s="49" customFormat="1" ht="16.5" spans="1:26">
      <c r="A130" s="184"/>
      <c r="B130" s="184"/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</row>
    <row r="131" s="49" customFormat="1" ht="16.5" spans="1:26">
      <c r="A131" s="184"/>
      <c r="B131" s="184"/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</row>
    <row r="132" s="49" customFormat="1" ht="16.5" spans="1:26">
      <c r="A132" s="184"/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</row>
    <row r="133" s="49" customFormat="1" ht="16.5" spans="1:26">
      <c r="A133" s="184"/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</row>
    <row r="134" s="49" customFormat="1" ht="16.5" spans="1:26">
      <c r="A134" s="184"/>
      <c r="B134" s="184"/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="49" customFormat="1" ht="16.5" spans="1:26">
      <c r="A135" s="184"/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</row>
    <row r="136" s="49" customFormat="1" ht="16.5" spans="1:26">
      <c r="A136" s="184"/>
      <c r="B136" s="184"/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</row>
    <row r="137" s="49" customFormat="1" ht="16.5" spans="1:26">
      <c r="A137" s="184"/>
      <c r="B137" s="184"/>
      <c r="C137" s="184"/>
      <c r="D137" s="184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</row>
    <row r="138" s="49" customFormat="1" ht="16.5" spans="1:26">
      <c r="A138" s="184"/>
      <c r="B138" s="184"/>
      <c r="C138" s="184"/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</row>
    <row r="139" s="49" customFormat="1" ht="16.5" spans="1:26">
      <c r="A139" s="184"/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</row>
    <row r="140" s="49" customFormat="1" ht="16.5" spans="1:26">
      <c r="A140" s="184"/>
      <c r="B140" s="184"/>
      <c r="C140" s="184"/>
      <c r="D140" s="184"/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</row>
    <row r="141" s="49" customFormat="1" ht="16.5" spans="1:26">
      <c r="A141" s="184"/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</row>
    <row r="142" s="49" customFormat="1" ht="16.5" spans="1:26">
      <c r="A142" s="184"/>
      <c r="B142" s="184"/>
      <c r="C142" s="184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</row>
    <row r="143" s="49" customFormat="1" ht="16.5" spans="1:26">
      <c r="A143" s="184"/>
      <c r="B143" s="184"/>
      <c r="C143" s="184"/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</row>
    <row r="144" s="49" customFormat="1" ht="16.5" spans="1:26">
      <c r="A144" s="184"/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</row>
    <row r="145" s="49" customFormat="1" ht="16.5" spans="1:26">
      <c r="A145" s="184"/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</row>
    <row r="146" s="49" customFormat="1" ht="16.5" spans="1:26">
      <c r="A146" s="184"/>
      <c r="B146" s="184"/>
      <c r="C146" s="184"/>
      <c r="D146" s="184"/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</row>
    <row r="147" s="49" customFormat="1" ht="16.5" spans="1:26">
      <c r="A147" s="184"/>
      <c r="B147" s="184"/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</row>
    <row r="148" s="49" customFormat="1" ht="16.5" spans="1:26">
      <c r="A148" s="184"/>
      <c r="B148" s="184"/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="49" customFormat="1" ht="16.5" spans="1:26">
      <c r="A149" s="184"/>
      <c r="B149" s="184"/>
      <c r="C149" s="184"/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</row>
    <row r="150" s="49" customFormat="1" ht="16.5" spans="1:26">
      <c r="A150" s="184"/>
      <c r="B150" s="184"/>
      <c r="C150" s="184"/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</row>
    <row r="151" s="49" customFormat="1" ht="16.5" spans="1:26">
      <c r="A151" s="184"/>
      <c r="B151" s="184"/>
      <c r="C151" s="184"/>
      <c r="D151" s="184"/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</row>
    <row r="152" s="49" customFormat="1" ht="16.5" spans="1:26">
      <c r="A152" s="184"/>
      <c r="B152" s="184"/>
      <c r="C152" s="184"/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</row>
    <row r="153" s="49" customFormat="1" ht="16.5" spans="1:26">
      <c r="A153" s="184"/>
      <c r="B153" s="184"/>
      <c r="C153" s="184"/>
      <c r="D153" s="184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</row>
    <row r="154" s="49" customFormat="1" ht="16.5" spans="1:26">
      <c r="A154" s="184"/>
      <c r="B154" s="184"/>
      <c r="C154" s="184"/>
      <c r="D154" s="184"/>
      <c r="E154" s="184"/>
      <c r="F154" s="184"/>
      <c r="G154" s="184"/>
      <c r="H154" s="184"/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</row>
    <row r="155" s="49" customFormat="1" ht="16.5" spans="1:26">
      <c r="A155" s="184"/>
      <c r="B155" s="184"/>
      <c r="C155" s="184"/>
      <c r="D155" s="184"/>
      <c r="E155" s="184"/>
      <c r="F155" s="184"/>
      <c r="G155" s="184"/>
      <c r="H155" s="184"/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</row>
    <row r="156" s="49" customFormat="1" ht="16.5" spans="1:26">
      <c r="A156" s="184"/>
      <c r="B156" s="184"/>
      <c r="C156" s="184"/>
      <c r="D156" s="184"/>
      <c r="E156" s="184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</row>
    <row r="157" s="49" customFormat="1" ht="16.5" spans="1:26">
      <c r="A157" s="184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</row>
    <row r="158" s="49" customFormat="1" ht="16.5" spans="1:26">
      <c r="A158" s="184"/>
      <c r="B158" s="184"/>
      <c r="C158" s="184"/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</row>
    <row r="159" s="49" customFormat="1" ht="16.5" spans="1:26">
      <c r="A159" s="184"/>
      <c r="B159" s="184"/>
      <c r="C159" s="184"/>
      <c r="D159" s="184"/>
      <c r="E159" s="184"/>
      <c r="F159" s="184"/>
      <c r="G159" s="184"/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</row>
    <row r="160" s="49" customFormat="1" ht="16.5" spans="1:26">
      <c r="A160" s="184"/>
      <c r="B160" s="184"/>
      <c r="C160" s="184"/>
      <c r="D160" s="184"/>
      <c r="E160" s="184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</row>
    <row r="161" s="49" customFormat="1" ht="16.5" spans="1:26">
      <c r="A161" s="184"/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</row>
    <row r="162" s="49" customFormat="1" ht="16.5" spans="1:26">
      <c r="A162" s="184"/>
      <c r="B162" s="184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</row>
    <row r="163" s="49" customFormat="1" ht="16.5" spans="1:26">
      <c r="A163" s="184"/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</row>
    <row r="164" s="49" customFormat="1" ht="16.5" spans="1:26">
      <c r="A164" s="184"/>
      <c r="B164" s="184"/>
      <c r="C164" s="184"/>
      <c r="D164" s="184"/>
      <c r="E164" s="184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</row>
    <row r="165" s="49" customFormat="1" ht="16.5" spans="1:26">
      <c r="A165" s="184"/>
      <c r="B165" s="184"/>
      <c r="C165" s="184"/>
      <c r="D165" s="184"/>
      <c r="E165" s="184"/>
      <c r="F165" s="184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</row>
    <row r="166" s="49" customFormat="1" ht="16.5" spans="1:26">
      <c r="A166" s="184"/>
      <c r="B166" s="184"/>
      <c r="C166" s="184"/>
      <c r="D166" s="184"/>
      <c r="E166" s="184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</row>
    <row r="167" s="49" customFormat="1" ht="16.5" spans="1:26">
      <c r="A167" s="184"/>
      <c r="B167" s="184"/>
      <c r="C167" s="184"/>
      <c r="D167" s="184"/>
      <c r="E167" s="184"/>
      <c r="F167" s="184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</row>
    <row r="168" s="49" customFormat="1" ht="16.5" spans="1:26">
      <c r="A168" s="184"/>
      <c r="B168" s="184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</row>
    <row r="169" s="49" customFormat="1" ht="16.5" spans="1:26">
      <c r="A169" s="184"/>
      <c r="B169" s="184"/>
      <c r="C169" s="184"/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</row>
    <row r="170" s="49" customFormat="1" ht="16.5" spans="1:26">
      <c r="A170" s="184"/>
      <c r="B170" s="184"/>
      <c r="C170" s="184"/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</row>
    <row r="171" s="49" customFormat="1" ht="16.5" spans="1:26">
      <c r="A171" s="184"/>
      <c r="B171" s="184"/>
      <c r="C171" s="184"/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</row>
    <row r="172" s="49" customFormat="1" ht="16.5" spans="1:26">
      <c r="A172" s="184"/>
      <c r="B172" s="184"/>
      <c r="C172" s="184"/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</row>
    <row r="173" s="49" customFormat="1" ht="16.5" spans="1:26">
      <c r="A173" s="184"/>
      <c r="B173" s="184"/>
      <c r="C173" s="184"/>
      <c r="D173" s="184"/>
      <c r="E173" s="184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</row>
    <row r="174" s="49" customFormat="1" ht="16.5" spans="1:26">
      <c r="A174" s="184"/>
      <c r="B174" s="184"/>
      <c r="C174" s="184"/>
      <c r="D174" s="184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</row>
    <row r="175" s="49" customFormat="1" ht="16.5" spans="1:26">
      <c r="A175" s="184"/>
      <c r="B175" s="184"/>
      <c r="C175" s="184"/>
      <c r="D175" s="184"/>
      <c r="E175" s="184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</row>
    <row r="176" s="49" customFormat="1" ht="16.5" spans="1:26">
      <c r="A176" s="184"/>
      <c r="B176" s="184"/>
      <c r="C176" s="184"/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</row>
    <row r="177" s="49" customFormat="1" ht="16.5" spans="1:26">
      <c r="A177" s="184"/>
      <c r="B177" s="184"/>
      <c r="C177" s="184"/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</row>
    <row r="178" s="49" customFormat="1" ht="16.5" spans="1:26">
      <c r="A178" s="184"/>
      <c r="B178" s="184"/>
      <c r="C178" s="184"/>
      <c r="D178" s="184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</row>
    <row r="179" s="49" customFormat="1" ht="16.5" spans="1:26">
      <c r="A179" s="184"/>
      <c r="B179" s="184"/>
      <c r="C179" s="184"/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</row>
    <row r="180" s="49" customFormat="1" ht="16.5" spans="1:26">
      <c r="A180" s="184"/>
      <c r="B180" s="184"/>
      <c r="C180" s="184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</row>
    <row r="181" s="49" customFormat="1" ht="16.5" spans="1:26">
      <c r="A181" s="184"/>
      <c r="B181" s="184"/>
      <c r="C181" s="184"/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</row>
    <row r="182" s="49" customFormat="1" ht="16.5" spans="1:26">
      <c r="A182" s="184"/>
      <c r="B182" s="184"/>
      <c r="C182" s="184"/>
      <c r="D182" s="184"/>
      <c r="E182" s="184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</row>
    <row r="183" s="49" customFormat="1" ht="16.5" spans="1:26">
      <c r="A183" s="184"/>
      <c r="B183" s="184"/>
      <c r="C183" s="184"/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</row>
    <row r="184" s="49" customFormat="1" ht="16.5" spans="1:26">
      <c r="A184" s="184"/>
      <c r="B184" s="184"/>
      <c r="C184" s="184"/>
      <c r="D184" s="184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</row>
    <row r="185" s="49" customFormat="1" ht="16.5" spans="1:26">
      <c r="A185" s="184"/>
      <c r="B185" s="184"/>
      <c r="C185" s="184"/>
      <c r="D185" s="184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</row>
    <row r="186" s="49" customFormat="1" ht="16.5" spans="1:26">
      <c r="A186" s="184"/>
      <c r="B186" s="184"/>
      <c r="C186" s="184"/>
      <c r="D186" s="184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</row>
    <row r="187" s="49" customFormat="1" ht="16.5" spans="1:26">
      <c r="A187" s="184"/>
      <c r="B187" s="184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</row>
    <row r="188" s="49" customFormat="1" ht="16.5" spans="1:26">
      <c r="A188" s="184"/>
      <c r="B188" s="184"/>
      <c r="C188" s="184"/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</row>
    <row r="189" s="49" customFormat="1" ht="16.5" spans="1:26">
      <c r="A189" s="184"/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</row>
    <row r="190" s="49" customFormat="1" ht="16.5" spans="1:26">
      <c r="A190" s="184"/>
      <c r="B190" s="184"/>
      <c r="C190" s="184"/>
      <c r="D190" s="184"/>
      <c r="E190" s="184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</row>
    <row r="191" s="49" customFormat="1" ht="16.5" spans="1:26">
      <c r="A191" s="184"/>
      <c r="B191" s="184"/>
      <c r="C191" s="184"/>
      <c r="D191" s="184"/>
      <c r="E191" s="184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</row>
    <row r="192" s="49" customFormat="1" ht="16.5" spans="1:26">
      <c r="A192" s="184"/>
      <c r="B192" s="184"/>
      <c r="C192" s="184"/>
      <c r="D192" s="184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</row>
    <row r="193" s="49" customFormat="1" ht="16.5" spans="1:26">
      <c r="A193" s="184"/>
      <c r="B193" s="184"/>
      <c r="C193" s="184"/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</row>
    <row r="194" s="49" customFormat="1" ht="16.5" spans="1:26">
      <c r="A194" s="184"/>
      <c r="B194" s="184"/>
      <c r="C194" s="184"/>
      <c r="D194" s="184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</row>
    <row r="195" s="49" customFormat="1" ht="16.5" spans="1:26">
      <c r="A195" s="184"/>
      <c r="B195" s="184"/>
      <c r="C195" s="184"/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</row>
    <row r="196" s="49" customFormat="1" ht="16.5" spans="1:26">
      <c r="A196" s="184"/>
      <c r="B196" s="184"/>
      <c r="C196" s="184"/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</row>
    <row r="197" s="49" customFormat="1" ht="16.5" spans="1:26">
      <c r="A197" s="184"/>
      <c r="B197" s="184"/>
      <c r="C197" s="184"/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</row>
    <row r="198" s="49" customFormat="1" ht="16.5" spans="1:26">
      <c r="A198" s="184"/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</row>
    <row r="199" s="49" customFormat="1" ht="16.5" spans="1:26">
      <c r="A199" s="184"/>
      <c r="B199" s="184"/>
      <c r="C199" s="184"/>
      <c r="D199" s="184"/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</row>
    <row r="200" s="49" customFormat="1" ht="16.5" spans="1:26">
      <c r="A200" s="184"/>
      <c r="B200" s="184"/>
      <c r="C200" s="184"/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</row>
    <row r="201" s="49" customFormat="1" ht="16.5" spans="1:26">
      <c r="A201" s="184"/>
      <c r="B201" s="184"/>
      <c r="C201" s="184"/>
      <c r="D201" s="184"/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</row>
  </sheetData>
  <sheetProtection formatCells="0" insertHyperlinks="0" autoFilter="0"/>
  <mergeCells count="2">
    <mergeCell ref="B2:E2"/>
    <mergeCell ref="G43:L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3"/>
  <sheetViews>
    <sheetView workbookViewId="0">
      <selection activeCell="A1" sqref="A1"/>
    </sheetView>
  </sheetViews>
  <sheetFormatPr defaultColWidth="9.81666666666667" defaultRowHeight="14.25"/>
  <cols>
    <col min="1" max="1" width="7.225" style="167"/>
    <col min="2" max="2" width="19.5" style="167"/>
    <col min="3" max="3" width="7.63333333333333" style="167"/>
    <col min="4" max="4" width="9.90833333333333" style="167" customWidth="1"/>
    <col min="5" max="5" width="11.8666666666667" style="167"/>
    <col min="6" max="6" width="9.275" style="167"/>
    <col min="7" max="8" width="14.3166666666667" style="167" customWidth="1"/>
    <col min="9" max="11" width="13.8166666666667" style="167"/>
    <col min="12" max="12" width="13.0916666666667" style="167" customWidth="1"/>
    <col min="13" max="14" width="9.81666666666667" style="167"/>
    <col min="15" max="15" width="11.0166666666667" style="167" customWidth="1"/>
    <col min="16" max="16" width="11.675" style="167" customWidth="1"/>
    <col min="17" max="17" width="13.9666666666667" style="167"/>
    <col min="18" max="18" width="9.81666666666667" style="167"/>
    <col min="19" max="19" width="11.2333333333333" style="167" customWidth="1"/>
    <col min="20" max="20" width="10.6916666666667" style="169" customWidth="1"/>
    <col min="21" max="24" width="9.81666666666667" style="167"/>
    <col min="25" max="25" width="10.3666666666667" style="167"/>
    <col min="26" max="26" width="9.81666666666667" style="167"/>
  </cols>
  <sheetData>
    <row r="1" s="49" customFormat="1" spans="1:26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50"/>
      <c r="P1" s="50"/>
      <c r="Q1" s="50"/>
      <c r="R1" s="50"/>
      <c r="S1" s="50"/>
      <c r="T1" s="171"/>
      <c r="U1" s="170"/>
      <c r="V1" s="170"/>
      <c r="W1" s="170"/>
      <c r="X1" s="170"/>
      <c r="Y1" s="170"/>
      <c r="Z1" s="170"/>
    </row>
    <row r="2" s="49" customFormat="1" ht="18.75" spans="1:26">
      <c r="A2" s="51" t="s">
        <v>154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170"/>
      <c r="M2" s="170"/>
      <c r="N2" s="170"/>
    </row>
    <row r="3" s="49" customFormat="1" spans="1:26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 t="s">
        <v>155</v>
      </c>
      <c r="L3" s="170"/>
      <c r="M3" s="170"/>
      <c r="N3" s="170"/>
    </row>
    <row r="4" s="167" customFormat="1" ht="15.75" customHeight="1" spans="1:26">
      <c r="A4" s="172" t="s">
        <v>105</v>
      </c>
      <c r="B4" s="172" t="str">
        <f>核心参数!H44</f>
        <v>项目</v>
      </c>
      <c r="C4" s="172" t="s">
        <v>107</v>
      </c>
      <c r="D4" s="173" t="s">
        <v>108</v>
      </c>
      <c r="E4" s="57" t="s">
        <v>109</v>
      </c>
      <c r="F4" s="57" t="s">
        <v>156</v>
      </c>
      <c r="G4" s="57" t="s">
        <v>73</v>
      </c>
      <c r="H4" s="57"/>
      <c r="I4" s="57"/>
      <c r="J4" s="57"/>
      <c r="K4" s="57"/>
      <c r="L4" s="57"/>
      <c r="M4" s="57"/>
      <c r="N4" s="57"/>
      <c r="O4" s="57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="167" customFormat="1" spans="1:26">
      <c r="A5" s="172"/>
      <c r="B5" s="172"/>
      <c r="C5" s="172"/>
      <c r="D5" s="174"/>
      <c r="E5" s="172"/>
      <c r="F5" s="172"/>
      <c r="G5" s="175">
        <v>2</v>
      </c>
      <c r="H5" s="175">
        <v>3</v>
      </c>
      <c r="I5" s="175">
        <v>4</v>
      </c>
      <c r="J5" s="175">
        <v>5</v>
      </c>
      <c r="K5" s="175">
        <v>6</v>
      </c>
      <c r="L5" s="175">
        <v>7</v>
      </c>
      <c r="M5" s="175">
        <v>8</v>
      </c>
      <c r="N5" s="175">
        <v>9</v>
      </c>
      <c r="O5" s="175">
        <v>10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="167" customFormat="1" ht="16.05" customHeight="1" spans="1:26">
      <c r="A6" s="176" t="s">
        <v>113</v>
      </c>
      <c r="B6" s="176" t="str">
        <f>核心参数!H46</f>
        <v>主要原材料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="167" customFormat="1" ht="16.05" customHeight="1" spans="1:26">
      <c r="A7" s="172">
        <v>1</v>
      </c>
      <c r="B7" s="172" t="str">
        <f>核心参数!H47</f>
        <v>芦竹苗</v>
      </c>
      <c r="C7" s="57" t="str">
        <f>核心参数!I47</f>
        <v>亩</v>
      </c>
      <c r="D7" s="177">
        <f>核心参数!J47</f>
        <v>0.09</v>
      </c>
      <c r="E7" s="172">
        <f>核心参数!K47</f>
        <v>300</v>
      </c>
      <c r="F7" s="178">
        <f>核心参数!L47</f>
        <v>200</v>
      </c>
      <c r="G7" s="179">
        <f t="shared" ref="G7:O7" si="0">$E$7*$F$7/10000</f>
        <v>6</v>
      </c>
      <c r="H7" s="179">
        <f t="shared" si="0"/>
        <v>6</v>
      </c>
      <c r="I7" s="179">
        <f t="shared" si="0"/>
        <v>6</v>
      </c>
      <c r="J7" s="179">
        <f t="shared" si="0"/>
        <v>6</v>
      </c>
      <c r="K7" s="179">
        <f t="shared" si="0"/>
        <v>6</v>
      </c>
      <c r="L7" s="179">
        <f t="shared" si="0"/>
        <v>6</v>
      </c>
      <c r="M7" s="179">
        <f t="shared" si="0"/>
        <v>6</v>
      </c>
      <c r="N7" s="179">
        <f t="shared" si="0"/>
        <v>6</v>
      </c>
      <c r="O7" s="179">
        <f t="shared" si="0"/>
        <v>6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="167" customFormat="1" ht="16.05" customHeight="1" spans="1:26">
      <c r="A8" s="176" t="s">
        <v>121</v>
      </c>
      <c r="B8" s="176" t="str">
        <f>核心参数!H48</f>
        <v>燃料及动力</v>
      </c>
      <c r="C8" s="57"/>
      <c r="D8" s="177"/>
      <c r="E8" s="172"/>
      <c r="F8" s="180"/>
      <c r="G8" s="179">
        <f t="shared" ref="G8:O8" si="1">SUM(G9:G11)</f>
        <v>9.6</v>
      </c>
      <c r="H8" s="179">
        <f t="shared" si="1"/>
        <v>9.6</v>
      </c>
      <c r="I8" s="179">
        <f t="shared" si="1"/>
        <v>9.6</v>
      </c>
      <c r="J8" s="179">
        <f t="shared" si="1"/>
        <v>9.6</v>
      </c>
      <c r="K8" s="179">
        <f t="shared" si="1"/>
        <v>9.6</v>
      </c>
      <c r="L8" s="179">
        <f t="shared" si="1"/>
        <v>9.6</v>
      </c>
      <c r="M8" s="179">
        <f t="shared" si="1"/>
        <v>9.6</v>
      </c>
      <c r="N8" s="179">
        <f t="shared" si="1"/>
        <v>9.6</v>
      </c>
      <c r="O8" s="179">
        <f t="shared" si="1"/>
        <v>9.6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="168" customFormat="1" ht="16.05" customHeight="1" spans="1:26">
      <c r="A9" s="172">
        <v>1</v>
      </c>
      <c r="B9" s="172" t="str">
        <f>核心参数!H49</f>
        <v>电</v>
      </c>
      <c r="C9" s="57" t="str">
        <f>核心参数!I49</f>
        <v>度</v>
      </c>
      <c r="D9" s="177">
        <f>核心参数!J49</f>
        <v>0.13</v>
      </c>
      <c r="E9" s="172">
        <f>核心参数!K49</f>
        <v>30000</v>
      </c>
      <c r="F9" s="178">
        <f>核心参数!L49</f>
        <v>0</v>
      </c>
      <c r="G9" s="179">
        <f>($E$9/10000*[1]销售收入!D8-[1]核心参数!$E$45-[1]核心参数!$E$46)*$F$9</f>
        <v>0</v>
      </c>
      <c r="H9" s="179">
        <f>($E$9/10000*[1]销售收入!E8-[1]核心参数!$E$45-[1]核心参数!$E$46)*$F$9</f>
        <v>0</v>
      </c>
      <c r="I9" s="179">
        <f>($E$9/10000*[1]销售收入!F8-[1]核心参数!$E$45-[1]核心参数!$E$46)*$F$9</f>
        <v>0</v>
      </c>
      <c r="J9" s="179">
        <f>($E$9/10000*[1]销售收入!G8-[1]核心参数!$E$45-[1]核心参数!$E$46)*$F$9</f>
        <v>0</v>
      </c>
      <c r="K9" s="179">
        <f>($E$9/10000*[1]销售收入!H8-[1]核心参数!$E$45-[1]核心参数!$E$46)*$F$9</f>
        <v>0</v>
      </c>
      <c r="L9" s="179">
        <f>($E$9/10000*[1]销售收入!I8-[1]核心参数!$E$45-[1]核心参数!$E$46)*$F$9</f>
        <v>0</v>
      </c>
      <c r="M9" s="179">
        <f>($E$9/10000*[1]销售收入!J8-[1]核心参数!$E$45-[1]核心参数!$E$46)*$F$9</f>
        <v>0</v>
      </c>
      <c r="N9" s="179">
        <f>($E$9/10000*[1]销售收入!K8-[1]核心参数!$E$45-[1]核心参数!$E$46)*$F$9</f>
        <v>0</v>
      </c>
      <c r="O9" s="179">
        <f>($E$9/10000*[1]销售收入!L8-[1]核心参数!$E$45-[1]核心参数!$E$46)*$F$9</f>
        <v>0</v>
      </c>
      <c r="P9" s="50" t="s">
        <v>157</v>
      </c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="167" customFormat="1" ht="16.05" customHeight="1" spans="1:26">
      <c r="A10" s="172">
        <v>2</v>
      </c>
      <c r="B10" s="172" t="str">
        <f>核心参数!H50</f>
        <v>蒸汽</v>
      </c>
      <c r="C10" s="57" t="str">
        <f>核心参数!I50</f>
        <v>吨</v>
      </c>
      <c r="D10" s="177">
        <f>核心参数!J50</f>
        <v>0.13</v>
      </c>
      <c r="E10" s="172">
        <f>核心参数!K50</f>
        <v>0</v>
      </c>
      <c r="F10" s="178">
        <f>核心参数!L50</f>
        <v>0</v>
      </c>
      <c r="G10" s="179">
        <f>$E$10*[1]销售收入!D8*$F$10/10000</f>
        <v>0</v>
      </c>
      <c r="H10" s="179">
        <f>$E$10*[1]销售收入!E8*$F$10/10000</f>
        <v>0</v>
      </c>
      <c r="I10" s="179">
        <f>$E$10*[1]销售收入!F8*$F$10/10000</f>
        <v>0</v>
      </c>
      <c r="J10" s="179">
        <f>$E$10*[1]销售收入!G8*$F$10/10000</f>
        <v>0</v>
      </c>
      <c r="K10" s="179">
        <f>$E$10*[1]销售收入!H8*$F$10/10000</f>
        <v>0</v>
      </c>
      <c r="L10" s="179">
        <f>$E$10*[1]销售收入!I8*$F$10/10000</f>
        <v>0</v>
      </c>
      <c r="M10" s="179">
        <f>$E$10*[1]销售收入!J8*$F$10/10000</f>
        <v>0</v>
      </c>
      <c r="N10" s="179">
        <f>$E$10*[1]销售收入!K8*$F$10/10000</f>
        <v>0</v>
      </c>
      <c r="O10" s="179">
        <f>$E$10*[1]销售收入!L8*$F$10/10000</f>
        <v>0</v>
      </c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="167" customFormat="1" ht="16.05" customHeight="1" spans="1:26">
      <c r="A11" s="172">
        <v>3</v>
      </c>
      <c r="B11" s="172" t="str">
        <f>核心参数!H51</f>
        <v>水</v>
      </c>
      <c r="C11" s="57" t="str">
        <f>核心参数!I51</f>
        <v>吨</v>
      </c>
      <c r="D11" s="177">
        <f>核心参数!J51</f>
        <v>0.13</v>
      </c>
      <c r="E11" s="172">
        <f>核心参数!K51</f>
        <v>60000</v>
      </c>
      <c r="F11" s="178">
        <f>核心参数!L51</f>
        <v>1.6</v>
      </c>
      <c r="G11" s="179">
        <f t="shared" ref="G11:O11" si="2">$E11*$F11/10000</f>
        <v>9.6</v>
      </c>
      <c r="H11" s="179">
        <f t="shared" si="2"/>
        <v>9.6</v>
      </c>
      <c r="I11" s="179">
        <f t="shared" si="2"/>
        <v>9.6</v>
      </c>
      <c r="J11" s="179">
        <f t="shared" si="2"/>
        <v>9.6</v>
      </c>
      <c r="K11" s="179">
        <f t="shared" si="2"/>
        <v>9.6</v>
      </c>
      <c r="L11" s="179">
        <f t="shared" si="2"/>
        <v>9.6</v>
      </c>
      <c r="M11" s="179">
        <f t="shared" si="2"/>
        <v>9.6</v>
      </c>
      <c r="N11" s="179">
        <f t="shared" si="2"/>
        <v>9.6</v>
      </c>
      <c r="O11" s="179">
        <f t="shared" si="2"/>
        <v>9.6</v>
      </c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="167" customFormat="1" ht="16.05" customHeight="1" spans="1:26">
      <c r="A12" s="176" t="s">
        <v>129</v>
      </c>
      <c r="B12" s="176" t="str">
        <f>核心参数!H52</f>
        <v>辅材料</v>
      </c>
      <c r="C12" s="57"/>
      <c r="D12" s="177"/>
      <c r="E12" s="172"/>
      <c r="F12" s="178"/>
      <c r="G12" s="179"/>
      <c r="H12" s="179"/>
      <c r="I12" s="179"/>
      <c r="J12" s="179"/>
      <c r="K12" s="179"/>
      <c r="L12" s="179"/>
      <c r="M12" s="179"/>
      <c r="N12" s="179"/>
      <c r="O12" s="179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="167" customFormat="1" ht="16.05" customHeight="1" spans="1:26">
      <c r="A13" s="172">
        <v>1</v>
      </c>
      <c r="B13" s="172">
        <f>核心参数!H53</f>
        <v>0</v>
      </c>
      <c r="C13" s="57" t="str">
        <f>核心参数!I53</f>
        <v>吨</v>
      </c>
      <c r="D13" s="177">
        <f>核心参数!J53</f>
        <v>0.13</v>
      </c>
      <c r="E13" s="172">
        <f>核心参数!K53</f>
        <v>0</v>
      </c>
      <c r="F13" s="178">
        <f>核心参数!L53</f>
        <v>0</v>
      </c>
      <c r="G13" s="179">
        <f>$E$13*[1]销售收入!D8*$F$13/10000</f>
        <v>0</v>
      </c>
      <c r="H13" s="179">
        <f>$E$13*[1]销售收入!E8*$F$13/10000</f>
        <v>0</v>
      </c>
      <c r="I13" s="179">
        <f>$E$13*[1]销售收入!F8*$F$13/10000</f>
        <v>0</v>
      </c>
      <c r="J13" s="179">
        <f>$E$13*[1]销售收入!G8*$F$13/10000</f>
        <v>0</v>
      </c>
      <c r="K13" s="179">
        <f>$E$13*[1]销售收入!H8*$F$13/10000</f>
        <v>0</v>
      </c>
      <c r="L13" s="179">
        <f>$E$13*[1]销售收入!I8*$F$13/10000</f>
        <v>0</v>
      </c>
      <c r="M13" s="179">
        <f>$E$13*[1]销售收入!J8*$F$13/10000</f>
        <v>0</v>
      </c>
      <c r="N13" s="179">
        <f>$E$13*[1]销售收入!K8*$F$13/10000</f>
        <v>0</v>
      </c>
      <c r="O13" s="179">
        <f>$E$13*[1]销售收入!L8*$F$13/10000</f>
        <v>0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="167" customFormat="1" ht="16.05" customHeight="1" spans="1:26">
      <c r="A14" s="172">
        <v>2</v>
      </c>
      <c r="B14" s="172">
        <f>核心参数!H54</f>
        <v>0</v>
      </c>
      <c r="C14" s="57" t="str">
        <f>核心参数!I54</f>
        <v>吨</v>
      </c>
      <c r="D14" s="177">
        <f>核心参数!J54</f>
        <v>0.13</v>
      </c>
      <c r="E14" s="172">
        <f>核心参数!K54</f>
        <v>0</v>
      </c>
      <c r="F14" s="178">
        <f>核心参数!L54</f>
        <v>0</v>
      </c>
      <c r="G14" s="179">
        <f>$E$14*[1]销售收入!D8*$F$14/10000</f>
        <v>0</v>
      </c>
      <c r="H14" s="179">
        <f>$E$14*[1]销售收入!E8*$F$14/10000</f>
        <v>0</v>
      </c>
      <c r="I14" s="179">
        <f>$E$14*[1]销售收入!F8*$F$14/10000</f>
        <v>0</v>
      </c>
      <c r="J14" s="179">
        <f>$E$14*[1]销售收入!G8*$F$14/10000</f>
        <v>0</v>
      </c>
      <c r="K14" s="179">
        <f>$E$14*[1]销售收入!H8*$F$14/10000</f>
        <v>0</v>
      </c>
      <c r="L14" s="179">
        <f>$E$14*[1]销售收入!I8*$F$14/10000</f>
        <v>0</v>
      </c>
      <c r="M14" s="179">
        <f>$E$14*[1]销售收入!J8*$F$14/10000</f>
        <v>0</v>
      </c>
      <c r="N14" s="179">
        <f>$E$14*[1]销售收入!K8*$F$14/10000</f>
        <v>0</v>
      </c>
      <c r="O14" s="179">
        <f>$E$14*[1]销售收入!L8*$F$14/10000</f>
        <v>0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="167" customFormat="1" ht="16.05" customHeight="1" spans="1:26">
      <c r="A15" s="172">
        <v>3</v>
      </c>
      <c r="B15" s="172">
        <f>核心参数!H55</f>
        <v>0</v>
      </c>
      <c r="C15" s="57" t="str">
        <f>核心参数!I55</f>
        <v>吨</v>
      </c>
      <c r="D15" s="177">
        <f>核心参数!J55</f>
        <v>0.13</v>
      </c>
      <c r="E15" s="172">
        <f>核心参数!K55</f>
        <v>0</v>
      </c>
      <c r="F15" s="178">
        <f>核心参数!L55</f>
        <v>0</v>
      </c>
      <c r="G15" s="179">
        <f>$E$15*[1]销售收入!D8*$F$15/10000</f>
        <v>0</v>
      </c>
      <c r="H15" s="179">
        <f>$E$15*[1]销售收入!E8*$F$15/10000</f>
        <v>0</v>
      </c>
      <c r="I15" s="179">
        <f>$E$15*[1]销售收入!F8*$F$15/10000</f>
        <v>0</v>
      </c>
      <c r="J15" s="179">
        <f>$E$15*[1]销售收入!G8*$F$15/10000</f>
        <v>0</v>
      </c>
      <c r="K15" s="179">
        <f>$E$15*[1]销售收入!H8*$F$15/10000</f>
        <v>0</v>
      </c>
      <c r="L15" s="179">
        <f>$E$15*[1]销售收入!I8*$F$15/10000</f>
        <v>0</v>
      </c>
      <c r="M15" s="179">
        <f>$E$15*[1]销售收入!J8*$F$15/10000</f>
        <v>0</v>
      </c>
      <c r="N15" s="179">
        <f>$E$15*[1]销售收入!K8*$F$15/10000</f>
        <v>0</v>
      </c>
      <c r="O15" s="179">
        <f>$E$15*[1]销售收入!L8*$F$15/10000</f>
        <v>0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="167" customFormat="1" ht="16.05" customHeight="1" spans="1:26">
      <c r="A16" s="172">
        <v>4</v>
      </c>
      <c r="B16" s="172">
        <f>核心参数!H56</f>
        <v>0</v>
      </c>
      <c r="C16" s="57" t="str">
        <f>核心参数!I56</f>
        <v>吨</v>
      </c>
      <c r="D16" s="177">
        <f>核心参数!J56</f>
        <v>0.13</v>
      </c>
      <c r="E16" s="172">
        <f>核心参数!K56</f>
        <v>0</v>
      </c>
      <c r="F16" s="178">
        <f>核心参数!L56</f>
        <v>0</v>
      </c>
      <c r="G16" s="179">
        <f>$E$16*[1]销售收入!D8*$F$16/10000</f>
        <v>0</v>
      </c>
      <c r="H16" s="179">
        <f>$E$16*[1]销售收入!E8*$F$16/10000</f>
        <v>0</v>
      </c>
      <c r="I16" s="179">
        <f>$E$16*[1]销售收入!F8*$F$16/10000</f>
        <v>0</v>
      </c>
      <c r="J16" s="179">
        <f>$E$16*[1]销售收入!G8*$F$16/10000</f>
        <v>0</v>
      </c>
      <c r="K16" s="179">
        <f>$E$16*[1]销售收入!H8*$F$16/10000</f>
        <v>0</v>
      </c>
      <c r="L16" s="179">
        <f>$E$16*[1]销售收入!I8*$F$16/10000</f>
        <v>0</v>
      </c>
      <c r="M16" s="179">
        <f>$E$16*[1]销售收入!J8*$F$16/10000</f>
        <v>0</v>
      </c>
      <c r="N16" s="179">
        <f>$E$16*[1]销售收入!K8*$F$16/10000</f>
        <v>0</v>
      </c>
      <c r="O16" s="179">
        <f>$E$16*[1]销售收入!L8*$F$16/10000</f>
        <v>0</v>
      </c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="167" customFormat="1" ht="16.05" customHeight="1" spans="1:26">
      <c r="A17" s="172">
        <v>5</v>
      </c>
      <c r="B17" s="172">
        <f>核心参数!H57</f>
        <v>0</v>
      </c>
      <c r="C17" s="57" t="str">
        <f>核心参数!I57</f>
        <v>吨</v>
      </c>
      <c r="D17" s="177">
        <f>核心参数!J57</f>
        <v>0.13</v>
      </c>
      <c r="E17" s="172">
        <f>核心参数!K57</f>
        <v>0</v>
      </c>
      <c r="F17" s="178">
        <f>核心参数!L57</f>
        <v>0</v>
      </c>
      <c r="G17" s="179">
        <f>$E$17*[1]销售收入!D8*$F$17/10000</f>
        <v>0</v>
      </c>
      <c r="H17" s="179">
        <f>$E$17*[1]销售收入!E8*$F$17/10000</f>
        <v>0</v>
      </c>
      <c r="I17" s="179">
        <f>$E$17*[1]销售收入!F8*$F$17/10000</f>
        <v>0</v>
      </c>
      <c r="J17" s="179">
        <f>$E$17*[1]销售收入!G8*$F$17/10000</f>
        <v>0</v>
      </c>
      <c r="K17" s="179">
        <f>$E$17*[1]销售收入!H8*$F$17/10000</f>
        <v>0</v>
      </c>
      <c r="L17" s="179">
        <f>$E$17*[1]销售收入!I8*$F$17/10000</f>
        <v>0</v>
      </c>
      <c r="M17" s="179">
        <f>$E$17*[1]销售收入!J8*$F$17/10000</f>
        <v>0</v>
      </c>
      <c r="N17" s="179">
        <f>$E$17*[1]销售收入!K8*$F$17/10000</f>
        <v>0</v>
      </c>
      <c r="O17" s="179">
        <f>$E$17*[1]销售收入!L8*$F$17/10000</f>
        <v>0</v>
      </c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="167" customFormat="1" ht="16.05" customHeight="1" spans="1:26">
      <c r="A18" s="172">
        <v>6</v>
      </c>
      <c r="B18" s="172">
        <f>核心参数!H58</f>
        <v>0</v>
      </c>
      <c r="C18" s="57" t="str">
        <f>核心参数!I58</f>
        <v>吨</v>
      </c>
      <c r="D18" s="177">
        <f>核心参数!J58</f>
        <v>0.13</v>
      </c>
      <c r="E18" s="172">
        <f>核心参数!K58</f>
        <v>0</v>
      </c>
      <c r="F18" s="178">
        <f>核心参数!L58</f>
        <v>0</v>
      </c>
      <c r="G18" s="179">
        <f>$E$18*[1]销售收入!D8*$F$18/10000</f>
        <v>0</v>
      </c>
      <c r="H18" s="179">
        <f>$E$18*[1]销售收入!E8*$F$18/10000</f>
        <v>0</v>
      </c>
      <c r="I18" s="179">
        <f>$E$18*[1]销售收入!F8*$F$18/10000</f>
        <v>0</v>
      </c>
      <c r="J18" s="179">
        <f>$E$18*[1]销售收入!G8*$F$18/10000</f>
        <v>0</v>
      </c>
      <c r="K18" s="179">
        <f>$E$18*[1]销售收入!H8*$F$18/10000</f>
        <v>0</v>
      </c>
      <c r="L18" s="179">
        <f>$E$18*[1]销售收入!I8*$F$18/10000</f>
        <v>0</v>
      </c>
      <c r="M18" s="179">
        <f>$E$18*[1]销售收入!J8*$F$18/10000</f>
        <v>0</v>
      </c>
      <c r="N18" s="179">
        <f>$E$18*[1]销售收入!K8*$F$18/10000</f>
        <v>0</v>
      </c>
      <c r="O18" s="179">
        <f>$E$18*[1]销售收入!L8*$F$18/10000</f>
        <v>0</v>
      </c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="167" customFormat="1" ht="16.05" customHeight="1" spans="1:26">
      <c r="A19" s="172">
        <v>7</v>
      </c>
      <c r="B19" s="172">
        <f>核心参数!H59</f>
        <v>0</v>
      </c>
      <c r="C19" s="57" t="str">
        <f>核心参数!I59</f>
        <v>套</v>
      </c>
      <c r="D19" s="177">
        <f>核心参数!J59</f>
        <v>0.13</v>
      </c>
      <c r="E19" s="172">
        <f>核心参数!K59</f>
        <v>0</v>
      </c>
      <c r="F19" s="178">
        <f>核心参数!L59</f>
        <v>0</v>
      </c>
      <c r="G19" s="179">
        <f>[1]销售收入!D9*[1]销售收入!D8*$F$19/10000</f>
        <v>0</v>
      </c>
      <c r="H19" s="179">
        <f>[1]销售收入!E9*[1]销售收入!E8*$F$19/10000</f>
        <v>0</v>
      </c>
      <c r="I19" s="179">
        <f>[1]销售收入!F9*[1]销售收入!F8*$F$19/10000</f>
        <v>0</v>
      </c>
      <c r="J19" s="179">
        <f>[1]销售收入!G9*[1]销售收入!G8*$F$19/10000</f>
        <v>0</v>
      </c>
      <c r="K19" s="179">
        <f>[1]销售收入!H9*[1]销售收入!H8*$F$19/10000</f>
        <v>0</v>
      </c>
      <c r="L19" s="179">
        <f>[1]销售收入!I9*[1]销售收入!I8*$F$19/10000</f>
        <v>0</v>
      </c>
      <c r="M19" s="179">
        <f>[1]销售收入!J9*[1]销售收入!J8*$F$19/10000</f>
        <v>0</v>
      </c>
      <c r="N19" s="179">
        <f>[1]销售收入!K9*[1]销售收入!K8*$F$19/10000</f>
        <v>0</v>
      </c>
      <c r="O19" s="179">
        <f>[1]销售收入!L9*[1]销售收入!L8*$F$19/10000</f>
        <v>0</v>
      </c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="167" customFormat="1" ht="16.05" customHeight="1" spans="1:26">
      <c r="A20" s="176" t="s">
        <v>139</v>
      </c>
      <c r="B20" s="176" t="str">
        <f>核心参数!H60</f>
        <v>外购服务</v>
      </c>
      <c r="C20" s="57"/>
      <c r="D20" s="177"/>
      <c r="E20" s="172"/>
      <c r="F20" s="178"/>
      <c r="G20" s="179"/>
      <c r="H20" s="179"/>
      <c r="I20" s="179"/>
      <c r="J20" s="179"/>
      <c r="K20" s="179"/>
      <c r="L20" s="179"/>
      <c r="M20" s="179"/>
      <c r="N20" s="179"/>
      <c r="O20" s="179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="167" customFormat="1" ht="16.05" customHeight="1" spans="1:26">
      <c r="A21" s="172">
        <v>1</v>
      </c>
      <c r="B21" s="172" t="str">
        <f>核心参数!H61</f>
        <v>污水处理服务费</v>
      </c>
      <c r="C21" s="57"/>
      <c r="D21" s="177">
        <f>核心参数!J61</f>
        <v>0.06</v>
      </c>
      <c r="E21" s="172">
        <f>核心参数!K61</f>
        <v>0</v>
      </c>
      <c r="F21" s="178">
        <f>核心参数!L61</f>
        <v>0</v>
      </c>
      <c r="G21" s="179">
        <f>[1]销售收入!D9*[1]销售收入!D8*$F$21/10000</f>
        <v>0</v>
      </c>
      <c r="H21" s="179">
        <f>[1]销售收入!E9*[1]销售收入!E8*$F$21/10000</f>
        <v>0</v>
      </c>
      <c r="I21" s="179">
        <f>[1]销售收入!F9*[1]销售收入!F8*$F$21/10000</f>
        <v>0</v>
      </c>
      <c r="J21" s="179">
        <f>[1]销售收入!G9*[1]销售收入!G8*$F$21/10000</f>
        <v>0</v>
      </c>
      <c r="K21" s="179">
        <f>[1]销售收入!H9*[1]销售收入!H8*$F$21/10000</f>
        <v>0</v>
      </c>
      <c r="L21" s="179">
        <f>[1]销售收入!I9*[1]销售收入!I8*$F$21/10000</f>
        <v>0</v>
      </c>
      <c r="M21" s="179">
        <f>[1]销售收入!J9*[1]销售收入!J8*$F$21/10000</f>
        <v>0</v>
      </c>
      <c r="N21" s="179">
        <f>[1]销售收入!K9*[1]销售收入!K8*$F$21/10000</f>
        <v>0</v>
      </c>
      <c r="O21" s="179">
        <f>[1]销售收入!L9*[1]销售收入!L8*$F$21/10000</f>
        <v>0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="167" customFormat="1" ht="16.05" customHeight="1" spans="1:26">
      <c r="A22" s="176" t="s">
        <v>143</v>
      </c>
      <c r="B22" s="176" t="str">
        <f>核心参数!H62</f>
        <v>备品备件</v>
      </c>
      <c r="C22" s="57"/>
      <c r="D22" s="177">
        <f>核心参数!J62</f>
        <v>0.13</v>
      </c>
      <c r="E22" s="172">
        <f>核心参数!K62</f>
        <v>0</v>
      </c>
      <c r="F22" s="178">
        <f>核心参数!L62</f>
        <v>0</v>
      </c>
      <c r="G22" s="179">
        <f>[1]销售收入!D9*[1]销售收入!D8*$F$22/10000</f>
        <v>0</v>
      </c>
      <c r="H22" s="179">
        <f>[1]销售收入!E9*[1]销售收入!E8*$F$22/10000</f>
        <v>0</v>
      </c>
      <c r="I22" s="179">
        <f>[1]销售收入!F9*[1]销售收入!F8*$F$22/10000</f>
        <v>0</v>
      </c>
      <c r="J22" s="179">
        <f>[1]销售收入!G9*[1]销售收入!G8*$F$22/10000</f>
        <v>0</v>
      </c>
      <c r="K22" s="179">
        <f>[1]销售收入!H9*[1]销售收入!H8*$F$22/10000</f>
        <v>0</v>
      </c>
      <c r="L22" s="179">
        <f>[1]销售收入!I9*[1]销售收入!I8*$F$22/10000</f>
        <v>0</v>
      </c>
      <c r="M22" s="179">
        <f>[1]销售收入!J9*[1]销售收入!J8*$F$22/10000</f>
        <v>0</v>
      </c>
      <c r="N22" s="179">
        <f>[1]销售收入!K9*[1]销售收入!K8*$F$22/10000</f>
        <v>0</v>
      </c>
      <c r="O22" s="179">
        <f>[1]销售收入!L9*[1]销售收入!L8*$F$22/10000</f>
        <v>0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="167" customFormat="1" ht="16.05" customHeight="1" spans="1:26">
      <c r="A23" s="172"/>
      <c r="B23" s="181"/>
      <c r="C23" s="172"/>
      <c r="D23" s="172"/>
      <c r="E23" s="172"/>
      <c r="F23" s="172"/>
      <c r="G23" s="179"/>
      <c r="H23" s="179"/>
      <c r="I23" s="179"/>
      <c r="J23" s="179"/>
      <c r="K23" s="179"/>
      <c r="L23" s="179"/>
      <c r="M23" s="179"/>
      <c r="N23" s="179"/>
      <c r="O23" s="179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="167" customFormat="1" ht="16.05" customHeight="1" spans="1:26">
      <c r="A24" s="172"/>
      <c r="B24" s="182"/>
      <c r="C24" s="172"/>
      <c r="D24" s="172"/>
      <c r="E24" s="172"/>
      <c r="F24" s="172"/>
      <c r="G24" s="179"/>
      <c r="H24" s="179"/>
      <c r="I24" s="179"/>
      <c r="J24" s="179"/>
      <c r="K24" s="179"/>
      <c r="L24" s="179"/>
      <c r="M24" s="179"/>
      <c r="N24" s="179"/>
      <c r="O24" s="179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="167" customFormat="1" ht="16.05" customHeight="1" spans="1:26">
      <c r="A25" s="170"/>
      <c r="B25" s="182"/>
      <c r="C25" s="172"/>
      <c r="D25" s="172"/>
      <c r="E25" s="172"/>
      <c r="F25" s="172"/>
      <c r="G25" s="179"/>
      <c r="H25" s="179"/>
      <c r="I25" s="179"/>
      <c r="J25" s="179"/>
      <c r="K25" s="179"/>
      <c r="L25" s="179"/>
      <c r="M25" s="179"/>
      <c r="N25" s="179"/>
      <c r="O25" s="179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="167" customFormat="1" ht="16.05" customHeight="1" spans="1:26">
      <c r="A26" s="172"/>
      <c r="B26" s="172" t="s">
        <v>158</v>
      </c>
      <c r="C26" s="172"/>
      <c r="D26" s="172"/>
      <c r="E26" s="172"/>
      <c r="F26" s="172"/>
      <c r="G26" s="179">
        <f t="shared" ref="G26:O26" si="3">SUM(G13:G25)+G8+G7</f>
        <v>15.6</v>
      </c>
      <c r="H26" s="179">
        <f t="shared" si="3"/>
        <v>15.6</v>
      </c>
      <c r="I26" s="179">
        <f t="shared" si="3"/>
        <v>15.6</v>
      </c>
      <c r="J26" s="179">
        <f t="shared" si="3"/>
        <v>15.6</v>
      </c>
      <c r="K26" s="179">
        <f t="shared" si="3"/>
        <v>15.6</v>
      </c>
      <c r="L26" s="179">
        <f t="shared" si="3"/>
        <v>15.6</v>
      </c>
      <c r="M26" s="179">
        <f t="shared" si="3"/>
        <v>15.6</v>
      </c>
      <c r="N26" s="179">
        <f t="shared" si="3"/>
        <v>15.6</v>
      </c>
      <c r="O26" s="179">
        <f t="shared" si="3"/>
        <v>15.6</v>
      </c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="167" customFormat="1" ht="31" customHeight="1" spans="1:26">
      <c r="A27" s="172"/>
      <c r="B27" s="57" t="s">
        <v>159</v>
      </c>
      <c r="C27" s="172"/>
      <c r="D27" s="172"/>
      <c r="E27" s="172"/>
      <c r="F27" s="172"/>
      <c r="G27" s="179">
        <f t="shared" ref="G27:O27" si="4">SUM(G13:G19)+G22</f>
        <v>0</v>
      </c>
      <c r="H27" s="179">
        <f t="shared" si="4"/>
        <v>0</v>
      </c>
      <c r="I27" s="179">
        <f t="shared" si="4"/>
        <v>0</v>
      </c>
      <c r="J27" s="179">
        <f t="shared" si="4"/>
        <v>0</v>
      </c>
      <c r="K27" s="179">
        <f t="shared" si="4"/>
        <v>0</v>
      </c>
      <c r="L27" s="179">
        <f t="shared" si="4"/>
        <v>0</v>
      </c>
      <c r="M27" s="179">
        <f t="shared" si="4"/>
        <v>0</v>
      </c>
      <c r="N27" s="179">
        <f t="shared" si="4"/>
        <v>0</v>
      </c>
      <c r="O27" s="179">
        <f t="shared" si="4"/>
        <v>0</v>
      </c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="167" customFormat="1" ht="16.05" customHeight="1" spans="1:26">
      <c r="A28" s="182"/>
      <c r="B28" s="182"/>
      <c r="C28" s="182"/>
      <c r="D28" s="182"/>
      <c r="E28" s="182"/>
      <c r="F28" s="182"/>
      <c r="G28" s="183"/>
      <c r="H28" s="183"/>
      <c r="I28" s="183"/>
      <c r="J28" s="183"/>
      <c r="K28" s="183"/>
      <c r="L28" s="183"/>
      <c r="M28" s="183"/>
      <c r="N28" s="183"/>
      <c r="O28" s="183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="167" customFormat="1" ht="16.05" customHeight="1" spans="1:26">
      <c r="A29" s="182"/>
      <c r="B29" s="182"/>
      <c r="C29" s="182"/>
      <c r="D29" s="182"/>
      <c r="E29" s="182"/>
      <c r="F29" s="182"/>
      <c r="G29" s="183"/>
      <c r="H29" s="183"/>
      <c r="I29" s="183"/>
      <c r="J29" s="183"/>
      <c r="K29" s="183"/>
      <c r="L29" s="183"/>
      <c r="M29" s="183"/>
      <c r="N29" s="183"/>
      <c r="O29" s="183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="167" customFormat="1" ht="16.05" customHeight="1" spans="1:26">
      <c r="A30" s="182"/>
      <c r="B30" s="182" t="s">
        <v>160</v>
      </c>
      <c r="C30" s="182"/>
      <c r="D30" s="182"/>
      <c r="E30" s="182"/>
      <c r="F30" s="182"/>
      <c r="G30" s="183">
        <f t="shared" ref="G30:O30" si="5">G26</f>
        <v>15.6</v>
      </c>
      <c r="H30" s="183">
        <f t="shared" si="5"/>
        <v>15.6</v>
      </c>
      <c r="I30" s="183">
        <f t="shared" si="5"/>
        <v>15.6</v>
      </c>
      <c r="J30" s="183">
        <f t="shared" si="5"/>
        <v>15.6</v>
      </c>
      <c r="K30" s="183">
        <f t="shared" si="5"/>
        <v>15.6</v>
      </c>
      <c r="L30" s="183">
        <f t="shared" si="5"/>
        <v>15.6</v>
      </c>
      <c r="M30" s="183">
        <f t="shared" si="5"/>
        <v>15.6</v>
      </c>
      <c r="N30" s="183">
        <f t="shared" si="5"/>
        <v>15.6</v>
      </c>
      <c r="O30" s="183">
        <f t="shared" si="5"/>
        <v>15.6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="49" customFormat="1" spans="1:26">
      <c r="A31" s="170"/>
      <c r="B31" s="170"/>
      <c r="C31" s="170"/>
      <c r="D31" s="170"/>
      <c r="E31" s="170"/>
      <c r="F31" s="170"/>
      <c r="G31" s="50"/>
      <c r="H31" s="50"/>
      <c r="I31" s="50"/>
      <c r="J31" s="50"/>
      <c r="K31" s="50"/>
      <c r="L31" s="50"/>
      <c r="M31" s="170"/>
      <c r="N31" s="170"/>
    </row>
    <row r="32" s="49" customFormat="1" spans="1:26">
      <c r="A32" s="170"/>
      <c r="B32" s="170"/>
      <c r="C32" s="170"/>
      <c r="D32" s="170"/>
      <c r="E32" s="170"/>
      <c r="F32" s="170"/>
      <c r="G32" s="50"/>
      <c r="H32" s="50"/>
      <c r="I32" s="50"/>
      <c r="J32" s="50"/>
      <c r="K32" s="50"/>
      <c r="L32" s="50"/>
      <c r="M32" s="170"/>
      <c r="N32" s="170"/>
    </row>
    <row r="33" s="49" customFormat="1" spans="1:14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</row>
    <row r="34" s="49" customFormat="1" spans="1:14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</row>
    <row r="35" s="49" customFormat="1" spans="1:14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</row>
    <row r="36" s="49" customFormat="1" spans="1:14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</row>
    <row r="37" s="49" customFormat="1" spans="1:14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</row>
    <row r="38" s="49" customFormat="1" spans="1:14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</row>
    <row r="39" s="49" customFormat="1" spans="1:14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</row>
    <row r="40" s="49" customFormat="1" spans="1:14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</row>
    <row r="41" s="49" customFormat="1" spans="1:14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</row>
    <row r="42" s="49" customFormat="1" spans="1:14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</row>
    <row r="43" s="49" customFormat="1" spans="1:14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</row>
    <row r="44" s="49" customFormat="1" spans="1:14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</row>
    <row r="45" s="49" customFormat="1" spans="1:14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</row>
    <row r="46" s="49" customFormat="1" spans="1:14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</row>
    <row r="47" s="49" customFormat="1" spans="1:14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</row>
    <row r="48" s="49" customFormat="1" spans="1:14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</row>
    <row r="49" s="49" customFormat="1" spans="1:26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</row>
    <row r="50" s="49" customFormat="1" spans="1:26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</row>
    <row r="51" s="49" customFormat="1" spans="1:26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</row>
    <row r="52" s="49" customFormat="1" spans="1:26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s="49" customFormat="1" spans="1:26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</row>
    <row r="54" s="49" customFormat="1" spans="1:26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  <row r="55" s="49" customFormat="1" spans="1:26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</row>
    <row r="56" s="49" customFormat="1" spans="1:26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</row>
    <row r="57" s="49" customFormat="1" spans="1:26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</row>
    <row r="58" s="49" customFormat="1" spans="1:26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</row>
    <row r="59" s="49" customFormat="1" spans="1:26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</row>
    <row r="60" s="49" customFormat="1" spans="1:26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</row>
    <row r="61" s="49" customFormat="1" spans="1:26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</row>
    <row r="62" s="49" customFormat="1" spans="1:26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50"/>
      <c r="P62" s="50"/>
      <c r="Q62" s="50"/>
      <c r="R62" s="50"/>
      <c r="S62" s="50"/>
      <c r="T62" s="171"/>
      <c r="U62" s="170"/>
      <c r="V62" s="170"/>
      <c r="W62" s="170"/>
      <c r="X62" s="170"/>
      <c r="Y62" s="170"/>
      <c r="Z62" s="170"/>
    </row>
    <row r="63" s="49" customFormat="1" spans="1:26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50"/>
      <c r="P63" s="50"/>
      <c r="Q63" s="50"/>
      <c r="R63" s="50"/>
      <c r="S63" s="50"/>
      <c r="T63" s="171"/>
      <c r="U63" s="170"/>
      <c r="V63" s="170"/>
      <c r="W63" s="170"/>
      <c r="X63" s="170"/>
      <c r="Y63" s="170"/>
      <c r="Z63" s="170"/>
    </row>
  </sheetData>
  <sheetProtection formatCells="0" insertHyperlinks="0" autoFilter="0"/>
  <mergeCells count="9">
    <mergeCell ref="A2:K2"/>
    <mergeCell ref="G4:O4"/>
    <mergeCell ref="E31:F31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1" sqref="A1:J1"/>
    </sheetView>
  </sheetViews>
  <sheetFormatPr defaultColWidth="8.63333333333333" defaultRowHeight="13.5"/>
  <cols>
    <col min="1" max="1" width="8.7" style="42" customWidth="1"/>
    <col min="2" max="2" width="18.7583333333333" style="42" customWidth="1"/>
    <col min="3" max="3" width="10.5" style="42" customWidth="1"/>
    <col min="4" max="6" width="9.25833333333333" style="42" customWidth="1"/>
    <col min="7" max="7" width="10.5" style="42" customWidth="1"/>
    <col min="8" max="8" width="5.5" style="96" customWidth="1"/>
    <col min="9" max="9" width="9.86666666666667" style="42" customWidth="1"/>
    <col min="10" max="10" width="10.3666666666667" style="108" customWidth="1"/>
    <col min="11" max="11" width="10.925" style="73" customWidth="1"/>
    <col min="12" max="13" width="10.925" style="109" customWidth="1"/>
    <col min="14" max="14" width="10.275" style="73" customWidth="1"/>
    <col min="15" max="15" width="8.63333333333333" style="73"/>
    <col min="16" max="16" width="14.3333333333333" style="73"/>
    <col min="17" max="26" width="8.63333333333333" style="73"/>
  </cols>
  <sheetData>
    <row r="1" ht="23.25" customHeight="1" spans="1:13">
      <c r="A1" s="110" t="s">
        <v>161</v>
      </c>
      <c r="B1" s="110"/>
      <c r="C1" s="110"/>
      <c r="D1" s="110"/>
      <c r="E1" s="110"/>
      <c r="F1" s="110"/>
      <c r="G1" s="110"/>
      <c r="H1" s="111"/>
      <c r="I1" s="110"/>
      <c r="J1" s="112"/>
    </row>
    <row r="2" ht="20.1" customHeight="1" spans="1:13">
      <c r="A2" s="113" t="s">
        <v>155</v>
      </c>
      <c r="B2" s="113"/>
      <c r="C2" s="113"/>
      <c r="D2" s="113"/>
      <c r="E2" s="113"/>
      <c r="F2" s="113"/>
      <c r="G2" s="113"/>
      <c r="H2" s="114"/>
      <c r="I2" s="113"/>
      <c r="J2" s="115"/>
    </row>
    <row r="3" s="107" customFormat="1" ht="27.4" customHeight="1" spans="1:13">
      <c r="A3" s="116" t="s">
        <v>105</v>
      </c>
      <c r="B3" s="116" t="s">
        <v>162</v>
      </c>
      <c r="C3" s="116" t="s">
        <v>163</v>
      </c>
      <c r="D3" s="116" t="s">
        <v>164</v>
      </c>
      <c r="E3" s="116" t="s">
        <v>165</v>
      </c>
      <c r="F3" s="116" t="s">
        <v>166</v>
      </c>
      <c r="G3" s="116" t="s">
        <v>160</v>
      </c>
      <c r="H3" s="116" t="s">
        <v>107</v>
      </c>
      <c r="I3" s="116" t="s">
        <v>167</v>
      </c>
      <c r="J3" s="117" t="s">
        <v>168</v>
      </c>
      <c r="L3" s="118"/>
      <c r="M3" s="118"/>
    </row>
    <row r="4" ht="12" customHeight="1" spans="1:13">
      <c r="A4" s="34" t="s">
        <v>113</v>
      </c>
      <c r="B4" s="119" t="s">
        <v>86</v>
      </c>
      <c r="C4" s="120">
        <f>C5+C7</f>
        <v>501</v>
      </c>
      <c r="D4" s="120">
        <f>D5+D7</f>
        <v>662.75</v>
      </c>
      <c r="E4" s="120">
        <f>E5+E7</f>
        <v>6718.00692</v>
      </c>
      <c r="F4" s="120"/>
      <c r="G4" s="121">
        <f>C4+D4+E4+F4</f>
        <v>7881.75692</v>
      </c>
      <c r="H4" s="122">
        <f>G4/G54</f>
        <v>0.877525269233223</v>
      </c>
      <c r="I4" s="123"/>
      <c r="J4" s="124"/>
    </row>
    <row r="5" ht="12" customHeight="1" spans="1:13">
      <c r="A5" s="125" t="s">
        <v>169</v>
      </c>
      <c r="B5" s="119" t="s">
        <v>170</v>
      </c>
      <c r="C5" s="120">
        <v>0</v>
      </c>
      <c r="D5" s="120">
        <v>0</v>
      </c>
      <c r="E5" s="120">
        <v>0</v>
      </c>
      <c r="F5" s="120"/>
      <c r="G5" s="126">
        <f>C5+D5+E5+F5</f>
        <v>0</v>
      </c>
      <c r="H5" s="122"/>
      <c r="I5" s="123"/>
      <c r="J5" s="127"/>
    </row>
    <row r="6" ht="12" customHeight="1" spans="1:13">
      <c r="A6" s="119"/>
      <c r="B6" s="119"/>
      <c r="C6" s="120"/>
      <c r="D6" s="120"/>
      <c r="E6" s="120"/>
      <c r="F6" s="120"/>
      <c r="G6" s="126"/>
      <c r="H6" s="122"/>
      <c r="I6" s="123"/>
      <c r="J6" s="127"/>
    </row>
    <row r="7" ht="12" customHeight="1" spans="1:13">
      <c r="A7" s="125" t="s">
        <v>171</v>
      </c>
      <c r="B7" s="125" t="s">
        <v>172</v>
      </c>
      <c r="C7" s="120">
        <f>C8+C31+C24+C32</f>
        <v>501</v>
      </c>
      <c r="D7" s="120">
        <f>D8+D31+D24+D32</f>
        <v>662.75</v>
      </c>
      <c r="E7" s="120">
        <f>E8+E31+E24+E32</f>
        <v>6718.00692</v>
      </c>
      <c r="F7" s="120"/>
      <c r="G7" s="126">
        <f>C7+D7+E7+F7</f>
        <v>7881.75692</v>
      </c>
      <c r="H7" s="122"/>
      <c r="I7" s="123"/>
      <c r="J7" s="127"/>
    </row>
    <row r="8" s="69" customFormat="1" spans="1:13">
      <c r="A8" s="128">
        <v>1</v>
      </c>
      <c r="B8" s="128" t="s">
        <v>173</v>
      </c>
      <c r="C8" s="83">
        <f>SUM(C9:C23)</f>
        <v>321</v>
      </c>
      <c r="D8" s="83">
        <f>SUM(D9:D23)</f>
        <v>520</v>
      </c>
      <c r="E8" s="83">
        <f>SUM(E9:E23)</f>
        <v>6119.81692</v>
      </c>
      <c r="F8" s="128" t="s">
        <v>174</v>
      </c>
      <c r="G8" s="83">
        <f t="shared" ref="G8:G35" si="0">SUM(C8:F8)</f>
        <v>6960.81692</v>
      </c>
      <c r="H8" s="129" t="s">
        <v>175</v>
      </c>
      <c r="I8" s="130">
        <v>26000</v>
      </c>
      <c r="J8" s="131">
        <f>G8/I8</f>
        <v>0.267723727692308</v>
      </c>
      <c r="L8" s="132"/>
      <c r="M8" s="132"/>
    </row>
    <row r="9" s="69" customFormat="1" spans="1:13">
      <c r="A9" s="133">
        <f t="shared" ref="A9:A17" si="1">A8+0.1</f>
        <v>1.1</v>
      </c>
      <c r="B9" s="133" t="s">
        <v>176</v>
      </c>
      <c r="C9" s="133" t="s">
        <v>174</v>
      </c>
      <c r="D9" s="133" t="s">
        <v>174</v>
      </c>
      <c r="E9" s="85">
        <f t="shared" ref="E9:E21" si="2">I9*J9</f>
        <v>3656.4</v>
      </c>
      <c r="F9" s="133" t="s">
        <v>174</v>
      </c>
      <c r="G9" s="133">
        <f t="shared" si="0"/>
        <v>3656.4</v>
      </c>
      <c r="H9" s="95" t="s">
        <v>177</v>
      </c>
      <c r="I9" s="134">
        <v>48752</v>
      </c>
      <c r="J9" s="135">
        <v>0.075</v>
      </c>
      <c r="L9" s="136"/>
      <c r="M9" s="132"/>
    </row>
    <row r="10" s="69" customFormat="1" spans="1:13">
      <c r="A10" s="133">
        <f t="shared" si="1"/>
        <v>1.2</v>
      </c>
      <c r="B10" s="133" t="s">
        <v>178</v>
      </c>
      <c r="C10" s="133" t="s">
        <v>174</v>
      </c>
      <c r="D10" s="133" t="s">
        <v>174</v>
      </c>
      <c r="E10" s="85">
        <f t="shared" si="2"/>
        <v>352.16</v>
      </c>
      <c r="F10" s="133" t="s">
        <v>174</v>
      </c>
      <c r="G10" s="133">
        <f t="shared" si="0"/>
        <v>352.16</v>
      </c>
      <c r="H10" s="95" t="s">
        <v>179</v>
      </c>
      <c r="I10" s="134">
        <v>248</v>
      </c>
      <c r="J10" s="135">
        <v>1.42</v>
      </c>
      <c r="L10" s="136"/>
      <c r="M10" s="132"/>
    </row>
    <row r="11" s="69" customFormat="1" spans="1:13">
      <c r="A11" s="133">
        <f t="shared" si="1"/>
        <v>1.3</v>
      </c>
      <c r="B11" s="133" t="s">
        <v>180</v>
      </c>
      <c r="C11" s="133" t="s">
        <v>174</v>
      </c>
      <c r="D11" s="133" t="s">
        <v>174</v>
      </c>
      <c r="E11" s="85">
        <f t="shared" si="2"/>
        <v>40.404</v>
      </c>
      <c r="F11" s="133" t="s">
        <v>174</v>
      </c>
      <c r="G11" s="133">
        <f t="shared" si="0"/>
        <v>40.404</v>
      </c>
      <c r="H11" s="95" t="s">
        <v>179</v>
      </c>
      <c r="I11" s="134">
        <v>39</v>
      </c>
      <c r="J11" s="135">
        <v>1.036</v>
      </c>
      <c r="L11" s="136"/>
      <c r="M11" s="132"/>
    </row>
    <row r="12" s="69" customFormat="1" spans="1:13">
      <c r="A12" s="133">
        <f t="shared" si="1"/>
        <v>1.4</v>
      </c>
      <c r="B12" s="133" t="s">
        <v>181</v>
      </c>
      <c r="C12" s="133" t="s">
        <v>174</v>
      </c>
      <c r="D12" s="133" t="s">
        <v>174</v>
      </c>
      <c r="E12" s="85">
        <f t="shared" si="2"/>
        <v>685.419</v>
      </c>
      <c r="F12" s="133" t="s">
        <v>174</v>
      </c>
      <c r="G12" s="85">
        <f t="shared" si="0"/>
        <v>685.419</v>
      </c>
      <c r="H12" s="95" t="s">
        <v>182</v>
      </c>
      <c r="I12" s="134">
        <v>381</v>
      </c>
      <c r="J12" s="135">
        <v>1.799</v>
      </c>
      <c r="L12" s="136"/>
      <c r="M12" s="132"/>
    </row>
    <row r="13" s="69" customFormat="1" spans="1:13">
      <c r="A13" s="133">
        <f t="shared" si="1"/>
        <v>1.5</v>
      </c>
      <c r="B13" s="133" t="s">
        <v>183</v>
      </c>
      <c r="C13" s="133" t="s">
        <v>174</v>
      </c>
      <c r="D13" s="133" t="s">
        <v>174</v>
      </c>
      <c r="E13" s="85">
        <f t="shared" si="2"/>
        <v>48.015</v>
      </c>
      <c r="F13" s="133" t="s">
        <v>174</v>
      </c>
      <c r="G13" s="133">
        <f t="shared" si="0"/>
        <v>48.015</v>
      </c>
      <c r="H13" s="95" t="s">
        <v>182</v>
      </c>
      <c r="I13" s="134">
        <v>8.73</v>
      </c>
      <c r="J13" s="135">
        <v>5.5</v>
      </c>
      <c r="L13" s="136"/>
      <c r="M13" s="132"/>
    </row>
    <row r="14" s="69" customFormat="1" spans="1:13">
      <c r="A14" s="133">
        <f t="shared" si="1"/>
        <v>1.6</v>
      </c>
      <c r="B14" s="133" t="s">
        <v>184</v>
      </c>
      <c r="C14" s="133" t="s">
        <v>174</v>
      </c>
      <c r="D14" s="133" t="s">
        <v>174</v>
      </c>
      <c r="E14" s="85">
        <f t="shared" si="2"/>
        <v>58.58292</v>
      </c>
      <c r="F14" s="133" t="s">
        <v>174</v>
      </c>
      <c r="G14" s="133">
        <f t="shared" si="0"/>
        <v>58.58292</v>
      </c>
      <c r="H14" s="95" t="s">
        <v>138</v>
      </c>
      <c r="I14" s="134">
        <v>2662.86</v>
      </c>
      <c r="J14" s="135">
        <v>0.022</v>
      </c>
      <c r="L14" s="136"/>
      <c r="M14" s="132"/>
    </row>
    <row r="15" s="69" customFormat="1" spans="1:13">
      <c r="A15" s="133">
        <f t="shared" si="1"/>
        <v>1.7</v>
      </c>
      <c r="B15" s="133" t="s">
        <v>185</v>
      </c>
      <c r="C15" s="133" t="s">
        <v>174</v>
      </c>
      <c r="D15" s="133" t="s">
        <v>174</v>
      </c>
      <c r="E15" s="85">
        <f t="shared" si="2"/>
        <v>637.875</v>
      </c>
      <c r="F15" s="133" t="s">
        <v>174</v>
      </c>
      <c r="G15" s="133">
        <f t="shared" si="0"/>
        <v>637.875</v>
      </c>
      <c r="H15" s="95" t="s">
        <v>182</v>
      </c>
      <c r="I15" s="134">
        <v>35</v>
      </c>
      <c r="J15" s="135">
        <v>18.225</v>
      </c>
      <c r="L15" s="136"/>
      <c r="M15" s="132"/>
    </row>
    <row r="16" s="69" customFormat="1" spans="1:13">
      <c r="A16" s="133">
        <f t="shared" si="1"/>
        <v>1.8</v>
      </c>
      <c r="B16" s="133" t="s">
        <v>186</v>
      </c>
      <c r="C16" s="133" t="s">
        <v>174</v>
      </c>
      <c r="D16" s="133" t="s">
        <v>174</v>
      </c>
      <c r="E16" s="85">
        <f t="shared" si="2"/>
        <v>81.04</v>
      </c>
      <c r="F16" s="133" t="s">
        <v>174</v>
      </c>
      <c r="G16" s="133">
        <f t="shared" si="0"/>
        <v>81.04</v>
      </c>
      <c r="H16" s="95" t="s">
        <v>179</v>
      </c>
      <c r="I16" s="134">
        <v>4</v>
      </c>
      <c r="J16" s="135">
        <v>20.26</v>
      </c>
      <c r="M16" s="132"/>
    </row>
    <row r="17" s="69" customFormat="1" spans="1:13">
      <c r="A17" s="133">
        <f t="shared" si="1"/>
        <v>1.9</v>
      </c>
      <c r="B17" s="133" t="s">
        <v>187</v>
      </c>
      <c r="C17" s="133" t="s">
        <v>174</v>
      </c>
      <c r="D17" s="133" t="s">
        <v>174</v>
      </c>
      <c r="E17" s="85">
        <f t="shared" si="2"/>
        <v>20.528</v>
      </c>
      <c r="F17" s="133" t="s">
        <v>174</v>
      </c>
      <c r="G17" s="133">
        <f t="shared" si="0"/>
        <v>20.528</v>
      </c>
      <c r="H17" s="95" t="s">
        <v>179</v>
      </c>
      <c r="I17" s="134">
        <v>4</v>
      </c>
      <c r="J17" s="135">
        <v>5.132</v>
      </c>
      <c r="M17" s="132"/>
    </row>
    <row r="18" s="69" customFormat="1" spans="1:13">
      <c r="A18" s="85">
        <f>1.1</f>
        <v>1.1</v>
      </c>
      <c r="B18" s="133" t="s">
        <v>188</v>
      </c>
      <c r="C18" s="133" t="s">
        <v>174</v>
      </c>
      <c r="D18" s="133" t="s">
        <v>174</v>
      </c>
      <c r="E18" s="85">
        <f t="shared" si="2"/>
        <v>20</v>
      </c>
      <c r="F18" s="133" t="s">
        <v>174</v>
      </c>
      <c r="G18" s="133">
        <f t="shared" si="0"/>
        <v>20</v>
      </c>
      <c r="H18" s="95" t="s">
        <v>179</v>
      </c>
      <c r="I18" s="134">
        <v>4</v>
      </c>
      <c r="J18" s="135">
        <v>5</v>
      </c>
      <c r="M18" s="132"/>
    </row>
    <row r="19" s="69" customFormat="1" spans="1:13">
      <c r="A19" s="85">
        <f>1.12</f>
        <v>1.12</v>
      </c>
      <c r="B19" s="133" t="s">
        <v>189</v>
      </c>
      <c r="C19" s="133" t="s">
        <v>174</v>
      </c>
      <c r="D19" s="133" t="s">
        <v>174</v>
      </c>
      <c r="E19" s="85">
        <f t="shared" si="2"/>
        <v>18.844</v>
      </c>
      <c r="F19" s="133" t="s">
        <v>174</v>
      </c>
      <c r="G19" s="133">
        <f t="shared" si="0"/>
        <v>18.844</v>
      </c>
      <c r="H19" s="95" t="s">
        <v>179</v>
      </c>
      <c r="I19" s="134">
        <v>4</v>
      </c>
      <c r="J19" s="135">
        <v>4.711</v>
      </c>
      <c r="M19" s="132"/>
    </row>
    <row r="20" s="69" customFormat="1" spans="1:13">
      <c r="A20" s="85">
        <f>1.13</f>
        <v>1.13</v>
      </c>
      <c r="B20" s="133" t="s">
        <v>190</v>
      </c>
      <c r="C20" s="133" t="s">
        <v>174</v>
      </c>
      <c r="D20" s="133" t="s">
        <v>174</v>
      </c>
      <c r="E20" s="85">
        <f t="shared" si="2"/>
        <v>140</v>
      </c>
      <c r="F20" s="133" t="s">
        <v>174</v>
      </c>
      <c r="G20" s="133">
        <f t="shared" si="0"/>
        <v>140</v>
      </c>
      <c r="H20" s="95" t="s">
        <v>179</v>
      </c>
      <c r="I20" s="134">
        <v>4</v>
      </c>
      <c r="J20" s="135">
        <v>35</v>
      </c>
      <c r="M20" s="132"/>
    </row>
    <row r="21" s="69" customFormat="1" spans="1:13">
      <c r="A21" s="85">
        <v>1.15</v>
      </c>
      <c r="B21" s="133" t="s">
        <v>191</v>
      </c>
      <c r="C21" s="133" t="s">
        <v>174</v>
      </c>
      <c r="D21" s="133" t="s">
        <v>174</v>
      </c>
      <c r="E21" s="85">
        <f t="shared" si="2"/>
        <v>360.549</v>
      </c>
      <c r="F21" s="133" t="s">
        <v>174</v>
      </c>
      <c r="G21" s="133">
        <f t="shared" si="0"/>
        <v>360.549</v>
      </c>
      <c r="H21" s="95" t="s">
        <v>182</v>
      </c>
      <c r="I21" s="134">
        <v>8.73</v>
      </c>
      <c r="J21" s="135">
        <v>41.3</v>
      </c>
      <c r="L21" s="136"/>
      <c r="M21" s="132"/>
    </row>
    <row r="22" s="69" customFormat="1" spans="1:13">
      <c r="A22" s="85">
        <v>1.16</v>
      </c>
      <c r="B22" s="133" t="s">
        <v>192</v>
      </c>
      <c r="C22" s="133">
        <f>I22*J22</f>
        <v>321</v>
      </c>
      <c r="D22" s="133" t="s">
        <v>174</v>
      </c>
      <c r="E22" s="85" t="s">
        <v>174</v>
      </c>
      <c r="F22" s="133" t="s">
        <v>174</v>
      </c>
      <c r="G22" s="133">
        <f t="shared" si="0"/>
        <v>321</v>
      </c>
      <c r="H22" s="95" t="s">
        <v>193</v>
      </c>
      <c r="I22" s="134">
        <v>4</v>
      </c>
      <c r="J22" s="135">
        <v>80.25</v>
      </c>
      <c r="L22" s="136"/>
      <c r="M22" s="132"/>
    </row>
    <row r="23" s="69" customFormat="1" spans="1:13">
      <c r="A23" s="128"/>
      <c r="B23" s="133" t="s">
        <v>194</v>
      </c>
      <c r="C23" s="133" t="s">
        <v>174</v>
      </c>
      <c r="D23" s="85">
        <f>I23*J23</f>
        <v>520</v>
      </c>
      <c r="E23" s="133" t="s">
        <v>174</v>
      </c>
      <c r="F23" s="133" t="s">
        <v>174</v>
      </c>
      <c r="G23" s="85">
        <f t="shared" si="0"/>
        <v>520</v>
      </c>
      <c r="H23" s="95" t="s">
        <v>175</v>
      </c>
      <c r="I23" s="134">
        <v>26000</v>
      </c>
      <c r="J23" s="135">
        <v>0.02</v>
      </c>
      <c r="L23" s="132"/>
      <c r="M23" s="132"/>
    </row>
    <row r="24" s="69" customFormat="1" spans="1:13">
      <c r="A24" s="128">
        <v>2</v>
      </c>
      <c r="B24" s="128" t="s">
        <v>195</v>
      </c>
      <c r="C24" s="128"/>
      <c r="D24" s="128">
        <f>SUM(D25:D30)</f>
        <v>130</v>
      </c>
      <c r="E24" s="128">
        <f>SUM(E25:E30)</f>
        <v>409.5</v>
      </c>
      <c r="F24" s="128"/>
      <c r="G24" s="128">
        <f t="shared" si="0"/>
        <v>539.5</v>
      </c>
      <c r="H24" s="129" t="s">
        <v>196</v>
      </c>
      <c r="I24" s="130">
        <v>6000</v>
      </c>
      <c r="J24" s="137">
        <f>G24/I24</f>
        <v>0.0899166666666667</v>
      </c>
      <c r="L24" s="132"/>
      <c r="M24" s="132"/>
    </row>
    <row r="25" s="69" customFormat="1" spans="1:13">
      <c r="A25" s="133">
        <f t="shared" ref="A25:A30" si="3">A24+0.1</f>
        <v>2.1</v>
      </c>
      <c r="B25" s="133" t="s">
        <v>197</v>
      </c>
      <c r="C25" s="133" t="s">
        <v>174</v>
      </c>
      <c r="D25" s="133" t="s">
        <v>174</v>
      </c>
      <c r="E25" s="133">
        <f>I25*J25</f>
        <v>229.5</v>
      </c>
      <c r="F25" s="133" t="s">
        <v>174</v>
      </c>
      <c r="G25" s="133">
        <f t="shared" si="0"/>
        <v>229.5</v>
      </c>
      <c r="H25" s="95" t="s">
        <v>198</v>
      </c>
      <c r="I25" s="138">
        <v>3</v>
      </c>
      <c r="J25" s="134">
        <v>76.5</v>
      </c>
      <c r="L25" s="136"/>
      <c r="M25" s="132"/>
    </row>
    <row r="26" s="69" customFormat="1" spans="1:13">
      <c r="A26" s="133">
        <f t="shared" si="3"/>
        <v>2.2</v>
      </c>
      <c r="B26" s="133" t="s">
        <v>199</v>
      </c>
      <c r="C26" s="133" t="s">
        <v>174</v>
      </c>
      <c r="D26" s="133" t="s">
        <v>174</v>
      </c>
      <c r="E26" s="133">
        <f>I26*J26</f>
        <v>45</v>
      </c>
      <c r="F26" s="133" t="s">
        <v>174</v>
      </c>
      <c r="G26" s="133">
        <f t="shared" si="0"/>
        <v>45</v>
      </c>
      <c r="H26" s="95" t="s">
        <v>198</v>
      </c>
      <c r="I26" s="138">
        <f>I25</f>
        <v>3</v>
      </c>
      <c r="J26" s="134">
        <v>15</v>
      </c>
      <c r="L26" s="136"/>
      <c r="M26" s="132"/>
    </row>
    <row r="27" s="69" customFormat="1" spans="1:13">
      <c r="A27" s="133">
        <f t="shared" si="3"/>
        <v>2.3</v>
      </c>
      <c r="B27" s="133" t="s">
        <v>200</v>
      </c>
      <c r="C27" s="133" t="s">
        <v>174</v>
      </c>
      <c r="D27" s="133" t="s">
        <v>174</v>
      </c>
      <c r="E27" s="133">
        <f>I27*J27</f>
        <v>30</v>
      </c>
      <c r="F27" s="133" t="s">
        <v>174</v>
      </c>
      <c r="G27" s="133">
        <f t="shared" si="0"/>
        <v>30</v>
      </c>
      <c r="H27" s="95" t="s">
        <v>198</v>
      </c>
      <c r="I27" s="138">
        <f>I26</f>
        <v>3</v>
      </c>
      <c r="J27" s="134">
        <v>10</v>
      </c>
      <c r="L27" s="136"/>
      <c r="M27" s="132"/>
    </row>
    <row r="28" s="69" customFormat="1" spans="1:13">
      <c r="A28" s="133">
        <f t="shared" si="3"/>
        <v>2.4</v>
      </c>
      <c r="B28" s="133" t="s">
        <v>201</v>
      </c>
      <c r="C28" s="133" t="s">
        <v>174</v>
      </c>
      <c r="D28" s="133" t="s">
        <v>174</v>
      </c>
      <c r="E28" s="133">
        <f>I28*J28</f>
        <v>45</v>
      </c>
      <c r="F28" s="133" t="s">
        <v>174</v>
      </c>
      <c r="G28" s="133">
        <f t="shared" si="0"/>
        <v>45</v>
      </c>
      <c r="H28" s="139" t="s">
        <v>198</v>
      </c>
      <c r="I28" s="140">
        <f>I27</f>
        <v>3</v>
      </c>
      <c r="J28" s="141">
        <v>15</v>
      </c>
      <c r="L28" s="136"/>
      <c r="M28" s="132"/>
    </row>
    <row r="29" s="69" customFormat="1" spans="1:13">
      <c r="A29" s="133">
        <f t="shared" si="3"/>
        <v>2.5</v>
      </c>
      <c r="B29" s="133" t="s">
        <v>202</v>
      </c>
      <c r="C29" s="133" t="s">
        <v>174</v>
      </c>
      <c r="D29" s="133" t="s">
        <v>174</v>
      </c>
      <c r="E29" s="133">
        <f>I29*J29</f>
        <v>60</v>
      </c>
      <c r="F29" s="133" t="s">
        <v>174</v>
      </c>
      <c r="G29" s="133">
        <f t="shared" si="0"/>
        <v>60</v>
      </c>
      <c r="H29" s="95" t="s">
        <v>198</v>
      </c>
      <c r="I29" s="138">
        <f>I28</f>
        <v>3</v>
      </c>
      <c r="J29" s="134">
        <v>20</v>
      </c>
      <c r="L29" s="136"/>
      <c r="M29" s="132"/>
    </row>
    <row r="30" s="69" customFormat="1" spans="1:13">
      <c r="A30" s="133">
        <f t="shared" si="3"/>
        <v>2.6</v>
      </c>
      <c r="B30" s="133" t="s">
        <v>203</v>
      </c>
      <c r="C30" s="133" t="s">
        <v>174</v>
      </c>
      <c r="D30" s="133">
        <v>130</v>
      </c>
      <c r="E30" s="133" t="s">
        <v>174</v>
      </c>
      <c r="F30" s="133" t="s">
        <v>174</v>
      </c>
      <c r="G30" s="133">
        <f t="shared" si="0"/>
        <v>130</v>
      </c>
      <c r="H30" s="95" t="s">
        <v>198</v>
      </c>
      <c r="I30" s="138">
        <f>I29</f>
        <v>3</v>
      </c>
      <c r="J30" s="134">
        <v>10</v>
      </c>
      <c r="L30" s="136"/>
      <c r="M30" s="132"/>
    </row>
    <row r="31" s="69" customFormat="1" spans="1:13">
      <c r="A31" s="128">
        <v>3</v>
      </c>
      <c r="B31" s="128" t="s">
        <v>204</v>
      </c>
      <c r="C31" s="128">
        <f>J31*I31</f>
        <v>180</v>
      </c>
      <c r="D31" s="128"/>
      <c r="E31" s="128"/>
      <c r="F31" s="128"/>
      <c r="G31" s="128">
        <f t="shared" si="0"/>
        <v>180</v>
      </c>
      <c r="H31" s="129" t="s">
        <v>71</v>
      </c>
      <c r="I31" s="142">
        <v>300</v>
      </c>
      <c r="J31" s="143">
        <v>0.6</v>
      </c>
      <c r="K31" s="144"/>
      <c r="L31" s="132"/>
      <c r="M31" s="132"/>
    </row>
    <row r="32" s="69" customFormat="1" spans="1:13">
      <c r="A32" s="128">
        <v>4</v>
      </c>
      <c r="B32" s="128" t="s">
        <v>205</v>
      </c>
      <c r="C32" s="83">
        <f>SUM(C33:C35)</f>
        <v>0</v>
      </c>
      <c r="D32" s="83">
        <f>SUM(D33:D35)</f>
        <v>12.75</v>
      </c>
      <c r="E32" s="83">
        <f>SUM(E33:E35)</f>
        <v>188.69</v>
      </c>
      <c r="F32" s="83">
        <f>SUM(F33:F35)</f>
        <v>0</v>
      </c>
      <c r="G32" s="83">
        <f t="shared" si="0"/>
        <v>201.44</v>
      </c>
      <c r="H32" s="95" t="s">
        <v>206</v>
      </c>
      <c r="I32" s="145">
        <v>5551.3</v>
      </c>
      <c r="J32" s="145">
        <v>0.227</v>
      </c>
      <c r="L32" s="132"/>
      <c r="M32" s="132"/>
    </row>
    <row r="33" s="69" customFormat="1" spans="1:13">
      <c r="A33" s="133">
        <f>A32+0.1</f>
        <v>4.1</v>
      </c>
      <c r="B33" s="133" t="s">
        <v>207</v>
      </c>
      <c r="C33" s="133"/>
      <c r="D33" s="133">
        <f>I33*J33*0.15</f>
        <v>6</v>
      </c>
      <c r="E33" s="133">
        <f>J33*I33*0.85</f>
        <v>34</v>
      </c>
      <c r="F33" s="133"/>
      <c r="G33" s="133">
        <f t="shared" si="0"/>
        <v>40</v>
      </c>
      <c r="H33" s="95" t="s">
        <v>179</v>
      </c>
      <c r="I33" s="145">
        <v>1</v>
      </c>
      <c r="J33" s="145">
        <v>40</v>
      </c>
      <c r="L33" s="136"/>
      <c r="M33" s="132"/>
    </row>
    <row r="34" s="69" customFormat="1" spans="1:13">
      <c r="A34" s="133">
        <f>A33+0.1</f>
        <v>4.2</v>
      </c>
      <c r="B34" s="133" t="s">
        <v>208</v>
      </c>
      <c r="C34" s="85"/>
      <c r="D34" s="133">
        <f>I34*J34*0.15</f>
        <v>6.75</v>
      </c>
      <c r="E34" s="133">
        <f>J34*I34*0.85</f>
        <v>38.25</v>
      </c>
      <c r="F34" s="133"/>
      <c r="G34" s="133">
        <f t="shared" si="0"/>
        <v>45</v>
      </c>
      <c r="H34" s="95" t="s">
        <v>209</v>
      </c>
      <c r="I34" s="145">
        <v>1000</v>
      </c>
      <c r="J34" s="145">
        <v>0.045</v>
      </c>
      <c r="L34" s="136"/>
      <c r="M34" s="132"/>
    </row>
    <row r="35" s="69" customFormat="1" spans="1:13">
      <c r="A35" s="133">
        <f>A34+0.1</f>
        <v>4.3</v>
      </c>
      <c r="B35" s="133" t="s">
        <v>185</v>
      </c>
      <c r="C35" s="133" t="s">
        <v>174</v>
      </c>
      <c r="D35" s="133" t="s">
        <v>174</v>
      </c>
      <c r="E35" s="85">
        <f>I35*J35</f>
        <v>116.44</v>
      </c>
      <c r="F35" s="133" t="s">
        <v>174</v>
      </c>
      <c r="G35" s="133">
        <f t="shared" si="0"/>
        <v>116.44</v>
      </c>
      <c r="H35" s="95" t="s">
        <v>182</v>
      </c>
      <c r="I35" s="134">
        <v>8.2</v>
      </c>
      <c r="J35" s="134">
        <v>14.2</v>
      </c>
      <c r="L35" s="136"/>
      <c r="M35" s="132"/>
    </row>
    <row r="36" s="69" customFormat="1" ht="14.1" customHeight="1" spans="1:13">
      <c r="A36" s="119" t="s">
        <v>121</v>
      </c>
      <c r="B36" s="119" t="s">
        <v>87</v>
      </c>
      <c r="C36" s="120"/>
      <c r="D36" s="120"/>
      <c r="E36" s="120"/>
      <c r="F36" s="120">
        <f>SUM(F37:F46)</f>
        <v>520.19595672</v>
      </c>
      <c r="G36" s="120">
        <f t="shared" ref="G36:G46" si="4">C36+D36+E36+F36</f>
        <v>520.19595672</v>
      </c>
      <c r="H36" s="122">
        <f>G36/G54</f>
        <v>0.0579166677693927</v>
      </c>
      <c r="I36" s="123"/>
      <c r="J36" s="124"/>
      <c r="K36" s="146"/>
      <c r="L36" s="147"/>
      <c r="M36" s="132"/>
    </row>
    <row r="37" ht="14.1" customHeight="1" spans="1:13">
      <c r="A37" s="34">
        <v>1</v>
      </c>
      <c r="B37" s="133" t="s">
        <v>210</v>
      </c>
      <c r="C37" s="48"/>
      <c r="D37" s="48"/>
      <c r="E37" s="48"/>
      <c r="F37" s="85">
        <f>G4*0.01</f>
        <v>78.8175692</v>
      </c>
      <c r="G37" s="48">
        <f t="shared" si="4"/>
        <v>78.8175692</v>
      </c>
      <c r="H37" s="148"/>
      <c r="I37" s="149"/>
      <c r="J37" s="150"/>
      <c r="K37" s="151"/>
      <c r="L37" s="152"/>
    </row>
    <row r="38" ht="14.1" customHeight="1" spans="1:13">
      <c r="A38" s="34">
        <v>2</v>
      </c>
      <c r="B38" s="133" t="s">
        <v>211</v>
      </c>
      <c r="C38" s="48"/>
      <c r="D38" s="48"/>
      <c r="E38" s="48"/>
      <c r="F38" s="85">
        <f>G4*0.006</f>
        <v>47.29054152</v>
      </c>
      <c r="G38" s="48">
        <f t="shared" si="4"/>
        <v>47.29054152</v>
      </c>
      <c r="H38" s="153"/>
      <c r="I38" s="154"/>
      <c r="J38" s="155"/>
    </row>
    <row r="39" ht="14.1" customHeight="1" spans="1:13">
      <c r="A39" s="34">
        <v>3</v>
      </c>
      <c r="B39" s="133" t="s">
        <v>212</v>
      </c>
      <c r="C39" s="48"/>
      <c r="D39" s="48"/>
      <c r="E39" s="48"/>
      <c r="F39" s="85">
        <f>G4*0.005</f>
        <v>39.4087846</v>
      </c>
      <c r="G39" s="48">
        <f t="shared" si="4"/>
        <v>39.4087846</v>
      </c>
      <c r="H39" s="153"/>
      <c r="I39" s="154"/>
      <c r="J39" s="155"/>
    </row>
    <row r="40" ht="14.1" customHeight="1" spans="1:13">
      <c r="A40" s="34">
        <v>4</v>
      </c>
      <c r="B40" s="133" t="s">
        <v>213</v>
      </c>
      <c r="C40" s="48"/>
      <c r="D40" s="48"/>
      <c r="E40" s="48"/>
      <c r="F40" s="85">
        <f>G4*0.008</f>
        <v>63.05405536</v>
      </c>
      <c r="G40" s="48">
        <f t="shared" si="4"/>
        <v>63.05405536</v>
      </c>
      <c r="H40" s="153"/>
      <c r="I40" s="154"/>
      <c r="J40" s="156"/>
      <c r="L40"/>
      <c r="M40"/>
    </row>
    <row r="41" ht="14.1" customHeight="1" spans="1:13">
      <c r="A41" s="34">
        <v>5</v>
      </c>
      <c r="B41" s="133" t="s">
        <v>214</v>
      </c>
      <c r="C41" s="48"/>
      <c r="D41" s="48"/>
      <c r="E41" s="48"/>
      <c r="F41" s="85">
        <f>G4*0.01</f>
        <v>78.8175692</v>
      </c>
      <c r="G41" s="48">
        <f t="shared" si="4"/>
        <v>78.8175692</v>
      </c>
      <c r="H41" s="153"/>
      <c r="I41" s="154"/>
      <c r="J41" s="155"/>
    </row>
    <row r="42" ht="17.1" customHeight="1" spans="1:13">
      <c r="A42" s="34">
        <v>6</v>
      </c>
      <c r="B42" s="133" t="s">
        <v>215</v>
      </c>
      <c r="C42" s="48"/>
      <c r="D42" s="48"/>
      <c r="E42" s="48"/>
      <c r="F42" s="85">
        <f>G4*0.002</f>
        <v>15.76351384</v>
      </c>
      <c r="G42" s="48">
        <f t="shared" si="4"/>
        <v>15.76351384</v>
      </c>
      <c r="H42" s="148"/>
      <c r="I42" s="157"/>
      <c r="J42" s="158"/>
    </row>
    <row r="43" ht="17" customHeight="1" spans="1:13">
      <c r="A43" s="34">
        <v>7</v>
      </c>
      <c r="B43" s="133" t="s">
        <v>216</v>
      </c>
      <c r="C43" s="48"/>
      <c r="D43" s="48"/>
      <c r="E43" s="48"/>
      <c r="F43" s="85">
        <f>G4*0.015</f>
        <v>118.2263538</v>
      </c>
      <c r="G43" s="48">
        <f t="shared" si="4"/>
        <v>118.2263538</v>
      </c>
      <c r="H43" s="148"/>
      <c r="I43" s="157"/>
      <c r="J43" s="158"/>
    </row>
    <row r="44" ht="17" customHeight="1" spans="1:13">
      <c r="A44" s="34">
        <v>8</v>
      </c>
      <c r="B44" s="133" t="s">
        <v>217</v>
      </c>
      <c r="C44" s="48"/>
      <c r="D44" s="48"/>
      <c r="E44" s="48"/>
      <c r="F44" s="85">
        <f>G4*0.003</f>
        <v>23.64527076</v>
      </c>
      <c r="G44" s="48">
        <f t="shared" si="4"/>
        <v>23.64527076</v>
      </c>
      <c r="H44" s="148"/>
      <c r="I44" s="157"/>
      <c r="J44" s="158"/>
    </row>
    <row r="45" ht="18.95" customHeight="1" spans="1:13">
      <c r="A45" s="34">
        <v>9</v>
      </c>
      <c r="B45" s="133" t="s">
        <v>218</v>
      </c>
      <c r="C45" s="48"/>
      <c r="D45" s="48"/>
      <c r="E45" s="48"/>
      <c r="F45" s="85">
        <f>G4*0.002</f>
        <v>15.76351384</v>
      </c>
      <c r="G45" s="48">
        <f t="shared" si="4"/>
        <v>15.76351384</v>
      </c>
      <c r="H45" s="148"/>
      <c r="I45" s="157"/>
      <c r="J45" s="158"/>
    </row>
    <row r="46" s="69" customFormat="1" ht="14.1" customHeight="1" spans="1:13">
      <c r="A46" s="34">
        <v>10</v>
      </c>
      <c r="B46" s="133" t="s">
        <v>219</v>
      </c>
      <c r="C46" s="120"/>
      <c r="D46" s="120"/>
      <c r="E46" s="120"/>
      <c r="F46" s="48">
        <f>G4*0.005</f>
        <v>39.4087846</v>
      </c>
      <c r="G46" s="48">
        <f t="shared" si="4"/>
        <v>39.4087846</v>
      </c>
      <c r="H46" s="122"/>
      <c r="I46" s="123"/>
      <c r="J46" s="124"/>
      <c r="L46" s="132"/>
      <c r="M46" s="132"/>
    </row>
    <row r="47" s="69" customFormat="1" ht="14.1" customHeight="1" spans="1:13">
      <c r="A47" s="119" t="s">
        <v>129</v>
      </c>
      <c r="B47" s="119" t="s">
        <v>88</v>
      </c>
      <c r="C47" s="120"/>
      <c r="D47" s="120"/>
      <c r="E47" s="120"/>
      <c r="F47" s="120">
        <f>F48+F49</f>
        <v>420.097643836</v>
      </c>
      <c r="G47" s="120">
        <f>G48+G49</f>
        <v>420.097643836</v>
      </c>
      <c r="H47" s="122">
        <f>G47/G54</f>
        <v>0.0467720968501308</v>
      </c>
      <c r="I47" s="123"/>
      <c r="J47" s="124"/>
      <c r="L47" s="132"/>
      <c r="M47" s="132"/>
    </row>
    <row r="48" ht="14.1" customHeight="1" spans="1:13">
      <c r="A48" s="34">
        <v>3.1</v>
      </c>
      <c r="B48" s="34" t="s">
        <v>220</v>
      </c>
      <c r="C48" s="48"/>
      <c r="D48" s="48"/>
      <c r="E48" s="48"/>
      <c r="F48" s="48">
        <f>(G4+G36)*0.05</f>
        <v>420.097643836</v>
      </c>
      <c r="G48" s="48">
        <f>F48</f>
        <v>420.097643836</v>
      </c>
      <c r="H48" s="148" t="s">
        <v>221</v>
      </c>
      <c r="I48" s="157"/>
      <c r="J48" s="159"/>
    </row>
    <row r="49" ht="14.1" customHeight="1" spans="1:14">
      <c r="A49" s="34">
        <v>3.2</v>
      </c>
      <c r="B49" s="34" t="s">
        <v>222</v>
      </c>
      <c r="C49" s="48"/>
      <c r="D49" s="48"/>
      <c r="E49" s="48"/>
      <c r="F49" s="48"/>
      <c r="G49" s="48"/>
      <c r="H49" s="148"/>
      <c r="I49" s="157"/>
      <c r="J49" s="159"/>
      <c r="K49" s="144"/>
      <c r="L49" s="144"/>
      <c r="M49" s="144"/>
    </row>
    <row r="50" s="69" customFormat="1" ht="14.1" customHeight="1" spans="1:14">
      <c r="A50" s="119" t="s">
        <v>143</v>
      </c>
      <c r="B50" s="119" t="s">
        <v>89</v>
      </c>
      <c r="C50" s="120">
        <f>C47+C36+C4</f>
        <v>501</v>
      </c>
      <c r="D50" s="120">
        <f>D47+D36+D4</f>
        <v>662.75</v>
      </c>
      <c r="E50" s="120">
        <f>E47+E36+E4</f>
        <v>6718.00692</v>
      </c>
      <c r="F50" s="120">
        <f>F47+F36+F4</f>
        <v>940.293600556</v>
      </c>
      <c r="G50" s="120">
        <f>G4+G36+G47</f>
        <v>8822.050520556</v>
      </c>
      <c r="H50" s="122">
        <f>G50/G54</f>
        <v>0.982214033852746</v>
      </c>
      <c r="I50" s="123"/>
      <c r="J50" s="124"/>
      <c r="K50" s="144"/>
      <c r="L50" s="132"/>
      <c r="M50" s="132"/>
      <c r="N50" s="160"/>
    </row>
    <row r="51" ht="14.1" customHeight="1" spans="1:14">
      <c r="A51" s="34"/>
      <c r="B51" s="34" t="s">
        <v>223</v>
      </c>
      <c r="C51" s="161">
        <f>C50/G50</f>
        <v>0.0567895183588707</v>
      </c>
      <c r="D51" s="161">
        <f>D50/G50</f>
        <v>0.0751242580685461</v>
      </c>
      <c r="E51" s="161">
        <f>E50/G50</f>
        <v>0.761501751134453</v>
      </c>
      <c r="F51" s="161">
        <f>F50/G50</f>
        <v>0.106584472438131</v>
      </c>
      <c r="G51" s="161">
        <v>1</v>
      </c>
      <c r="H51" s="162"/>
      <c r="I51" s="149"/>
      <c r="J51" s="150"/>
    </row>
    <row r="52" s="69" customFormat="1" ht="14.1" customHeight="1" spans="1:14">
      <c r="A52" s="119" t="s">
        <v>224</v>
      </c>
      <c r="B52" s="119" t="s">
        <v>90</v>
      </c>
      <c r="C52" s="120"/>
      <c r="D52" s="120"/>
      <c r="E52" s="120"/>
      <c r="F52" s="120"/>
      <c r="G52" s="120">
        <f>还本付息表!D7</f>
        <v>159.75</v>
      </c>
      <c r="H52" s="122">
        <f>G52/G54</f>
        <v>0.0177859661472543</v>
      </c>
      <c r="I52" s="123"/>
      <c r="J52" s="124"/>
      <c r="L52" s="132"/>
      <c r="M52" s="132"/>
    </row>
    <row r="53" s="69" customFormat="1" ht="14.1" customHeight="1" spans="1:14">
      <c r="A53" s="119" t="s">
        <v>225</v>
      </c>
      <c r="B53" s="119" t="s">
        <v>6</v>
      </c>
      <c r="C53" s="120"/>
      <c r="D53" s="120"/>
      <c r="E53" s="120"/>
      <c r="F53" s="120"/>
      <c r="G53" s="120">
        <f>G50+G52</f>
        <v>8981.800520556</v>
      </c>
      <c r="H53" s="122">
        <f>G53/G54</f>
        <v>1</v>
      </c>
      <c r="I53" s="123"/>
      <c r="J53" s="124"/>
      <c r="L53" s="132"/>
      <c r="M53" s="132"/>
    </row>
    <row r="54" s="69" customFormat="1" ht="14.1" customHeight="1" spans="1:14">
      <c r="A54" s="119" t="s">
        <v>226</v>
      </c>
      <c r="B54" s="119" t="s">
        <v>3</v>
      </c>
      <c r="C54" s="120"/>
      <c r="D54" s="120"/>
      <c r="E54" s="120"/>
      <c r="F54" s="120"/>
      <c r="G54" s="120">
        <f>G53</f>
        <v>8981.800520556</v>
      </c>
      <c r="H54" s="122">
        <v>1</v>
      </c>
      <c r="I54" s="123"/>
      <c r="J54" s="124"/>
      <c r="L54" s="132"/>
      <c r="M54" s="132"/>
    </row>
    <row r="55" s="73" customFormat="1" spans="1:14">
      <c r="A55" s="75"/>
      <c r="B55" s="75"/>
      <c r="C55" s="75"/>
      <c r="D55" s="75"/>
      <c r="E55" s="75"/>
      <c r="F55" s="75"/>
      <c r="G55" s="163"/>
      <c r="H55" s="164"/>
      <c r="I55" s="75"/>
      <c r="J55" s="165"/>
      <c r="L55" s="136"/>
      <c r="M55" s="136"/>
    </row>
    <row r="56" spans="1:14">
      <c r="G56" s="75">
        <f>G54*0.8</f>
        <v>7185.4404164448</v>
      </c>
    </row>
    <row r="57" spans="1:14">
      <c r="G57" s="166"/>
    </row>
  </sheetData>
  <sheetProtection formatCells="0" insertHyperlinks="0" autoFilter="0"/>
  <mergeCells count="21">
    <mergeCell ref="A1:J1"/>
    <mergeCell ref="A2:J2"/>
    <mergeCell ref="H4:J4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7:J47"/>
    <mergeCell ref="H48:J48"/>
    <mergeCell ref="H49:J49"/>
    <mergeCell ref="H50:J50"/>
    <mergeCell ref="H51:J51"/>
    <mergeCell ref="H52:J52"/>
    <mergeCell ref="H53:J53"/>
    <mergeCell ref="H54:J5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20" zoomScaleNormal="120" workbookViewId="0">
      <selection activeCell="A1" sqref="A1:N1"/>
    </sheetView>
  </sheetViews>
  <sheetFormatPr defaultColWidth="9" defaultRowHeight="13.5"/>
  <cols>
    <col min="1" max="1" width="4.5" customWidth="1"/>
    <col min="2" max="2" width="12.9666666666667" customWidth="1"/>
    <col min="3" max="3" width="6.5" customWidth="1"/>
    <col min="4" max="5" width="6.59166666666667" customWidth="1"/>
    <col min="6" max="14" width="8.11666666666667" style="96" customWidth="1"/>
  </cols>
  <sheetData>
    <row r="1" ht="18.75" spans="1:14">
      <c r="A1" s="21" t="s">
        <v>227</v>
      </c>
      <c r="B1" s="22"/>
      <c r="C1" s="22"/>
      <c r="D1" s="22"/>
      <c r="E1" s="22"/>
    </row>
    <row r="2" spans="1:14">
      <c r="F2" s="75"/>
      <c r="G2" s="75"/>
      <c r="H2" s="75"/>
      <c r="I2" s="75"/>
      <c r="J2" s="75"/>
      <c r="K2" s="75"/>
      <c r="L2" s="75"/>
      <c r="M2" s="75" t="s">
        <v>155</v>
      </c>
      <c r="N2" s="75"/>
    </row>
    <row r="3" spans="1:14">
      <c r="A3" s="97" t="s">
        <v>105</v>
      </c>
      <c r="B3" s="97" t="s">
        <v>106</v>
      </c>
      <c r="C3" s="97" t="s">
        <v>160</v>
      </c>
      <c r="D3" s="97" t="s">
        <v>228</v>
      </c>
      <c r="E3" s="97" t="s">
        <v>229</v>
      </c>
      <c r="F3" s="98"/>
      <c r="G3" s="98"/>
      <c r="H3" s="98"/>
      <c r="I3" s="98"/>
      <c r="J3" s="98"/>
      <c r="K3" s="98"/>
      <c r="L3" s="98"/>
      <c r="M3" s="98"/>
      <c r="N3" s="98"/>
    </row>
    <row r="4" spans="1:14">
      <c r="A4" s="99"/>
      <c r="B4" s="99"/>
      <c r="C4" s="99"/>
      <c r="D4" s="99"/>
      <c r="E4" s="99"/>
      <c r="F4" s="100">
        <v>2</v>
      </c>
      <c r="G4" s="100">
        <v>3</v>
      </c>
      <c r="H4" s="100">
        <v>4</v>
      </c>
      <c r="I4" s="100">
        <v>5</v>
      </c>
      <c r="J4" s="100">
        <v>6</v>
      </c>
      <c r="K4" s="100">
        <v>7</v>
      </c>
      <c r="L4" s="100">
        <v>8</v>
      </c>
      <c r="M4" s="100">
        <v>9</v>
      </c>
      <c r="N4" s="100">
        <v>10</v>
      </c>
    </row>
    <row r="5" spans="1:14">
      <c r="A5" s="101">
        <v>1</v>
      </c>
      <c r="B5" s="102" t="s">
        <v>230</v>
      </c>
      <c r="C5" s="103"/>
      <c r="D5" s="47">
        <v>0.08</v>
      </c>
      <c r="E5" s="104">
        <v>20</v>
      </c>
      <c r="F5" s="14"/>
      <c r="G5" s="14"/>
      <c r="H5" s="14"/>
      <c r="I5" s="14"/>
      <c r="J5" s="14"/>
      <c r="K5" s="14"/>
      <c r="L5" s="14"/>
      <c r="M5" s="14"/>
      <c r="N5" s="48"/>
    </row>
    <row r="6" spans="1:14">
      <c r="A6" s="101"/>
      <c r="B6" s="102" t="s">
        <v>231</v>
      </c>
      <c r="C6" s="103"/>
      <c r="D6" s="47"/>
      <c r="E6" s="104"/>
      <c r="F6" s="14"/>
      <c r="G6" s="14"/>
      <c r="H6" s="14"/>
      <c r="I6" s="14"/>
      <c r="J6" s="14"/>
      <c r="K6" s="14"/>
      <c r="L6" s="14"/>
      <c r="M6" s="14"/>
      <c r="N6" s="48"/>
    </row>
    <row r="7" spans="1:14">
      <c r="A7" s="101"/>
      <c r="B7" s="102" t="s">
        <v>232</v>
      </c>
      <c r="C7" s="103"/>
      <c r="D7" s="47"/>
      <c r="E7" s="104"/>
      <c r="F7" s="14"/>
      <c r="G7" s="14"/>
      <c r="H7" s="14"/>
      <c r="I7" s="14"/>
      <c r="J7" s="14"/>
      <c r="K7" s="14"/>
      <c r="L7" s="14"/>
      <c r="M7" s="14"/>
      <c r="N7" s="48"/>
    </row>
    <row r="8" spans="1:14">
      <c r="A8" s="101"/>
      <c r="B8" s="102" t="s">
        <v>233</v>
      </c>
      <c r="C8" s="103"/>
      <c r="D8" s="47"/>
      <c r="E8" s="104"/>
      <c r="F8" s="14"/>
      <c r="G8" s="14"/>
      <c r="H8" s="14"/>
      <c r="I8" s="14"/>
      <c r="J8" s="14"/>
      <c r="K8" s="14"/>
      <c r="L8" s="14"/>
      <c r="M8" s="14"/>
      <c r="N8" s="48"/>
    </row>
    <row r="9" spans="1:14">
      <c r="A9" s="102"/>
      <c r="B9" s="102"/>
      <c r="C9" s="103"/>
      <c r="D9" s="47"/>
      <c r="E9" s="104"/>
      <c r="F9" s="14"/>
      <c r="G9" s="14"/>
      <c r="H9" s="14"/>
      <c r="I9" s="14"/>
      <c r="J9" s="14"/>
      <c r="K9" s="14"/>
      <c r="L9" s="14"/>
      <c r="M9" s="14"/>
      <c r="N9" s="48"/>
    </row>
    <row r="10" spans="1:14">
      <c r="A10" s="105">
        <v>2</v>
      </c>
      <c r="B10" s="105" t="s">
        <v>234</v>
      </c>
      <c r="C10" s="106"/>
      <c r="D10" s="46">
        <f>核心参数!C37</f>
        <v>0.05</v>
      </c>
      <c r="E10" s="92">
        <f>核心参数!C36</f>
        <v>20</v>
      </c>
      <c r="F10" s="14"/>
      <c r="G10" s="14"/>
      <c r="H10" s="14"/>
      <c r="I10" s="14"/>
      <c r="J10" s="14"/>
      <c r="K10" s="14"/>
      <c r="L10" s="14"/>
      <c r="M10" s="14"/>
      <c r="N10" s="48"/>
    </row>
    <row r="11" spans="1:14">
      <c r="A11" s="105"/>
      <c r="B11" s="37" t="s">
        <v>231</v>
      </c>
      <c r="C11" s="106"/>
      <c r="D11" s="106"/>
      <c r="E11" s="106"/>
      <c r="F11" s="14">
        <f>(总投资!G50)*核心参数!C39</f>
        <v>8028.06597370596</v>
      </c>
      <c r="G11" s="14">
        <f t="shared" ref="G11:N11" si="0">F13</f>
        <v>7646.73283995493</v>
      </c>
      <c r="H11" s="14">
        <f t="shared" si="0"/>
        <v>7265.39970620389</v>
      </c>
      <c r="I11" s="14">
        <f t="shared" si="0"/>
        <v>6884.06657245286</v>
      </c>
      <c r="J11" s="14">
        <f t="shared" si="0"/>
        <v>6502.73343870183</v>
      </c>
      <c r="K11" s="14">
        <f t="shared" si="0"/>
        <v>6121.4003049508</v>
      </c>
      <c r="L11" s="14">
        <f t="shared" si="0"/>
        <v>5740.06717119976</v>
      </c>
      <c r="M11" s="14">
        <f t="shared" si="0"/>
        <v>5358.73403744873</v>
      </c>
      <c r="N11" s="14">
        <f t="shared" si="0"/>
        <v>4977.4009036977</v>
      </c>
    </row>
    <row r="12" ht="16.9" customHeight="1" spans="1:14">
      <c r="A12" s="105"/>
      <c r="B12" s="37" t="s">
        <v>232</v>
      </c>
      <c r="C12" s="106">
        <f>SUM(F12:N12)</f>
        <v>3431.9982037593</v>
      </c>
      <c r="D12" s="106"/>
      <c r="E12" s="106"/>
      <c r="F12" s="14">
        <f>F11*(1-D10)/E10</f>
        <v>381.333133751033</v>
      </c>
      <c r="G12" s="14">
        <f t="shared" ref="G12:N12" si="1">F12</f>
        <v>381.333133751033</v>
      </c>
      <c r="H12" s="14">
        <f t="shared" si="1"/>
        <v>381.333133751033</v>
      </c>
      <c r="I12" s="14">
        <f t="shared" si="1"/>
        <v>381.333133751033</v>
      </c>
      <c r="J12" s="14">
        <f t="shared" si="1"/>
        <v>381.333133751033</v>
      </c>
      <c r="K12" s="14">
        <f t="shared" si="1"/>
        <v>381.333133751033</v>
      </c>
      <c r="L12" s="14">
        <f t="shared" si="1"/>
        <v>381.333133751033</v>
      </c>
      <c r="M12" s="14">
        <f t="shared" si="1"/>
        <v>381.333133751033</v>
      </c>
      <c r="N12" s="14">
        <f t="shared" si="1"/>
        <v>381.333133751033</v>
      </c>
    </row>
    <row r="13" spans="1:14">
      <c r="A13" s="37"/>
      <c r="B13" s="37" t="s">
        <v>233</v>
      </c>
      <c r="C13" s="106"/>
      <c r="D13" s="106"/>
      <c r="E13" s="106"/>
      <c r="F13" s="14">
        <f t="shared" ref="F13:N13" si="2">F11-F12</f>
        <v>7646.73283995493</v>
      </c>
      <c r="G13" s="14">
        <f t="shared" si="2"/>
        <v>7265.39970620389</v>
      </c>
      <c r="H13" s="14">
        <f t="shared" si="2"/>
        <v>6884.06657245286</v>
      </c>
      <c r="I13" s="14">
        <f t="shared" si="2"/>
        <v>6502.73343870183</v>
      </c>
      <c r="J13" s="14">
        <f t="shared" si="2"/>
        <v>6121.4003049508</v>
      </c>
      <c r="K13" s="14">
        <f t="shared" si="2"/>
        <v>5740.06717119976</v>
      </c>
      <c r="L13" s="14">
        <f t="shared" si="2"/>
        <v>5358.73403744873</v>
      </c>
      <c r="M13" s="14">
        <f t="shared" si="2"/>
        <v>4977.4009036977</v>
      </c>
      <c r="N13" s="14">
        <f t="shared" si="2"/>
        <v>4596.06776994667</v>
      </c>
    </row>
    <row r="14" spans="1:14">
      <c r="A14" s="105">
        <v>3</v>
      </c>
      <c r="B14" s="37" t="s">
        <v>235</v>
      </c>
      <c r="C14" s="106">
        <f>SUM(F14:N14)</f>
        <v>3431.9982037593</v>
      </c>
      <c r="D14" s="106"/>
      <c r="E14" s="106"/>
      <c r="F14" s="14">
        <f t="shared" ref="F14:N14" si="3">F12</f>
        <v>381.333133751033</v>
      </c>
      <c r="G14" s="14">
        <f t="shared" si="3"/>
        <v>381.333133751033</v>
      </c>
      <c r="H14" s="14">
        <f t="shared" si="3"/>
        <v>381.333133751033</v>
      </c>
      <c r="I14" s="14">
        <f t="shared" si="3"/>
        <v>381.333133751033</v>
      </c>
      <c r="J14" s="14">
        <f t="shared" si="3"/>
        <v>381.333133751033</v>
      </c>
      <c r="K14" s="14">
        <f t="shared" si="3"/>
        <v>381.333133751033</v>
      </c>
      <c r="L14" s="14">
        <f t="shared" si="3"/>
        <v>381.333133751033</v>
      </c>
      <c r="M14" s="14">
        <f t="shared" si="3"/>
        <v>381.333133751033</v>
      </c>
      <c r="N14" s="14">
        <f t="shared" si="3"/>
        <v>381.333133751033</v>
      </c>
    </row>
    <row r="15" spans="1:14">
      <c r="A15" s="105">
        <v>4</v>
      </c>
      <c r="B15" s="37" t="s">
        <v>236</v>
      </c>
      <c r="C15" s="106"/>
      <c r="D15" s="106"/>
      <c r="E15" s="106"/>
      <c r="F15" s="14"/>
      <c r="G15" s="14"/>
      <c r="H15" s="14"/>
      <c r="I15" s="14"/>
      <c r="J15" s="14"/>
      <c r="K15" s="14"/>
      <c r="L15" s="14"/>
      <c r="M15" s="14"/>
      <c r="N15" s="48"/>
    </row>
    <row r="16" spans="1:14">
      <c r="A16" s="105">
        <v>5</v>
      </c>
      <c r="B16" s="37" t="s">
        <v>231</v>
      </c>
      <c r="C16" s="106"/>
      <c r="D16" s="106"/>
      <c r="E16" s="106"/>
      <c r="F16" s="14"/>
      <c r="G16" s="14"/>
      <c r="H16" s="14"/>
      <c r="I16" s="14"/>
      <c r="J16" s="14"/>
      <c r="K16" s="14"/>
      <c r="L16" s="14"/>
      <c r="M16" s="14"/>
      <c r="N16" s="48"/>
    </row>
    <row r="17" spans="1:14">
      <c r="A17" s="105">
        <v>6</v>
      </c>
      <c r="B17" s="37" t="s">
        <v>232</v>
      </c>
      <c r="C17" s="106"/>
      <c r="D17" s="106"/>
      <c r="E17" s="106"/>
      <c r="F17" s="14"/>
      <c r="G17" s="14"/>
      <c r="H17" s="14"/>
      <c r="I17" s="14"/>
      <c r="J17" s="14"/>
      <c r="K17" s="14"/>
      <c r="L17" s="14"/>
      <c r="M17" s="14"/>
      <c r="N17" s="48"/>
    </row>
    <row r="18" spans="1:14">
      <c r="A18" s="105">
        <v>7</v>
      </c>
      <c r="B18" s="37" t="s">
        <v>233</v>
      </c>
      <c r="C18" s="106"/>
      <c r="D18" s="106"/>
      <c r="E18" s="106"/>
      <c r="F18" s="14"/>
      <c r="G18" s="14"/>
      <c r="H18" s="14"/>
      <c r="I18" s="14"/>
      <c r="J18" s="14"/>
      <c r="K18" s="14"/>
      <c r="L18" s="14"/>
      <c r="M18" s="14"/>
      <c r="N18" s="48"/>
    </row>
  </sheetData>
  <sheetProtection formatCells="0" insertHyperlinks="0" autoFilter="0"/>
  <mergeCells count="7">
    <mergeCell ref="A1:N1"/>
    <mergeCell ref="F3:N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10" zoomScaleNormal="110" workbookViewId="0">
      <selection activeCell="A1" sqref="A1:K1"/>
    </sheetView>
  </sheetViews>
  <sheetFormatPr defaultColWidth="9" defaultRowHeight="13.5"/>
  <cols>
    <col min="1" max="1" width="5.96666666666667" style="42" customWidth="1"/>
    <col min="2" max="2" width="21" style="42" customWidth="1"/>
    <col min="3" max="3" width="8.25833333333333" style="72" customWidth="1"/>
    <col min="4" max="8" width="9.85833333333333" customWidth="1"/>
    <col min="9" max="9" width="9.85833333333333" style="73" customWidth="1"/>
    <col min="10" max="11" width="9.85833333333333" customWidth="1"/>
    <col min="12" max="12" width="8.11666666666667" customWidth="1"/>
  </cols>
  <sheetData>
    <row r="1" ht="17.45" customHeight="1" spans="1:12">
      <c r="A1" s="21" t="s">
        <v>46</v>
      </c>
      <c r="B1" s="21"/>
      <c r="C1" s="3"/>
      <c r="D1" s="21"/>
      <c r="E1" s="21"/>
      <c r="F1" s="21"/>
      <c r="G1" s="21"/>
      <c r="H1" s="21"/>
      <c r="I1" s="74"/>
      <c r="J1" s="21"/>
      <c r="K1" s="21"/>
    </row>
    <row r="2" spans="1:12">
      <c r="B2" s="75">
        <f>D7*D9*D10</f>
        <v>30609633.6</v>
      </c>
      <c r="K2" t="s">
        <v>155</v>
      </c>
    </row>
    <row r="3" ht="16.15" customHeight="1" spans="1:12">
      <c r="A3" s="25" t="s">
        <v>105</v>
      </c>
      <c r="B3" s="24" t="s">
        <v>106</v>
      </c>
      <c r="C3" s="76" t="s">
        <v>160</v>
      </c>
      <c r="D3" s="25"/>
      <c r="E3" s="25"/>
      <c r="F3" s="25"/>
      <c r="G3" s="25"/>
      <c r="H3" s="25"/>
      <c r="I3" s="25"/>
      <c r="J3" s="25"/>
      <c r="K3" s="25"/>
      <c r="L3" s="25"/>
    </row>
    <row r="4" spans="1:12">
      <c r="A4" s="25"/>
      <c r="B4" s="77"/>
      <c r="C4" s="78"/>
      <c r="D4" s="79">
        <v>2</v>
      </c>
      <c r="E4" s="79">
        <v>3</v>
      </c>
      <c r="F4" s="79">
        <v>4</v>
      </c>
      <c r="G4" s="79">
        <v>5</v>
      </c>
      <c r="H4" s="79">
        <v>6</v>
      </c>
      <c r="I4" s="79">
        <v>7</v>
      </c>
      <c r="J4" s="79">
        <v>8</v>
      </c>
      <c r="K4" s="79">
        <v>9</v>
      </c>
      <c r="L4" s="79">
        <v>10</v>
      </c>
    </row>
    <row r="5" s="69" customFormat="1" ht="13" customHeight="1" spans="1:12">
      <c r="A5" s="25" t="s">
        <v>169</v>
      </c>
      <c r="B5" s="25" t="s">
        <v>237</v>
      </c>
      <c r="C5" s="80">
        <f>SUM((D5:L5))</f>
        <v>13758.5384441661</v>
      </c>
      <c r="D5" s="81">
        <f t="shared" ref="D5:L5" si="0">D6+D12+D15</f>
        <v>1558.98168</v>
      </c>
      <c r="E5" s="81">
        <f t="shared" si="0"/>
        <v>1551.3292716</v>
      </c>
      <c r="F5" s="81">
        <f t="shared" si="0"/>
        <v>1543.715125242</v>
      </c>
      <c r="G5" s="81">
        <f t="shared" si="0"/>
        <v>1536.13904961579</v>
      </c>
      <c r="H5" s="81">
        <f t="shared" si="0"/>
        <v>1528.60085436771</v>
      </c>
      <c r="I5" s="81">
        <f t="shared" si="0"/>
        <v>1521.10035009587</v>
      </c>
      <c r="J5" s="81">
        <f t="shared" si="0"/>
        <v>1513.63734834539</v>
      </c>
      <c r="K5" s="81">
        <f t="shared" si="0"/>
        <v>1506.21166160367</v>
      </c>
      <c r="L5" s="81">
        <f t="shared" si="0"/>
        <v>1498.82310329565</v>
      </c>
    </row>
    <row r="6" s="69" customFormat="1" ht="13" customHeight="1" spans="1:12">
      <c r="A6" s="82">
        <v>1</v>
      </c>
      <c r="B6" s="83" t="s">
        <v>238</v>
      </c>
      <c r="C6" s="84">
        <f>SUM(D6:L6)</f>
        <v>12613.7384441661</v>
      </c>
      <c r="D6" s="81">
        <f>(D7*D9*D10-(核心参数!$C$8*1000*核心参数!$C$19*核心参数!$C$20)-外购原料及动力成本表!$E$9)*D11/10000</f>
        <v>1431.78168</v>
      </c>
      <c r="E6" s="81">
        <f>(E7*E9*E10-(核心参数!$C$8*1000*核心参数!$C$19*核心参数!$C$20)-外购原料及动力成本表!$E$9)*E11/10000</f>
        <v>1424.1292716</v>
      </c>
      <c r="F6" s="81">
        <f>(F7*F9*F10-(核心参数!$C$8*1000*核心参数!$C$19*核心参数!$C$20)-外购原料及动力成本表!$E$9)*F11/10000</f>
        <v>1416.515125242</v>
      </c>
      <c r="G6" s="81">
        <f>(G7*G9*G10-(核心参数!$C$8*1000*核心参数!$C$19*核心参数!$C$20)-外购原料及动力成本表!$E$9)*G11/10000</f>
        <v>1408.93904961579</v>
      </c>
      <c r="H6" s="81">
        <f>(H7*H9*H10-(核心参数!$C$8*1000*核心参数!$C$19*核心参数!$C$20)-外购原料及动力成本表!$E$9)*H11/10000</f>
        <v>1401.40085436771</v>
      </c>
      <c r="I6" s="81">
        <f>(I7*I9*I10-(核心参数!$C$8*1000*核心参数!$C$19*核心参数!$C$20)-外购原料及动力成本表!$E$9)*I11/10000</f>
        <v>1393.90035009587</v>
      </c>
      <c r="J6" s="81">
        <f>(J7*J9*J10-(核心参数!$C$8*1000*核心参数!$C$19*核心参数!$C$20)-外购原料及动力成本表!$E$9)*J11/10000</f>
        <v>1386.43734834539</v>
      </c>
      <c r="K6" s="81">
        <f>(K7*K9*K10-(核心参数!$C$8*1000*核心参数!$C$19*核心参数!$C$20)-外购原料及动力成本表!$E$9)*K11/10000</f>
        <v>1379.01166160367</v>
      </c>
      <c r="L6" s="81">
        <f>(L7*L9*L10-(核心参数!$C$8*1000*核心参数!$C$19*核心参数!$C$20)-外购原料及动力成本表!$E$9)*L11/10000</f>
        <v>1371.62310329565</v>
      </c>
    </row>
    <row r="7" customFormat="1" ht="13" customHeight="1" spans="1:12">
      <c r="A7" s="29">
        <f>A6+0.1</f>
        <v>1.1</v>
      </c>
      <c r="B7" s="85" t="s">
        <v>239</v>
      </c>
      <c r="C7" s="46"/>
      <c r="D7" s="12">
        <f>核心参数!C6*1000*(1-D8)</f>
        <v>25480</v>
      </c>
      <c r="E7" s="12">
        <f t="shared" ref="E7:L7" si="1">D7*(1-E8)</f>
        <v>25352.6</v>
      </c>
      <c r="F7" s="12">
        <f t="shared" si="1"/>
        <v>25225.837</v>
      </c>
      <c r="G7" s="12">
        <f t="shared" si="1"/>
        <v>25099.707815</v>
      </c>
      <c r="H7" s="12">
        <f t="shared" si="1"/>
        <v>24974.209275925</v>
      </c>
      <c r="I7" s="12">
        <f t="shared" si="1"/>
        <v>24849.3382295454</v>
      </c>
      <c r="J7" s="12">
        <f t="shared" si="1"/>
        <v>24725.0915383977</v>
      </c>
      <c r="K7" s="12">
        <f t="shared" si="1"/>
        <v>24601.4660807057</v>
      </c>
      <c r="L7" s="12">
        <f t="shared" si="1"/>
        <v>24478.4587503021</v>
      </c>
    </row>
    <row r="8" s="70" customFormat="1" ht="13" customHeight="1" spans="1:12">
      <c r="A8" s="29">
        <f>A7+0.1</f>
        <v>1.2</v>
      </c>
      <c r="B8" s="86" t="s">
        <v>240</v>
      </c>
      <c r="C8" s="87"/>
      <c r="D8" s="88">
        <f>核心参数!C16</f>
        <v>0.02</v>
      </c>
      <c r="E8" s="88">
        <f>核心参数!$C$17</f>
        <v>0.005</v>
      </c>
      <c r="F8" s="88">
        <f>核心参数!$C$17</f>
        <v>0.005</v>
      </c>
      <c r="G8" s="88">
        <f>核心参数!$C$17</f>
        <v>0.005</v>
      </c>
      <c r="H8" s="88">
        <f>核心参数!$C$17</f>
        <v>0.005</v>
      </c>
      <c r="I8" s="88">
        <f>核心参数!$C$17</f>
        <v>0.005</v>
      </c>
      <c r="J8" s="88">
        <f>核心参数!$C$17</f>
        <v>0.005</v>
      </c>
      <c r="K8" s="88">
        <f>核心参数!$C$17</f>
        <v>0.005</v>
      </c>
      <c r="L8" s="88">
        <f>核心参数!$C$17</f>
        <v>0.005</v>
      </c>
    </row>
    <row r="9" customFormat="1" ht="22" customHeight="1" spans="1:12">
      <c r="A9" s="29">
        <f>A8+0.1</f>
        <v>1.3</v>
      </c>
      <c r="B9" s="85" t="s">
        <v>80</v>
      </c>
      <c r="C9" s="46"/>
      <c r="D9" s="12">
        <f>核心参数!C18</f>
        <v>3.337</v>
      </c>
      <c r="E9" s="12">
        <f t="shared" ref="E9:L9" si="2">D9</f>
        <v>3.337</v>
      </c>
      <c r="F9" s="12">
        <f t="shared" si="2"/>
        <v>3.337</v>
      </c>
      <c r="G9" s="12">
        <f t="shared" si="2"/>
        <v>3.337</v>
      </c>
      <c r="H9" s="12">
        <f t="shared" si="2"/>
        <v>3.337</v>
      </c>
      <c r="I9" s="12">
        <f t="shared" si="2"/>
        <v>3.337</v>
      </c>
      <c r="J9" s="12">
        <f t="shared" si="2"/>
        <v>3.337</v>
      </c>
      <c r="K9" s="12">
        <f t="shared" si="2"/>
        <v>3.337</v>
      </c>
      <c r="L9" s="12">
        <f t="shared" si="2"/>
        <v>3.337</v>
      </c>
    </row>
    <row r="10" customFormat="1" ht="13" customHeight="1" spans="1:12">
      <c r="A10" s="29">
        <f>A9+0.1</f>
        <v>1.4</v>
      </c>
      <c r="B10" s="85" t="s">
        <v>241</v>
      </c>
      <c r="C10" s="46"/>
      <c r="D10" s="89">
        <f>核心参数!C19</f>
        <v>360</v>
      </c>
      <c r="E10" s="12">
        <f t="shared" ref="E10:L10" si="3">D10</f>
        <v>360</v>
      </c>
      <c r="F10" s="12">
        <f t="shared" si="3"/>
        <v>360</v>
      </c>
      <c r="G10" s="12">
        <f t="shared" si="3"/>
        <v>360</v>
      </c>
      <c r="H10" s="12">
        <f t="shared" si="3"/>
        <v>360</v>
      </c>
      <c r="I10" s="12">
        <f t="shared" si="3"/>
        <v>360</v>
      </c>
      <c r="J10" s="12">
        <f t="shared" si="3"/>
        <v>360</v>
      </c>
      <c r="K10" s="12">
        <f t="shared" si="3"/>
        <v>360</v>
      </c>
      <c r="L10" s="12">
        <f t="shared" si="3"/>
        <v>360</v>
      </c>
    </row>
    <row r="11" customFormat="1" ht="13" customHeight="1" spans="1:12">
      <c r="A11" s="29">
        <f>A10+0.1</f>
        <v>1.5</v>
      </c>
      <c r="B11" s="85" t="s">
        <v>242</v>
      </c>
      <c r="C11" s="46"/>
      <c r="D11" s="12">
        <f>核心参数!C5</f>
        <v>0.5</v>
      </c>
      <c r="E11" s="89">
        <f t="shared" ref="E11:L11" si="4">D11</f>
        <v>0.5</v>
      </c>
      <c r="F11" s="89">
        <f t="shared" si="4"/>
        <v>0.5</v>
      </c>
      <c r="G11" s="89">
        <f t="shared" si="4"/>
        <v>0.5</v>
      </c>
      <c r="H11" s="89">
        <f t="shared" si="4"/>
        <v>0.5</v>
      </c>
      <c r="I11" s="89">
        <f t="shared" si="4"/>
        <v>0.5</v>
      </c>
      <c r="J11" s="89">
        <f t="shared" si="4"/>
        <v>0.5</v>
      </c>
      <c r="K11" s="89">
        <f t="shared" si="4"/>
        <v>0.5</v>
      </c>
      <c r="L11" s="89">
        <f t="shared" si="4"/>
        <v>0.5</v>
      </c>
    </row>
    <row r="12" s="69" customFormat="1" ht="13" customHeight="1" spans="1:12">
      <c r="A12" s="82">
        <v>2</v>
      </c>
      <c r="B12" s="25" t="s">
        <v>243</v>
      </c>
      <c r="C12" s="84">
        <f>SUM((D12:L12))</f>
        <v>874.8</v>
      </c>
      <c r="D12" s="81">
        <f>(D13*D14)*核心参数!$C$19/10000</f>
        <v>97.2</v>
      </c>
      <c r="E12" s="81">
        <f>(E13*E14)*核心参数!$C$19/10000</f>
        <v>97.2</v>
      </c>
      <c r="F12" s="81">
        <f>(F13*F14)*核心参数!$C$19/10000</f>
        <v>97.2</v>
      </c>
      <c r="G12" s="81">
        <f>(G13*G14)*核心参数!$C$19/10000</f>
        <v>97.2</v>
      </c>
      <c r="H12" s="81">
        <f>(H13*H14)*核心参数!$C$19/10000</f>
        <v>97.2</v>
      </c>
      <c r="I12" s="81">
        <f>(I13*I14)*核心参数!$C$19/10000</f>
        <v>97.2</v>
      </c>
      <c r="J12" s="81">
        <f>(J13*J14)*核心参数!$C$19/10000</f>
        <v>97.2</v>
      </c>
      <c r="K12" s="81">
        <f>(K13*K14)*核心参数!$C$19/10000</f>
        <v>97.2</v>
      </c>
      <c r="L12" s="81">
        <f>(L13*L14)*核心参数!$C$19/10000</f>
        <v>97.2</v>
      </c>
    </row>
    <row r="13" ht="13" customHeight="1" spans="1:12">
      <c r="A13" s="90">
        <f>A12+0.1</f>
        <v>2.1</v>
      </c>
      <c r="B13" s="30" t="s">
        <v>244</v>
      </c>
      <c r="C13" s="46"/>
      <c r="D13" s="12">
        <f>核心参数!C7</f>
        <v>0.5</v>
      </c>
      <c r="E13" s="12">
        <f t="shared" ref="E13:L13" si="5">D13</f>
        <v>0.5</v>
      </c>
      <c r="F13" s="12">
        <f t="shared" si="5"/>
        <v>0.5</v>
      </c>
      <c r="G13" s="12">
        <f t="shared" si="5"/>
        <v>0.5</v>
      </c>
      <c r="H13" s="12">
        <f t="shared" si="5"/>
        <v>0.5</v>
      </c>
      <c r="I13" s="14">
        <f t="shared" si="5"/>
        <v>0.5</v>
      </c>
      <c r="J13" s="12">
        <f t="shared" si="5"/>
        <v>0.5</v>
      </c>
      <c r="K13" s="12">
        <f t="shared" si="5"/>
        <v>0.5</v>
      </c>
      <c r="L13" s="12">
        <f t="shared" si="5"/>
        <v>0.5</v>
      </c>
    </row>
    <row r="14" s="71" customFormat="1" ht="13" customHeight="1" spans="1:12">
      <c r="A14" s="90">
        <f>A13+0.1</f>
        <v>2.2</v>
      </c>
      <c r="B14" s="91" t="s">
        <v>245</v>
      </c>
      <c r="C14" s="92"/>
      <c r="D14" s="12">
        <f>核心参数!C8*1000*核心参数!C20</f>
        <v>5400</v>
      </c>
      <c r="E14" s="12">
        <f t="shared" ref="E14:L14" si="6">D14</f>
        <v>5400</v>
      </c>
      <c r="F14" s="12">
        <f t="shared" si="6"/>
        <v>5400</v>
      </c>
      <c r="G14" s="12">
        <f t="shared" si="6"/>
        <v>5400</v>
      </c>
      <c r="H14" s="12">
        <f t="shared" si="6"/>
        <v>5400</v>
      </c>
      <c r="I14" s="12">
        <f t="shared" si="6"/>
        <v>5400</v>
      </c>
      <c r="J14" s="12">
        <f t="shared" si="6"/>
        <v>5400</v>
      </c>
      <c r="K14" s="12">
        <f t="shared" si="6"/>
        <v>5400</v>
      </c>
      <c r="L14" s="12">
        <f t="shared" si="6"/>
        <v>5400</v>
      </c>
    </row>
    <row r="15" s="69" customFormat="1" ht="12" customHeight="1" spans="1:12">
      <c r="A15" s="25">
        <v>3</v>
      </c>
      <c r="B15" s="25" t="s">
        <v>246</v>
      </c>
      <c r="C15" s="84"/>
      <c r="D15" s="81">
        <f t="shared" ref="D15:L15" si="7">D16*D17/10000</f>
        <v>30</v>
      </c>
      <c r="E15" s="81">
        <f t="shared" si="7"/>
        <v>30</v>
      </c>
      <c r="F15" s="81">
        <f t="shared" si="7"/>
        <v>30</v>
      </c>
      <c r="G15" s="81">
        <f t="shared" si="7"/>
        <v>30</v>
      </c>
      <c r="H15" s="81">
        <f t="shared" si="7"/>
        <v>30</v>
      </c>
      <c r="I15" s="81">
        <f t="shared" si="7"/>
        <v>30</v>
      </c>
      <c r="J15" s="81">
        <f t="shared" si="7"/>
        <v>30</v>
      </c>
      <c r="K15" s="81">
        <f t="shared" si="7"/>
        <v>30</v>
      </c>
      <c r="L15" s="81">
        <f t="shared" si="7"/>
        <v>30</v>
      </c>
    </row>
    <row r="16" s="69" customFormat="1" ht="12" customHeight="1" spans="1:12">
      <c r="A16" s="25"/>
      <c r="B16" s="30" t="s">
        <v>247</v>
      </c>
      <c r="C16" s="84"/>
      <c r="D16" s="12">
        <f>核心参数!C10</f>
        <v>300</v>
      </c>
      <c r="E16" s="12">
        <f t="shared" ref="E16:L16" si="8">D16</f>
        <v>300</v>
      </c>
      <c r="F16" s="12">
        <f t="shared" si="8"/>
        <v>300</v>
      </c>
      <c r="G16" s="12">
        <f t="shared" si="8"/>
        <v>300</v>
      </c>
      <c r="H16" s="12">
        <f t="shared" si="8"/>
        <v>300</v>
      </c>
      <c r="I16" s="12">
        <f t="shared" si="8"/>
        <v>300</v>
      </c>
      <c r="J16" s="12">
        <f t="shared" si="8"/>
        <v>300</v>
      </c>
      <c r="K16" s="12">
        <f t="shared" si="8"/>
        <v>300</v>
      </c>
      <c r="L16" s="12">
        <f t="shared" si="8"/>
        <v>300</v>
      </c>
    </row>
    <row r="17" s="69" customFormat="1" ht="12" customHeight="1" spans="1:12">
      <c r="A17" s="25"/>
      <c r="B17" s="30" t="s">
        <v>248</v>
      </c>
      <c r="C17" s="84"/>
      <c r="D17" s="12">
        <f>核心参数!C9</f>
        <v>1000</v>
      </c>
      <c r="E17" s="12">
        <f t="shared" ref="E17:L17" si="9">D17</f>
        <v>1000</v>
      </c>
      <c r="F17" s="12">
        <f t="shared" si="9"/>
        <v>1000</v>
      </c>
      <c r="G17" s="12">
        <f t="shared" si="9"/>
        <v>1000</v>
      </c>
      <c r="H17" s="12">
        <f t="shared" si="9"/>
        <v>1000</v>
      </c>
      <c r="I17" s="12">
        <f t="shared" si="9"/>
        <v>1000</v>
      </c>
      <c r="J17" s="12">
        <f t="shared" si="9"/>
        <v>1000</v>
      </c>
      <c r="K17" s="12">
        <f t="shared" si="9"/>
        <v>1000</v>
      </c>
      <c r="L17" s="12">
        <f t="shared" si="9"/>
        <v>1000</v>
      </c>
    </row>
    <row r="18" s="69" customFormat="1" ht="12" customHeight="1" spans="1:12">
      <c r="A18" s="25" t="s">
        <v>171</v>
      </c>
      <c r="B18" s="25" t="s">
        <v>249</v>
      </c>
      <c r="C18" s="84">
        <f>SUM((D18:L18))</f>
        <v>163.578613387653</v>
      </c>
      <c r="D18" s="81">
        <f t="shared" ref="D18:L18" si="10">D19+D20+D21+D22</f>
        <v>18.5469351740993</v>
      </c>
      <c r="E18" s="81">
        <f t="shared" si="10"/>
        <v>18.4529635989473</v>
      </c>
      <c r="F18" s="81">
        <f t="shared" si="10"/>
        <v>18.359461881671</v>
      </c>
      <c r="G18" s="81">
        <f t="shared" si="10"/>
        <v>18.2664276729812</v>
      </c>
      <c r="H18" s="81">
        <f t="shared" si="10"/>
        <v>18.1738586353348</v>
      </c>
      <c r="I18" s="8">
        <f t="shared" si="10"/>
        <v>18.0817524428766</v>
      </c>
      <c r="J18" s="81">
        <f t="shared" si="10"/>
        <v>17.9901067813807</v>
      </c>
      <c r="K18" s="81">
        <f t="shared" si="10"/>
        <v>17.8989193481923</v>
      </c>
      <c r="L18" s="81">
        <f t="shared" si="10"/>
        <v>17.8081878521698</v>
      </c>
    </row>
    <row r="19" ht="12" customHeight="1" spans="1:12">
      <c r="A19" s="93">
        <v>1</v>
      </c>
      <c r="B19" s="30" t="s">
        <v>250</v>
      </c>
      <c r="C19" s="46"/>
      <c r="D19" s="13"/>
      <c r="E19" s="13"/>
      <c r="F19" s="13"/>
      <c r="G19" s="13"/>
      <c r="H19" s="13"/>
      <c r="I19" s="94"/>
      <c r="J19" s="13"/>
      <c r="K19" s="13"/>
      <c r="L19" s="13"/>
    </row>
    <row r="20" ht="12" customHeight="1" spans="1:12">
      <c r="A20" s="93">
        <v>2</v>
      </c>
      <c r="B20" s="30" t="s">
        <v>251</v>
      </c>
      <c r="C20" s="46"/>
      <c r="D20" s="13"/>
      <c r="E20" s="13"/>
      <c r="F20" s="13"/>
      <c r="G20" s="13"/>
      <c r="H20" s="13"/>
      <c r="I20" s="94"/>
      <c r="J20" s="13"/>
      <c r="K20" s="13"/>
      <c r="L20" s="13"/>
    </row>
    <row r="21" ht="12" customHeight="1" spans="1:12">
      <c r="A21" s="93">
        <v>3</v>
      </c>
      <c r="B21" s="95" t="s">
        <v>252</v>
      </c>
      <c r="C21" s="46">
        <f>SUM((D21:L21))</f>
        <v>114.505029371357</v>
      </c>
      <c r="D21" s="12">
        <f>D23*核心参数!$C$64</f>
        <v>12.9828546218695</v>
      </c>
      <c r="E21" s="12">
        <f>E23*核心参数!$C$64</f>
        <v>12.9170745192631</v>
      </c>
      <c r="F21" s="12">
        <f>F23*核心参数!$C$64</f>
        <v>12.8516233171697</v>
      </c>
      <c r="G21" s="12">
        <f>G23*核心参数!$C$64</f>
        <v>12.7864993710868</v>
      </c>
      <c r="H21" s="12">
        <f>H23*核心参数!$C$64</f>
        <v>12.7217010447343</v>
      </c>
      <c r="I21" s="12">
        <f>I23*核心参数!$C$64</f>
        <v>12.6572267100136</v>
      </c>
      <c r="J21" s="12">
        <f>J23*核心参数!$C$64</f>
        <v>12.5930747469665</v>
      </c>
      <c r="K21" s="12">
        <f>K23*核心参数!$C$64</f>
        <v>12.5292435437346</v>
      </c>
      <c r="L21" s="12">
        <f>L23*核心参数!$C$64</f>
        <v>12.4657314965189</v>
      </c>
    </row>
    <row r="22" ht="12" customHeight="1" spans="1:12">
      <c r="A22" s="93">
        <v>4</v>
      </c>
      <c r="B22" s="30" t="s">
        <v>253</v>
      </c>
      <c r="C22" s="46">
        <f>SUM((D22:L22))</f>
        <v>49.0735840162958</v>
      </c>
      <c r="D22" s="12">
        <f>D23*核心参数!$C$65</f>
        <v>5.56408055222978</v>
      </c>
      <c r="E22" s="12">
        <f>E23*核心参数!$C$65</f>
        <v>5.53588907968418</v>
      </c>
      <c r="F22" s="12">
        <f>F23*核心参数!$C$65</f>
        <v>5.50783856450131</v>
      </c>
      <c r="G22" s="12">
        <f>G23*核心参数!$C$65</f>
        <v>5.47992830189435</v>
      </c>
      <c r="H22" s="12">
        <f>H23*核心参数!$C$65</f>
        <v>5.45215759060042</v>
      </c>
      <c r="I22" s="12">
        <f>I23*核心参数!$C$65</f>
        <v>5.42452573286297</v>
      </c>
      <c r="J22" s="12">
        <f>J23*核心参数!$C$65</f>
        <v>5.39703203441421</v>
      </c>
      <c r="K22" s="12">
        <f>K23*核心参数!$C$65</f>
        <v>5.36967580445768</v>
      </c>
      <c r="L22" s="12">
        <f>L23*核心参数!$C$65</f>
        <v>5.34245635565094</v>
      </c>
    </row>
    <row r="23" ht="12" customHeight="1" spans="1:12">
      <c r="A23" s="30" t="s">
        <v>254</v>
      </c>
      <c r="B23" s="30" t="s">
        <v>255</v>
      </c>
      <c r="C23" s="46">
        <f>SUM((D23:L23))</f>
        <v>1635.78613387653</v>
      </c>
      <c r="D23" s="12">
        <f t="shared" ref="D23:L23" si="11">D24-D25</f>
        <v>185.469351740993</v>
      </c>
      <c r="E23" s="12">
        <f t="shared" si="11"/>
        <v>184.529635989473</v>
      </c>
      <c r="F23" s="12">
        <f t="shared" si="11"/>
        <v>183.59461881671</v>
      </c>
      <c r="G23" s="12">
        <f t="shared" si="11"/>
        <v>182.664276729812</v>
      </c>
      <c r="H23" s="12">
        <f t="shared" si="11"/>
        <v>181.738586353347</v>
      </c>
      <c r="I23" s="12">
        <f t="shared" si="11"/>
        <v>180.817524428766</v>
      </c>
      <c r="J23" s="12">
        <f t="shared" si="11"/>
        <v>179.901067813807</v>
      </c>
      <c r="K23" s="12">
        <f t="shared" si="11"/>
        <v>178.989193481923</v>
      </c>
      <c r="L23" s="12">
        <f t="shared" si="11"/>
        <v>178.081878521698</v>
      </c>
    </row>
    <row r="24" ht="12" customHeight="1" spans="1:12">
      <c r="A24" s="93">
        <v>1</v>
      </c>
      <c r="B24" s="30" t="s">
        <v>256</v>
      </c>
      <c r="C24" s="46">
        <f>SUM((D24:L24))</f>
        <v>1777.80999774159</v>
      </c>
      <c r="D24" s="12">
        <f>(D6+D12)*核心参数!$C$63+D15*核心参数!$C$70</f>
        <v>201.4676184</v>
      </c>
      <c r="E24" s="12">
        <f>(E6+E12)*核心参数!$C$63+E15*核心参数!$C$70</f>
        <v>200.472805308</v>
      </c>
      <c r="F24" s="12">
        <f>(F6+F12)*核心参数!$C$63+F15*核心参数!$C$70</f>
        <v>199.48296628146</v>
      </c>
      <c r="G24" s="12">
        <f>(G6+G12)*核心参数!$C$63+G15*核心参数!$C$70</f>
        <v>198.498076450053</v>
      </c>
      <c r="H24" s="12">
        <f>(H6+H12)*核心参数!$C$63+H15*核心参数!$C$70</f>
        <v>197.518111067802</v>
      </c>
      <c r="I24" s="12">
        <f>(I6+I12)*核心参数!$C$63+I15*核心参数!$C$70</f>
        <v>196.543045512463</v>
      </c>
      <c r="J24" s="12">
        <f>(J6+J12)*核心参数!$C$63+J15*核心参数!$C$70</f>
        <v>195.572855284901</v>
      </c>
      <c r="K24" s="12">
        <f>(K6+K12)*核心参数!$C$63+K15*核心参数!$C$70</f>
        <v>194.607516008477</v>
      </c>
      <c r="L24" s="12">
        <f>(L6+L12)*核心参数!$C$63+L15*核心参数!$C$70</f>
        <v>193.647003428434</v>
      </c>
    </row>
    <row r="25" ht="12" customHeight="1" spans="1:12">
      <c r="A25" s="93">
        <v>2</v>
      </c>
      <c r="B25" s="30" t="s">
        <v>257</v>
      </c>
      <c r="C25" s="46">
        <f>SUM((D25:L25))</f>
        <v>142.023863865063</v>
      </c>
      <c r="D25" s="12">
        <f>总成本费用表!D5*0.13+(总成本费用表!D8+总成本费用表!D7)*0.09</f>
        <v>15.9982666590074</v>
      </c>
      <c r="E25" s="12">
        <f>总成本费用表!E5*0.13+(总成本费用表!E8+总成本费用表!E7)*0.09</f>
        <v>15.9431693185274</v>
      </c>
      <c r="F25" s="12">
        <f>总成本费用表!F5*0.13+(总成本费用表!F8+总成本费用表!F7)*0.09</f>
        <v>15.8883474647498</v>
      </c>
      <c r="G25" s="12">
        <f>总成本费用表!G5*0.13+(总成本费用表!G8+总成本费用表!G7)*0.09</f>
        <v>15.8337997202411</v>
      </c>
      <c r="H25" s="12">
        <f>总成本费用表!H5*0.13+(总成本费用表!H8+总成本费用表!H7)*0.09</f>
        <v>15.779524714455</v>
      </c>
      <c r="I25" s="12">
        <f>总成本费用表!I5*0.13+(总成本费用表!I8+总成本费用表!I7)*0.09</f>
        <v>15.7255210836977</v>
      </c>
      <c r="J25" s="12">
        <f>总成本费用表!J5*0.13+(总成本费用表!J8+总成本费用表!J7)*0.09</f>
        <v>15.6717874710943</v>
      </c>
      <c r="K25" s="12">
        <f>总成本费用表!K5*0.13+(总成本费用表!K8+总成本费用表!K7)*0.09</f>
        <v>15.6183225265538</v>
      </c>
      <c r="L25" s="12">
        <f>总成本费用表!L5*0.13+(总成本费用表!L8+总成本费用表!L7)*0.09</f>
        <v>15.5651249067361</v>
      </c>
    </row>
  </sheetData>
  <sheetProtection formatCells="0" insertHyperlinks="0" autoFilter="0"/>
  <mergeCells count="5">
    <mergeCell ref="A1:K1"/>
    <mergeCell ref="D3:L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0" zoomScaleNormal="120" workbookViewId="0">
      <selection activeCell="A1" sqref="A1:L1"/>
    </sheetView>
  </sheetViews>
  <sheetFormatPr defaultColWidth="9" defaultRowHeight="13.5"/>
  <cols>
    <col min="1" max="1" width="3.36666666666667" style="42" customWidth="1"/>
    <col min="2" max="2" width="14.1333333333333" style="42" customWidth="1"/>
    <col min="3" max="3" width="13.325" customWidth="1"/>
    <col min="4" max="12" width="7.86666666666667" customWidth="1"/>
  </cols>
  <sheetData>
    <row r="1" spans="1:12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ht="15.4" customHeight="1" spans="1:12">
      <c r="K2" t="s">
        <v>155</v>
      </c>
    </row>
    <row r="3" s="19" customFormat="1" ht="14.1" customHeight="1" spans="1:12">
      <c r="A3" s="65" t="s">
        <v>105</v>
      </c>
      <c r="B3" s="65" t="s">
        <v>106</v>
      </c>
      <c r="C3" s="65" t="s">
        <v>160</v>
      </c>
      <c r="D3" s="25"/>
      <c r="E3" s="25"/>
      <c r="F3" s="25"/>
      <c r="G3" s="25"/>
      <c r="H3" s="25"/>
      <c r="I3" s="25"/>
      <c r="J3" s="25"/>
      <c r="K3" s="25"/>
      <c r="L3" s="25"/>
    </row>
    <row r="4" s="19" customFormat="1" ht="12" customHeight="1" spans="1:12">
      <c r="A4" s="66"/>
      <c r="B4" s="66"/>
      <c r="C4" s="66"/>
      <c r="D4" s="28">
        <v>2</v>
      </c>
      <c r="E4" s="28">
        <v>3</v>
      </c>
      <c r="F4" s="28">
        <v>4</v>
      </c>
      <c r="G4" s="28">
        <v>5</v>
      </c>
      <c r="H4" s="28">
        <v>6</v>
      </c>
      <c r="I4" s="28">
        <v>7</v>
      </c>
      <c r="J4" s="28">
        <v>8</v>
      </c>
      <c r="K4" s="28">
        <v>9</v>
      </c>
      <c r="L4" s="28">
        <v>10</v>
      </c>
    </row>
    <row r="5" s="20" customFormat="1" ht="15" customHeight="1" spans="1:12">
      <c r="A5" s="33">
        <v>1</v>
      </c>
      <c r="B5" s="34" t="s">
        <v>258</v>
      </c>
      <c r="C5" s="48">
        <f t="shared" ref="C5:C15" si="0">SUM(D5:L5)</f>
        <v>140.4</v>
      </c>
      <c r="D5" s="48">
        <f>外购原料及动力成本表!G30</f>
        <v>15.6</v>
      </c>
      <c r="E5" s="48">
        <f>外购原料及动力成本表!H30</f>
        <v>15.6</v>
      </c>
      <c r="F5" s="48">
        <f>外购原料及动力成本表!I30</f>
        <v>15.6</v>
      </c>
      <c r="G5" s="48">
        <f>外购原料及动力成本表!J30</f>
        <v>15.6</v>
      </c>
      <c r="H5" s="48">
        <f>外购原料及动力成本表!K30</f>
        <v>15.6</v>
      </c>
      <c r="I5" s="48">
        <f>外购原料及动力成本表!L30</f>
        <v>15.6</v>
      </c>
      <c r="J5" s="48">
        <f>外购原料及动力成本表!M30</f>
        <v>15.6</v>
      </c>
      <c r="K5" s="48">
        <f>外购原料及动力成本表!N30</f>
        <v>15.6</v>
      </c>
      <c r="L5" s="48">
        <f>外购原料及动力成本表!O30</f>
        <v>15.6</v>
      </c>
    </row>
    <row r="6" s="20" customFormat="1" ht="15" customHeight="1" spans="1:12">
      <c r="A6" s="33">
        <v>2</v>
      </c>
      <c r="B6" s="34" t="s">
        <v>259</v>
      </c>
      <c r="C6" s="48">
        <f t="shared" si="0"/>
        <v>216</v>
      </c>
      <c r="D6" s="48">
        <f>工资及福利费!D8</f>
        <v>24</v>
      </c>
      <c r="E6" s="48">
        <f>工资及福利费!E8</f>
        <v>24</v>
      </c>
      <c r="F6" s="48">
        <f>工资及福利费!F8</f>
        <v>24</v>
      </c>
      <c r="G6" s="48">
        <f>工资及福利费!G8</f>
        <v>24</v>
      </c>
      <c r="H6" s="48">
        <f>工资及福利费!H8</f>
        <v>24</v>
      </c>
      <c r="I6" s="48">
        <f>工资及福利费!I8</f>
        <v>24</v>
      </c>
      <c r="J6" s="48">
        <f>工资及福利费!J8</f>
        <v>24</v>
      </c>
      <c r="K6" s="48">
        <f>工资及福利费!K8</f>
        <v>24</v>
      </c>
      <c r="L6" s="48">
        <f>工资及福利费!L8</f>
        <v>24</v>
      </c>
    </row>
    <row r="7" s="20" customFormat="1" ht="15" customHeight="1" spans="1:12">
      <c r="A7" s="33">
        <v>3</v>
      </c>
      <c r="B7" s="34" t="s">
        <v>115</v>
      </c>
      <c r="C7" s="48">
        <f t="shared" si="0"/>
        <v>274.559856300744</v>
      </c>
      <c r="D7" s="48">
        <f>D10*核心参数!C47</f>
        <v>30.5066507000826</v>
      </c>
      <c r="E7" s="48">
        <f t="shared" ref="E7:L7" si="1">D7</f>
        <v>30.5066507000826</v>
      </c>
      <c r="F7" s="48">
        <f t="shared" si="1"/>
        <v>30.5066507000826</v>
      </c>
      <c r="G7" s="48">
        <f t="shared" si="1"/>
        <v>30.5066507000826</v>
      </c>
      <c r="H7" s="48">
        <f t="shared" si="1"/>
        <v>30.5066507000826</v>
      </c>
      <c r="I7" s="48">
        <f t="shared" si="1"/>
        <v>30.5066507000826</v>
      </c>
      <c r="J7" s="48">
        <f t="shared" si="1"/>
        <v>30.5066507000826</v>
      </c>
      <c r="K7" s="48">
        <f t="shared" si="1"/>
        <v>30.5066507000826</v>
      </c>
      <c r="L7" s="48">
        <f t="shared" si="1"/>
        <v>30.5066507000826</v>
      </c>
    </row>
    <row r="8" s="19" customFormat="1" ht="15" customHeight="1" spans="1:12">
      <c r="A8" s="33">
        <v>4</v>
      </c>
      <c r="B8" s="30" t="s">
        <v>260</v>
      </c>
      <c r="C8" s="48">
        <f t="shared" si="0"/>
        <v>1100.68307553329</v>
      </c>
      <c r="D8" s="46">
        <f>营业收入及税金表!D5*核心参数!$C$45</f>
        <v>124.7185344</v>
      </c>
      <c r="E8" s="46">
        <f>营业收入及税金表!E5*核心参数!$C$45</f>
        <v>124.106341728</v>
      </c>
      <c r="F8" s="46">
        <f>营业收入及税金表!F5*核心参数!$C$45</f>
        <v>123.49721001936</v>
      </c>
      <c r="G8" s="46">
        <f>营业收入及税金表!G5*核心参数!$C$45</f>
        <v>122.891123969263</v>
      </c>
      <c r="H8" s="46">
        <f>营业收入及税金表!H5*核心参数!$C$45</f>
        <v>122.288068349417</v>
      </c>
      <c r="I8" s="46">
        <f>营业收入及税金表!I5*核心参数!$C$45</f>
        <v>121.68802800767</v>
      </c>
      <c r="J8" s="46">
        <f>营业收入及税金表!J5*核心参数!$C$45</f>
        <v>121.090987867631</v>
      </c>
      <c r="K8" s="46">
        <f>营业收入及税金表!K5*核心参数!$C$45</f>
        <v>120.496932928293</v>
      </c>
      <c r="L8" s="46">
        <f>营业收入及税金表!L5*核心参数!$C$45</f>
        <v>119.905848263652</v>
      </c>
    </row>
    <row r="9" s="19" customFormat="1" ht="21" customHeight="1" spans="1:12">
      <c r="A9" s="33">
        <v>7</v>
      </c>
      <c r="B9" s="30" t="s">
        <v>261</v>
      </c>
      <c r="C9" s="48">
        <f t="shared" si="0"/>
        <v>1731.64293183403</v>
      </c>
      <c r="D9" s="67">
        <f t="shared" ref="D9:L9" si="2">SUM(D6:D8)+D5</f>
        <v>194.825185100083</v>
      </c>
      <c r="E9" s="67">
        <f t="shared" si="2"/>
        <v>194.212992428083</v>
      </c>
      <c r="F9" s="67">
        <f t="shared" si="2"/>
        <v>193.603860719443</v>
      </c>
      <c r="G9" s="67">
        <f t="shared" si="2"/>
        <v>192.997774669346</v>
      </c>
      <c r="H9" s="67">
        <f t="shared" si="2"/>
        <v>192.3947190495</v>
      </c>
      <c r="I9" s="67">
        <f t="shared" si="2"/>
        <v>191.794678707753</v>
      </c>
      <c r="J9" s="67">
        <f t="shared" si="2"/>
        <v>191.197638567714</v>
      </c>
      <c r="K9" s="67">
        <f t="shared" si="2"/>
        <v>190.603583628376</v>
      </c>
      <c r="L9" s="67">
        <f t="shared" si="2"/>
        <v>190.012498963735</v>
      </c>
    </row>
    <row r="10" s="19" customFormat="1" ht="15" customHeight="1" spans="1:12">
      <c r="A10" s="33">
        <v>8</v>
      </c>
      <c r="B10" s="30" t="s">
        <v>235</v>
      </c>
      <c r="C10" s="48">
        <f t="shared" si="0"/>
        <v>3431.9982037593</v>
      </c>
      <c r="D10" s="46">
        <f>固定资产折旧!F14</f>
        <v>381.333133751033</v>
      </c>
      <c r="E10" s="46">
        <f>固定资产折旧!G14</f>
        <v>381.333133751033</v>
      </c>
      <c r="F10" s="46">
        <f>固定资产折旧!H14</f>
        <v>381.333133751033</v>
      </c>
      <c r="G10" s="46">
        <f>固定资产折旧!I14</f>
        <v>381.333133751033</v>
      </c>
      <c r="H10" s="46">
        <f>固定资产折旧!J14</f>
        <v>381.333133751033</v>
      </c>
      <c r="I10" s="46">
        <f>固定资产折旧!K14</f>
        <v>381.333133751033</v>
      </c>
      <c r="J10" s="46">
        <f>固定资产折旧!L14</f>
        <v>381.333133751033</v>
      </c>
      <c r="K10" s="46">
        <f>固定资产折旧!M14</f>
        <v>381.333133751033</v>
      </c>
      <c r="L10" s="46">
        <f>固定资产折旧!N14</f>
        <v>381.333133751033</v>
      </c>
    </row>
    <row r="11" s="19" customFormat="1" ht="15" customHeight="1" spans="1:12">
      <c r="A11" s="29">
        <v>10</v>
      </c>
      <c r="B11" s="30" t="s">
        <v>262</v>
      </c>
      <c r="C11" s="48">
        <f t="shared" si="0"/>
        <v>0</v>
      </c>
      <c r="D11" s="67"/>
      <c r="E11" s="67"/>
      <c r="F11" s="67"/>
      <c r="G11" s="67"/>
      <c r="H11" s="67"/>
      <c r="I11" s="67"/>
      <c r="J11" s="67"/>
      <c r="K11" s="67"/>
      <c r="L11" s="67"/>
    </row>
    <row r="12" s="20" customFormat="1" ht="15" customHeight="1" spans="1:12">
      <c r="A12" s="33">
        <v>11</v>
      </c>
      <c r="B12" s="34" t="s">
        <v>263</v>
      </c>
      <c r="C12" s="48">
        <f t="shared" si="0"/>
        <v>1505.25</v>
      </c>
      <c r="D12" s="48">
        <f>还本付息表!E9</f>
        <v>303.75</v>
      </c>
      <c r="E12" s="48">
        <f>还本付息表!F9</f>
        <v>272.25</v>
      </c>
      <c r="F12" s="48">
        <f>还本付息表!G9</f>
        <v>239.625</v>
      </c>
      <c r="G12" s="48">
        <f>还本付息表!H9</f>
        <v>205.875</v>
      </c>
      <c r="H12" s="48">
        <f>还本付息表!I9</f>
        <v>171</v>
      </c>
      <c r="I12" s="48">
        <f>还本付息表!J9</f>
        <v>135</v>
      </c>
      <c r="J12" s="48">
        <f>还本付息表!K9</f>
        <v>97.875</v>
      </c>
      <c r="K12" s="48">
        <f>还本付息表!L9</f>
        <v>59.625</v>
      </c>
      <c r="L12" s="48">
        <f>还本付息表!M9</f>
        <v>20.25</v>
      </c>
    </row>
    <row r="13" s="19" customFormat="1" ht="18.95" customHeight="1" spans="1:12">
      <c r="A13" s="29">
        <v>12</v>
      </c>
      <c r="B13" s="30" t="s">
        <v>264</v>
      </c>
      <c r="C13" s="48">
        <f t="shared" si="0"/>
        <v>6668.89113559333</v>
      </c>
      <c r="D13" s="67">
        <f t="shared" ref="D13:L13" si="3">SUM(D9:D12)</f>
        <v>879.908318851116</v>
      </c>
      <c r="E13" s="67">
        <f t="shared" si="3"/>
        <v>847.796126179116</v>
      </c>
      <c r="F13" s="67">
        <f t="shared" si="3"/>
        <v>814.561994470476</v>
      </c>
      <c r="G13" s="67">
        <f t="shared" si="3"/>
        <v>780.205908420379</v>
      </c>
      <c r="H13" s="67">
        <f t="shared" si="3"/>
        <v>744.727852800533</v>
      </c>
      <c r="I13" s="67">
        <f t="shared" si="3"/>
        <v>708.127812458786</v>
      </c>
      <c r="J13" s="67">
        <f t="shared" si="3"/>
        <v>670.405772318747</v>
      </c>
      <c r="K13" s="67">
        <f t="shared" si="3"/>
        <v>631.561717379409</v>
      </c>
      <c r="L13" s="67">
        <f t="shared" si="3"/>
        <v>591.595632714768</v>
      </c>
    </row>
    <row r="14" s="19" customFormat="1" ht="15" customHeight="1" spans="1:12">
      <c r="A14" s="68">
        <v>12.1</v>
      </c>
      <c r="B14" s="30" t="s">
        <v>265</v>
      </c>
      <c r="C14" s="48">
        <f t="shared" si="0"/>
        <v>6037.93127929259</v>
      </c>
      <c r="D14" s="67">
        <f t="shared" ref="D14:L14" si="4">D8+D10+D11+D12</f>
        <v>809.801668151033</v>
      </c>
      <c r="E14" s="67">
        <f t="shared" si="4"/>
        <v>777.689475479033</v>
      </c>
      <c r="F14" s="67">
        <f t="shared" si="4"/>
        <v>744.455343770393</v>
      </c>
      <c r="G14" s="67">
        <f t="shared" si="4"/>
        <v>710.099257720296</v>
      </c>
      <c r="H14" s="67">
        <f t="shared" si="4"/>
        <v>674.62120210045</v>
      </c>
      <c r="I14" s="67">
        <f t="shared" si="4"/>
        <v>638.021161758703</v>
      </c>
      <c r="J14" s="67">
        <f t="shared" si="4"/>
        <v>600.299121618665</v>
      </c>
      <c r="K14" s="67">
        <f t="shared" si="4"/>
        <v>561.455066679327</v>
      </c>
      <c r="L14" s="67">
        <f t="shared" si="4"/>
        <v>521.488982014685</v>
      </c>
    </row>
    <row r="15" s="19" customFormat="1" ht="15" customHeight="1" spans="1:12">
      <c r="A15" s="68">
        <v>12.2</v>
      </c>
      <c r="B15" s="30" t="s">
        <v>266</v>
      </c>
      <c r="C15" s="48">
        <f t="shared" si="0"/>
        <v>490.559856300744</v>
      </c>
      <c r="D15" s="46">
        <f t="shared" ref="D15:L15" si="5">D6+D7</f>
        <v>54.5066507000827</v>
      </c>
      <c r="E15" s="46">
        <f t="shared" si="5"/>
        <v>54.5066507000827</v>
      </c>
      <c r="F15" s="46">
        <f t="shared" si="5"/>
        <v>54.5066507000827</v>
      </c>
      <c r="G15" s="46">
        <f t="shared" si="5"/>
        <v>54.5066507000827</v>
      </c>
      <c r="H15" s="46">
        <f t="shared" si="5"/>
        <v>54.5066507000827</v>
      </c>
      <c r="I15" s="46">
        <f t="shared" si="5"/>
        <v>54.5066507000827</v>
      </c>
      <c r="J15" s="46">
        <f t="shared" si="5"/>
        <v>54.5066507000827</v>
      </c>
      <c r="K15" s="46">
        <f t="shared" si="5"/>
        <v>54.5066507000827</v>
      </c>
      <c r="L15" s="46">
        <f t="shared" si="5"/>
        <v>54.5066507000827</v>
      </c>
    </row>
  </sheetData>
  <sheetProtection formatCells="0" insertHyperlinks="0" autoFilter="0"/>
  <mergeCells count="5">
    <mergeCell ref="A1:L1"/>
    <mergeCell ref="D3:L3"/>
    <mergeCell ref="A3:A4"/>
    <mergeCell ref="B3:B4"/>
    <mergeCell ref="C3:C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"/>
    </sheetView>
  </sheetViews>
  <sheetFormatPr defaultColWidth="9.81666666666667" defaultRowHeight="14.25" outlineLevelRow="7"/>
  <cols>
    <col min="1" max="1" width="6.95833333333333" style="49"/>
    <col min="2" max="2" width="14.1833333333333" style="49"/>
    <col min="3" max="3" width="7.90833333333333" style="49"/>
    <col min="4" max="8" width="12.6833333333333" style="49"/>
    <col min="9" max="26" width="9.81666666666667" style="49"/>
  </cols>
  <sheetData>
    <row r="1" s="49" customFormat="1" spans="1:12">
      <c r="A1" s="50" t="s">
        <v>267</v>
      </c>
    </row>
    <row r="2" s="49" customFormat="1" ht="18.75" spans="1:12">
      <c r="A2" s="51" t="s">
        <v>268</v>
      </c>
      <c r="B2" s="51"/>
      <c r="C2" s="51"/>
      <c r="D2" s="51"/>
      <c r="E2" s="51"/>
      <c r="F2" s="51"/>
      <c r="G2" s="51"/>
      <c r="H2" s="51"/>
    </row>
    <row r="3" s="49" customFormat="1" ht="18.75" spans="1:12">
      <c r="A3" s="52"/>
      <c r="B3" s="53"/>
      <c r="C3" s="53"/>
      <c r="D3" s="53"/>
      <c r="H3" s="50" t="s">
        <v>155</v>
      </c>
    </row>
    <row r="4" s="49" customFormat="1" ht="24" customHeight="1" spans="1:12">
      <c r="A4" s="54" t="s">
        <v>269</v>
      </c>
      <c r="B4" s="55" t="s">
        <v>106</v>
      </c>
      <c r="C4" s="56" t="s">
        <v>160</v>
      </c>
      <c r="D4" s="57" t="s">
        <v>73</v>
      </c>
      <c r="E4" s="57"/>
      <c r="F4" s="57"/>
      <c r="G4" s="57"/>
      <c r="H4" s="57"/>
      <c r="I4" s="57"/>
      <c r="J4" s="57"/>
      <c r="K4" s="57"/>
      <c r="L4" s="57"/>
    </row>
    <row r="5" s="49" customFormat="1" ht="24" customHeight="1" spans="1:12">
      <c r="A5" s="54"/>
      <c r="B5" s="55"/>
      <c r="C5" s="56"/>
      <c r="D5" s="58">
        <v>2</v>
      </c>
      <c r="E5" s="58">
        <v>3</v>
      </c>
      <c r="F5" s="58">
        <v>4</v>
      </c>
      <c r="G5" s="58">
        <v>5</v>
      </c>
      <c r="H5" s="58">
        <v>6</v>
      </c>
      <c r="I5" s="58">
        <v>7</v>
      </c>
      <c r="J5" s="58">
        <v>8</v>
      </c>
      <c r="K5" s="58">
        <v>9</v>
      </c>
      <c r="L5" s="58">
        <v>10</v>
      </c>
    </row>
    <row r="6" s="49" customFormat="1" ht="33" customHeight="1" spans="1:12">
      <c r="A6" s="59">
        <v>1</v>
      </c>
      <c r="B6" s="60" t="s">
        <v>270</v>
      </c>
      <c r="C6" s="61"/>
      <c r="D6" s="62">
        <f>核心参数!C48</f>
        <v>4</v>
      </c>
      <c r="E6" s="62">
        <f t="shared" ref="E6:L6" si="0">D6</f>
        <v>4</v>
      </c>
      <c r="F6" s="62">
        <f t="shared" si="0"/>
        <v>4</v>
      </c>
      <c r="G6" s="62">
        <f t="shared" si="0"/>
        <v>4</v>
      </c>
      <c r="H6" s="62">
        <f t="shared" si="0"/>
        <v>4</v>
      </c>
      <c r="I6" s="62">
        <f t="shared" si="0"/>
        <v>4</v>
      </c>
      <c r="J6" s="62">
        <f t="shared" si="0"/>
        <v>4</v>
      </c>
      <c r="K6" s="62">
        <f t="shared" si="0"/>
        <v>4</v>
      </c>
      <c r="L6" s="62">
        <f t="shared" si="0"/>
        <v>4</v>
      </c>
    </row>
    <row r="7" s="49" customFormat="1" ht="33" customHeight="1" spans="1:12">
      <c r="A7" s="59"/>
      <c r="B7" s="63" t="s">
        <v>271</v>
      </c>
      <c r="C7" s="61"/>
      <c r="D7" s="62">
        <f>核心参数!C49*10000</f>
        <v>60000</v>
      </c>
      <c r="E7" s="62">
        <f t="shared" ref="E7:L7" si="1">D7</f>
        <v>60000</v>
      </c>
      <c r="F7" s="62">
        <f t="shared" si="1"/>
        <v>60000</v>
      </c>
      <c r="G7" s="62">
        <f t="shared" si="1"/>
        <v>60000</v>
      </c>
      <c r="H7" s="62">
        <f t="shared" si="1"/>
        <v>60000</v>
      </c>
      <c r="I7" s="62">
        <f t="shared" si="1"/>
        <v>60000</v>
      </c>
      <c r="J7" s="62">
        <f t="shared" si="1"/>
        <v>60000</v>
      </c>
      <c r="K7" s="62">
        <f t="shared" si="1"/>
        <v>60000</v>
      </c>
      <c r="L7" s="62">
        <f t="shared" si="1"/>
        <v>60000</v>
      </c>
    </row>
    <row r="8" s="49" customFormat="1" ht="48" customHeight="1" spans="1:12">
      <c r="A8" s="59">
        <v>2</v>
      </c>
      <c r="B8" s="60" t="s">
        <v>272</v>
      </c>
      <c r="C8" s="61"/>
      <c r="D8" s="62">
        <f t="shared" ref="D8:L8" si="2">D6*D7/10000</f>
        <v>24</v>
      </c>
      <c r="E8" s="62">
        <f t="shared" si="2"/>
        <v>24</v>
      </c>
      <c r="F8" s="62">
        <f t="shared" si="2"/>
        <v>24</v>
      </c>
      <c r="G8" s="62">
        <f t="shared" si="2"/>
        <v>24</v>
      </c>
      <c r="H8" s="62">
        <f t="shared" si="2"/>
        <v>24</v>
      </c>
      <c r="I8" s="62">
        <f t="shared" si="2"/>
        <v>24</v>
      </c>
      <c r="J8" s="62">
        <f t="shared" si="2"/>
        <v>24</v>
      </c>
      <c r="K8" s="62">
        <f t="shared" si="2"/>
        <v>24</v>
      </c>
      <c r="L8" s="62">
        <f t="shared" si="2"/>
        <v>24</v>
      </c>
    </row>
  </sheetData>
  <sheetProtection formatCells="0" insertHyperlinks="0" autoFilter="0"/>
  <mergeCells count="6">
    <mergeCell ref="A2:H2"/>
    <mergeCell ref="A3:D3"/>
    <mergeCell ref="D4:L4"/>
    <mergeCell ref="A4:A5"/>
    <mergeCell ref="B4:B5"/>
    <mergeCell ref="C4:C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20" zoomScaleNormal="120" topLeftCell="B1" workbookViewId="0">
      <selection activeCell="A1" sqref="A1:L1"/>
    </sheetView>
  </sheetViews>
  <sheetFormatPr defaultColWidth="9" defaultRowHeight="13.5"/>
  <cols>
    <col min="1" max="1" width="3.63333333333333" customWidth="1"/>
    <col min="2" max="2" width="26.5083333333333" customWidth="1"/>
    <col min="3" max="3" width="9.93333333333333" style="42" customWidth="1"/>
    <col min="4" max="12" width="8.24166666666667" customWidth="1"/>
  </cols>
  <sheetData>
    <row r="1" ht="27" customHeight="1" spans="1:12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J2" t="s">
        <v>155</v>
      </c>
    </row>
    <row r="3" spans="1:12">
      <c r="A3" s="37" t="s">
        <v>105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>
      <c r="A4" s="37"/>
      <c r="B4" s="30" t="s">
        <v>273</v>
      </c>
      <c r="C4" s="30" t="s">
        <v>160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</row>
    <row r="5" ht="12" customHeight="1" spans="1:12">
      <c r="A5" s="45">
        <v>1</v>
      </c>
      <c r="B5" s="30" t="s">
        <v>237</v>
      </c>
      <c r="C5" s="46">
        <f>SUM(D5:L5)</f>
        <v>13758.5384441661</v>
      </c>
      <c r="D5" s="46">
        <f>营业收入及税金表!D5</f>
        <v>1558.98168</v>
      </c>
      <c r="E5" s="46">
        <f>营业收入及税金表!E5</f>
        <v>1551.3292716</v>
      </c>
      <c r="F5" s="46">
        <f>营业收入及税金表!F5</f>
        <v>1543.715125242</v>
      </c>
      <c r="G5" s="46">
        <f>营业收入及税金表!G5</f>
        <v>1536.13904961579</v>
      </c>
      <c r="H5" s="46">
        <f>营业收入及税金表!H5</f>
        <v>1528.60085436771</v>
      </c>
      <c r="I5" s="46">
        <f>营业收入及税金表!I5</f>
        <v>1521.10035009587</v>
      </c>
      <c r="J5" s="46">
        <f>营业收入及税金表!J5</f>
        <v>1513.63734834539</v>
      </c>
      <c r="K5" s="46">
        <f>营业收入及税金表!K5</f>
        <v>1506.21166160367</v>
      </c>
      <c r="L5" s="46">
        <f>营业收入及税金表!L5</f>
        <v>1498.82310329565</v>
      </c>
    </row>
    <row r="6" ht="12" customHeight="1" spans="1:12">
      <c r="A6" s="45">
        <v>2</v>
      </c>
      <c r="B6" s="30" t="s">
        <v>274</v>
      </c>
      <c r="C6" s="46">
        <f>SUM(D6:L6)</f>
        <v>163.578613387653</v>
      </c>
      <c r="D6" s="47">
        <f>营业收入及税金表!D18</f>
        <v>18.5469351740993</v>
      </c>
      <c r="E6" s="47">
        <f>营业收入及税金表!E18</f>
        <v>18.4529635989473</v>
      </c>
      <c r="F6" s="47">
        <f>营业收入及税金表!F18</f>
        <v>18.359461881671</v>
      </c>
      <c r="G6" s="47">
        <f>营业收入及税金表!G18</f>
        <v>18.2664276729812</v>
      </c>
      <c r="H6" s="47">
        <f>营业收入及税金表!H18</f>
        <v>18.1738586353348</v>
      </c>
      <c r="I6" s="47">
        <f>营业收入及税金表!I18</f>
        <v>18.0817524428766</v>
      </c>
      <c r="J6" s="47">
        <f>营业收入及税金表!J18</f>
        <v>17.9901067813807</v>
      </c>
      <c r="K6" s="47">
        <f>营业收入及税金表!K18</f>
        <v>17.8989193481923</v>
      </c>
      <c r="L6" s="47">
        <f>营业收入及税金表!L18</f>
        <v>17.8081878521698</v>
      </c>
    </row>
    <row r="7" ht="12" customHeight="1" spans="1:12">
      <c r="A7" s="45">
        <v>3</v>
      </c>
      <c r="B7" s="30" t="s">
        <v>255</v>
      </c>
      <c r="C7" s="46">
        <f>SUM(D7:L7)</f>
        <v>1635.78613387653</v>
      </c>
      <c r="D7" s="46">
        <f>营业收入及税金表!D23</f>
        <v>185.469351740993</v>
      </c>
      <c r="E7" s="46">
        <f>营业收入及税金表!E23</f>
        <v>184.529635989473</v>
      </c>
      <c r="F7" s="46">
        <f>营业收入及税金表!F23</f>
        <v>183.59461881671</v>
      </c>
      <c r="G7" s="46">
        <f>营业收入及税金表!G23</f>
        <v>182.664276729812</v>
      </c>
      <c r="H7" s="46">
        <f>营业收入及税金表!H23</f>
        <v>181.738586353347</v>
      </c>
      <c r="I7" s="46">
        <f>营业收入及税金表!I23</f>
        <v>180.817524428766</v>
      </c>
      <c r="J7" s="46">
        <f>营业收入及税金表!J23</f>
        <v>179.901067813807</v>
      </c>
      <c r="K7" s="46">
        <f>营业收入及税金表!K23</f>
        <v>178.989193481923</v>
      </c>
      <c r="L7" s="46">
        <f>营业收入及税金表!L23</f>
        <v>178.081878521698</v>
      </c>
    </row>
    <row r="8" ht="12" customHeight="1" spans="1:12">
      <c r="A8" s="45">
        <v>4</v>
      </c>
      <c r="B8" s="30" t="s">
        <v>275</v>
      </c>
      <c r="C8" s="46">
        <f>SUM(D8:L8)</f>
        <v>6668.89113559333</v>
      </c>
      <c r="D8" s="46">
        <f>总成本费用表!D13</f>
        <v>879.908318851116</v>
      </c>
      <c r="E8" s="46">
        <f>总成本费用表!E13</f>
        <v>847.796126179116</v>
      </c>
      <c r="F8" s="46">
        <f>总成本费用表!F13</f>
        <v>814.561994470476</v>
      </c>
      <c r="G8" s="46">
        <f>总成本费用表!G13</f>
        <v>780.205908420379</v>
      </c>
      <c r="H8" s="46">
        <f>总成本费用表!H13</f>
        <v>744.727852800533</v>
      </c>
      <c r="I8" s="46">
        <f>总成本费用表!I13</f>
        <v>708.127812458786</v>
      </c>
      <c r="J8" s="46">
        <f>总成本费用表!J13</f>
        <v>670.405772318747</v>
      </c>
      <c r="K8" s="46">
        <f>总成本费用表!K13</f>
        <v>631.561717379409</v>
      </c>
      <c r="L8" s="46">
        <f>总成本费用表!L13</f>
        <v>591.595632714768</v>
      </c>
    </row>
    <row r="9" ht="12" customHeight="1" spans="1:12">
      <c r="A9" s="45">
        <v>5</v>
      </c>
      <c r="B9" s="30" t="s">
        <v>276</v>
      </c>
      <c r="C9" s="46"/>
      <c r="D9" s="46"/>
      <c r="E9" s="46"/>
      <c r="F9" s="46"/>
      <c r="G9" s="46"/>
      <c r="H9" s="46"/>
      <c r="I9" s="46"/>
      <c r="J9" s="46"/>
      <c r="K9" s="46"/>
      <c r="L9" s="46"/>
    </row>
    <row r="10" ht="12" customHeight="1" spans="1:12">
      <c r="A10" s="45">
        <v>6</v>
      </c>
      <c r="B10" s="37" t="s">
        <v>277</v>
      </c>
      <c r="C10" s="46">
        <f>SUM(D10:L10)</f>
        <v>5290.28256130857</v>
      </c>
      <c r="D10" s="48">
        <f t="shared" ref="D10:L10" si="0">D5-D6-D7-D8+D9</f>
        <v>475.057074233793</v>
      </c>
      <c r="E10" s="48">
        <f t="shared" si="0"/>
        <v>500.550545832465</v>
      </c>
      <c r="F10" s="46">
        <f t="shared" si="0"/>
        <v>527.199050073143</v>
      </c>
      <c r="G10" s="46">
        <f t="shared" si="0"/>
        <v>555.002436792619</v>
      </c>
      <c r="H10" s="46">
        <f t="shared" si="0"/>
        <v>583.960556578496</v>
      </c>
      <c r="I10" s="46">
        <f t="shared" si="0"/>
        <v>614.073260765445</v>
      </c>
      <c r="J10" s="46">
        <f t="shared" si="0"/>
        <v>645.340401431459</v>
      </c>
      <c r="K10" s="46">
        <f t="shared" si="0"/>
        <v>677.761831394142</v>
      </c>
      <c r="L10" s="46">
        <f t="shared" si="0"/>
        <v>711.337404207013</v>
      </c>
    </row>
    <row r="11" ht="12" customHeight="1" spans="1:12">
      <c r="A11" s="45">
        <v>7</v>
      </c>
      <c r="B11" s="37" t="s">
        <v>278</v>
      </c>
      <c r="C11" s="46"/>
      <c r="D11" s="48"/>
      <c r="E11" s="48"/>
      <c r="F11" s="46"/>
      <c r="G11" s="46"/>
      <c r="H11" s="46"/>
      <c r="I11" s="46"/>
      <c r="J11" s="46"/>
      <c r="K11" s="46"/>
      <c r="L11" s="46"/>
    </row>
    <row r="12" ht="12" customHeight="1" spans="1:12">
      <c r="A12" s="45">
        <v>8</v>
      </c>
      <c r="B12" s="37" t="s">
        <v>279</v>
      </c>
      <c r="C12" s="46">
        <f t="shared" ref="C12:C18" si="1">SUM(D12:L12)</f>
        <v>5290.28256130857</v>
      </c>
      <c r="D12" s="46">
        <f t="shared" ref="D12:L12" si="2">D10-D11</f>
        <v>475.057074233793</v>
      </c>
      <c r="E12" s="46">
        <f t="shared" si="2"/>
        <v>500.550545832465</v>
      </c>
      <c r="F12" s="46">
        <f t="shared" si="2"/>
        <v>527.199050073143</v>
      </c>
      <c r="G12" s="46">
        <f t="shared" si="2"/>
        <v>555.002436792619</v>
      </c>
      <c r="H12" s="46">
        <f t="shared" si="2"/>
        <v>583.960556578496</v>
      </c>
      <c r="I12" s="46">
        <f t="shared" si="2"/>
        <v>614.073260765445</v>
      </c>
      <c r="J12" s="46">
        <f t="shared" si="2"/>
        <v>645.340401431459</v>
      </c>
      <c r="K12" s="46">
        <f t="shared" si="2"/>
        <v>677.761831394142</v>
      </c>
      <c r="L12" s="46">
        <f t="shared" si="2"/>
        <v>711.337404207013</v>
      </c>
    </row>
    <row r="13" ht="12" customHeight="1" spans="1:12">
      <c r="A13" s="45">
        <v>9</v>
      </c>
      <c r="B13" s="30" t="s">
        <v>280</v>
      </c>
      <c r="C13" s="46">
        <f t="shared" si="1"/>
        <v>1322.57064032714</v>
      </c>
      <c r="D13" s="48">
        <f>D12*核心参数!$C$68</f>
        <v>118.764268558448</v>
      </c>
      <c r="E13" s="48">
        <f>E12*核心参数!$C$68</f>
        <v>125.137636458116</v>
      </c>
      <c r="F13" s="48">
        <f>F12*核心参数!$C$68</f>
        <v>131.799762518286</v>
      </c>
      <c r="G13" s="48">
        <f>G12*核心参数!$C$68</f>
        <v>138.750609198155</v>
      </c>
      <c r="H13" s="48">
        <f>H12*核心参数!$C$68</f>
        <v>145.990139144624</v>
      </c>
      <c r="I13" s="48">
        <f>I12*核心参数!$C$68</f>
        <v>153.518315191361</v>
      </c>
      <c r="J13" s="48">
        <f>J12*核心参数!$C$68</f>
        <v>161.335100357865</v>
      </c>
      <c r="K13" s="48">
        <f>K12*核心参数!$C$68</f>
        <v>169.440457848536</v>
      </c>
      <c r="L13" s="48">
        <f>L12*核心参数!$C$68</f>
        <v>177.834351051753</v>
      </c>
    </row>
    <row r="14" ht="12" customHeight="1" spans="1:12">
      <c r="A14" s="45">
        <v>10</v>
      </c>
      <c r="B14" s="37" t="s">
        <v>281</v>
      </c>
      <c r="C14" s="46">
        <f t="shared" si="1"/>
        <v>3967.71192098143</v>
      </c>
      <c r="D14" s="48">
        <f t="shared" ref="D14:L14" si="3">D10-D11-D13</f>
        <v>356.292805675345</v>
      </c>
      <c r="E14" s="48">
        <f t="shared" si="3"/>
        <v>375.412909374349</v>
      </c>
      <c r="F14" s="48">
        <f t="shared" si="3"/>
        <v>395.399287554858</v>
      </c>
      <c r="G14" s="48">
        <f t="shared" si="3"/>
        <v>416.251827594464</v>
      </c>
      <c r="H14" s="48">
        <f t="shared" si="3"/>
        <v>437.970417433872</v>
      </c>
      <c r="I14" s="48">
        <f t="shared" si="3"/>
        <v>460.554945574084</v>
      </c>
      <c r="J14" s="48">
        <f t="shared" si="3"/>
        <v>484.005301073594</v>
      </c>
      <c r="K14" s="48">
        <f t="shared" si="3"/>
        <v>508.321373545607</v>
      </c>
      <c r="L14" s="48">
        <f t="shared" si="3"/>
        <v>533.503053155259</v>
      </c>
    </row>
    <row r="15" ht="12" customHeight="1" spans="1:12">
      <c r="A15" s="45">
        <v>11</v>
      </c>
      <c r="B15" s="37" t="s">
        <v>282</v>
      </c>
      <c r="C15" s="46">
        <f t="shared" si="1"/>
        <v>13087.5895408277</v>
      </c>
      <c r="D15" s="48">
        <v>0</v>
      </c>
      <c r="E15" s="48">
        <f t="shared" ref="E15:L15" si="4">D24</f>
        <v>320.66352510781</v>
      </c>
      <c r="F15" s="48">
        <f t="shared" si="4"/>
        <v>658.535143544724</v>
      </c>
      <c r="G15" s="48">
        <f t="shared" si="4"/>
        <v>1014.3945023441</v>
      </c>
      <c r="H15" s="48">
        <f t="shared" si="4"/>
        <v>1389.02114717911</v>
      </c>
      <c r="I15" s="48">
        <f t="shared" si="4"/>
        <v>1783.1945228696</v>
      </c>
      <c r="J15" s="48">
        <f t="shared" si="4"/>
        <v>2197.69397388627</v>
      </c>
      <c r="K15" s="48">
        <f t="shared" si="4"/>
        <v>2633.29874485251</v>
      </c>
      <c r="L15" s="48">
        <f t="shared" si="4"/>
        <v>3090.78798104355</v>
      </c>
    </row>
    <row r="16" ht="12" customHeight="1" spans="1:12">
      <c r="A16" s="45">
        <v>12</v>
      </c>
      <c r="B16" s="37" t="s">
        <v>283</v>
      </c>
      <c r="C16" s="46">
        <f t="shared" si="1"/>
        <v>17055.3014618091</v>
      </c>
      <c r="D16" s="48">
        <f t="shared" ref="D16:L16" si="5">D14+D15+D11</f>
        <v>356.292805675345</v>
      </c>
      <c r="E16" s="48">
        <f t="shared" si="5"/>
        <v>696.076434482159</v>
      </c>
      <c r="F16" s="48">
        <f t="shared" si="5"/>
        <v>1053.93443109958</v>
      </c>
      <c r="G16" s="48">
        <f t="shared" si="5"/>
        <v>1430.64632993856</v>
      </c>
      <c r="H16" s="48">
        <f t="shared" si="5"/>
        <v>1826.99156461299</v>
      </c>
      <c r="I16" s="48">
        <f t="shared" si="5"/>
        <v>2243.74946844368</v>
      </c>
      <c r="J16" s="48">
        <f t="shared" si="5"/>
        <v>2681.69927495987</v>
      </c>
      <c r="K16" s="48">
        <f t="shared" si="5"/>
        <v>3141.62011839811</v>
      </c>
      <c r="L16" s="48">
        <f t="shared" si="5"/>
        <v>3624.29103419881</v>
      </c>
    </row>
    <row r="17" ht="12" customHeight="1" spans="1:12">
      <c r="A17" s="45">
        <v>13</v>
      </c>
      <c r="B17" s="37" t="s">
        <v>284</v>
      </c>
      <c r="C17" s="46">
        <f t="shared" si="1"/>
        <v>396.771192098143</v>
      </c>
      <c r="D17" s="48">
        <f t="shared" ref="D17:L17" si="6">D14*0.1</f>
        <v>35.6292805675345</v>
      </c>
      <c r="E17" s="48">
        <f t="shared" si="6"/>
        <v>37.5412909374349</v>
      </c>
      <c r="F17" s="48">
        <f t="shared" si="6"/>
        <v>39.5399287554858</v>
      </c>
      <c r="G17" s="48">
        <f t="shared" si="6"/>
        <v>41.6251827594464</v>
      </c>
      <c r="H17" s="48">
        <f t="shared" si="6"/>
        <v>43.7970417433872</v>
      </c>
      <c r="I17" s="48">
        <f t="shared" si="6"/>
        <v>46.0554945574084</v>
      </c>
      <c r="J17" s="48">
        <f t="shared" si="6"/>
        <v>48.4005301073594</v>
      </c>
      <c r="K17" s="48">
        <f t="shared" si="6"/>
        <v>50.8321373545607</v>
      </c>
      <c r="L17" s="48">
        <f t="shared" si="6"/>
        <v>53.3503053155259</v>
      </c>
    </row>
    <row r="18" ht="12" customHeight="1" spans="1:12">
      <c r="A18" s="45">
        <v>14</v>
      </c>
      <c r="B18" s="30" t="s">
        <v>285</v>
      </c>
      <c r="C18" s="46">
        <f t="shared" si="1"/>
        <v>16658.530269711</v>
      </c>
      <c r="D18" s="46">
        <f t="shared" ref="D18:L18" si="7">D16-D17</f>
        <v>320.66352510781</v>
      </c>
      <c r="E18" s="46">
        <f t="shared" si="7"/>
        <v>658.535143544724</v>
      </c>
      <c r="F18" s="46">
        <f t="shared" si="7"/>
        <v>1014.3945023441</v>
      </c>
      <c r="G18" s="46">
        <f t="shared" si="7"/>
        <v>1389.02114717911</v>
      </c>
      <c r="H18" s="46">
        <f t="shared" si="7"/>
        <v>1783.1945228696</v>
      </c>
      <c r="I18" s="46">
        <f t="shared" si="7"/>
        <v>2197.69397388627</v>
      </c>
      <c r="J18" s="46">
        <f t="shared" si="7"/>
        <v>2633.29874485251</v>
      </c>
      <c r="K18" s="46">
        <f t="shared" si="7"/>
        <v>3090.78798104355</v>
      </c>
      <c r="L18" s="46">
        <f t="shared" si="7"/>
        <v>3570.94072888329</v>
      </c>
    </row>
    <row r="19" ht="12" customHeight="1" spans="1:12">
      <c r="A19" s="45">
        <v>15</v>
      </c>
      <c r="B19" s="37" t="s">
        <v>286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ht="12" customHeight="1" spans="1:12">
      <c r="A20" s="45">
        <v>16</v>
      </c>
      <c r="B20" s="37" t="s">
        <v>287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ht="12" customHeight="1" spans="1:12">
      <c r="A21" s="45">
        <v>17</v>
      </c>
      <c r="B21" s="37" t="s">
        <v>288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ht="12" customHeight="1" spans="1:12">
      <c r="A22" s="45">
        <v>18</v>
      </c>
      <c r="B22" s="37" t="s">
        <v>289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ht="12" customHeight="1" spans="1:12">
      <c r="A23" s="45"/>
      <c r="B23" s="37" t="s">
        <v>290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ht="12" customHeight="1" spans="1:12">
      <c r="A24" s="45">
        <v>19</v>
      </c>
      <c r="B24" s="30" t="s">
        <v>291</v>
      </c>
      <c r="C24" s="46">
        <f>SUM(D24:L24)</f>
        <v>16658.530269711</v>
      </c>
      <c r="D24" s="46">
        <f t="shared" ref="D24:L24" si="8">D18-D19-D20-D21-D22</f>
        <v>320.66352510781</v>
      </c>
      <c r="E24" s="46">
        <f t="shared" si="8"/>
        <v>658.535143544724</v>
      </c>
      <c r="F24" s="46">
        <f t="shared" si="8"/>
        <v>1014.3945023441</v>
      </c>
      <c r="G24" s="46">
        <f t="shared" si="8"/>
        <v>1389.02114717911</v>
      </c>
      <c r="H24" s="46">
        <f t="shared" si="8"/>
        <v>1783.1945228696</v>
      </c>
      <c r="I24" s="46">
        <f t="shared" si="8"/>
        <v>2197.69397388627</v>
      </c>
      <c r="J24" s="46">
        <f t="shared" si="8"/>
        <v>2633.29874485251</v>
      </c>
      <c r="K24" s="46">
        <f t="shared" si="8"/>
        <v>3090.78798104355</v>
      </c>
      <c r="L24" s="46">
        <f t="shared" si="8"/>
        <v>3570.94072888329</v>
      </c>
    </row>
    <row r="25" ht="12" customHeight="1" spans="1:12">
      <c r="A25" s="45">
        <v>20</v>
      </c>
      <c r="B25" s="30" t="s">
        <v>292</v>
      </c>
      <c r="C25" s="46">
        <f>SUM(D25:L25)</f>
        <v>6795.53256130858</v>
      </c>
      <c r="D25" s="46">
        <f>D10+总成本费用表!D12</f>
        <v>778.807074233793</v>
      </c>
      <c r="E25" s="46">
        <f>E10+总成本费用表!E12</f>
        <v>772.800545832465</v>
      </c>
      <c r="F25" s="46">
        <f>F10+总成本费用表!F12</f>
        <v>766.824050073144</v>
      </c>
      <c r="G25" s="46">
        <f>G10+总成本费用表!G12</f>
        <v>760.877436792619</v>
      </c>
      <c r="H25" s="46">
        <f>H10+总成本费用表!H12</f>
        <v>754.960556578496</v>
      </c>
      <c r="I25" s="46">
        <f>I10+总成本费用表!I12</f>
        <v>749.073260765445</v>
      </c>
      <c r="J25" s="46">
        <f>J10+总成本费用表!J12</f>
        <v>743.215401431459</v>
      </c>
      <c r="K25" s="46">
        <f>K10+总成本费用表!K12</f>
        <v>737.386831394142</v>
      </c>
      <c r="L25" s="46">
        <f>L10+总成本费用表!L12</f>
        <v>731.587404207013</v>
      </c>
    </row>
    <row r="26" ht="18" customHeight="1" spans="1:12">
      <c r="A26" s="45">
        <v>21</v>
      </c>
      <c r="B26" s="30" t="s">
        <v>293</v>
      </c>
      <c r="C26" s="46">
        <f>SUM(D26:L26)</f>
        <v>10227.5307650679</v>
      </c>
      <c r="D26" s="46">
        <f>D25+总成本费用表!D10+总成本费用表!D11</f>
        <v>1160.14020798483</v>
      </c>
      <c r="E26" s="46">
        <f>E25+总成本费用表!E10+总成本费用表!E11</f>
        <v>1154.1336795835</v>
      </c>
      <c r="F26" s="46">
        <f>F25+总成本费用表!F10+总成本费用表!F11</f>
        <v>1148.15718382418</v>
      </c>
      <c r="G26" s="46">
        <f>G25+总成本费用表!G10+总成本费用表!G11</f>
        <v>1142.21057054365</v>
      </c>
      <c r="H26" s="46">
        <f>H25+总成本费用表!H10+总成本费用表!H11</f>
        <v>1136.29369032953</v>
      </c>
      <c r="I26" s="46">
        <f>I25+总成本费用表!I10+总成本费用表!I11</f>
        <v>1130.40639451648</v>
      </c>
      <c r="J26" s="46">
        <f>J25+总成本费用表!J10+总成本费用表!J11</f>
        <v>1124.54853518249</v>
      </c>
      <c r="K26" s="46">
        <f>K25+总成本费用表!K10+总成本费用表!K11</f>
        <v>1118.71996514518</v>
      </c>
      <c r="L26" s="46">
        <f>L25+总成本费用表!L10+总成本费用表!L11</f>
        <v>1112.92053795805</v>
      </c>
    </row>
  </sheetData>
  <sheetProtection formatCells="0" insertHyperlinks="0" autoFilter="0"/>
  <mergeCells count="3">
    <mergeCell ref="A1:L1"/>
    <mergeCell ref="D3:L3"/>
    <mergeCell ref="A3:A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</woSheetsProps>
  <woBookProps>
    <bookSettings fileId="AK20260224RQYWLP:5255_task_zl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  <pixelatorList sheetStid="9"/>
  <pixelatorList sheetStid="10"/>
  <pixelatorList sheetStid="11"/>
  <pixelatorList sheetStid="1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WWO_wpscloud_20260521140422-4fc981a905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核心参数</vt:lpstr>
      <vt:lpstr>外购原料及动力成本表</vt:lpstr>
      <vt:lpstr>总投资</vt:lpstr>
      <vt:lpstr>固定资产折旧</vt:lpstr>
      <vt:lpstr>营业收入及税金表</vt:lpstr>
      <vt:lpstr>总成本费用表</vt:lpstr>
      <vt:lpstr>工资及福利费</vt:lpstr>
      <vt:lpstr>利润及利润分配表</vt:lpstr>
      <vt:lpstr>项目投资现金流量表</vt:lpstr>
      <vt:lpstr>还本付息表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2026-06-10T01:30:00Z</dcterms:created>
  <dcterms:modified xsi:type="dcterms:W3CDTF">2026-06-10T01:30:00Z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2052-12.9.0.26442</vt:lpwstr>
  </property>
  <property fmtid="{D5CDD505-2E9C-101B-9397-08002B2CF9AE}" pid="3" name="CalculationRule">
    <vt:i4>0</vt:i4>
  </property>
</Properties>
</file>