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总投资" sheetId="1" r:id="rId3"/>
    <sheet name="固定资产折旧" sheetId="2" r:id="rId4"/>
    <sheet name="营业收入及税金表" sheetId="3" r:id="rId5"/>
    <sheet name="总成本费用表" sheetId="4" r:id="rId6"/>
    <sheet name="利润及利润分配表" sheetId="5" r:id="rId7"/>
    <sheet name="项目投资现金流量表" sheetId="6" r:id="rId8"/>
    <sheet name="还本付息表" sheetId="7" r:id="rId9"/>
    <sheet name="项目财务现金流量表" sheetId="8" r:id="rId10"/>
  </sheets>
  <calcPr calcId="191029"/>
</workbook>
</file>

<file path=xl/sharedStrings.xml><?xml version="1.0" encoding="utf-8"?>
<sst xmlns="http://schemas.openxmlformats.org/spreadsheetml/2006/main" count="234" uniqueCount="234">
  <si>
    <t/>
  </si>
  <si>
    <t>利润及利润分配表</t>
  </si>
  <si>
    <t>单位：万元</t>
  </si>
  <si>
    <t>序号</t>
  </si>
  <si>
    <t>运营期</t>
  </si>
  <si>
    <t>项	目</t>
  </si>
  <si>
    <t>合计</t>
  </si>
  <si>
    <t>营业收入</t>
  </si>
  <si>
    <t>营业税金及附加</t>
  </si>
  <si>
    <t>增值税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</si>
  <si>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</si>
  <si>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</si>
  <si>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</si>
  <si>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</si>
  <si>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</si>
  <si>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</si>
  <si>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</si>
  <si>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</si>
  <si>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</si>
  <si>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</si>
  <si>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</si>
  <si>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</si>
  <si>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</si>
  <si>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</si>
  <si>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</si>
  <si>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</si>
  <si>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</si>
  <si>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</si>
  <si>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</si>
  <si>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营业收入及税金表</t>
  </si>
  <si>
    <t>项目</t>
  </si>
  <si>
    <t>光伏收入</t>
  </si>
  <si>
    <t>1.1.1</t>
  </si>
  <si>
    <t>装机容量</t>
  </si>
  <si>
    <t>1.1.2</t>
  </si>
  <si>
    <t>衰减值</t>
  </si>
  <si>
    <t>1.1.3</t>
  </si>
  <si>
    <t>1KW 光伏装机容量平均日发电量</t>
  </si>
  <si>
    <t>1.1.4</t>
  </si>
  <si>
    <t>年发电天数</t>
  </si>
  <si>
    <t>1.1.5</t>
  </si>
  <si>
    <t>工商业用电平均电价</t>
  </si>
  <si>
    <t>储能收入</t>
  </si>
  <si>
    <t>1.2.1</t>
  </si>
  <si>
    <t>峰谷价差加</t>
  </si>
  <si>
    <t>1.2.2</t>
  </si>
  <si>
    <t>360天一充一放扣能耗（万kwh/n)</t>
  </si>
  <si>
    <t>60kw充电桩收入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</si>
  <si>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</si>
  <si>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</si>
  <si>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</si>
  <si>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</si>
  <si>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</si>
  <si>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</si>
  <si>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</si>
  <si>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</si>
  <si>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</si>
  <si>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</si>
  <si>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</si>
  <si>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</si>
  <si>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</si>
  <si>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</si>
  <si>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</si>
  <si>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</si>
  <si>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</si>
  <si>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销项税额</t>
  </si>
  <si>
    <t>进项税额</t>
  </si>
  <si>
    <t>还本付息表</t>
  </si>
  <si>
    <t>计算期</t>
  </si>
  <si>
    <t>0.5建设期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</si>
  <si>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</si>
  <si>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</si>
  <si>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</si>
  <si>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</si>
  <si>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</si>
  <si>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</si>
  <si>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</si>
  <si>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</si>
  <si>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</si>
  <si>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</si>
  <si>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>建设投资估算表</t>
  </si>
  <si>
    <t>工程或费用名称</t>
  </si>
  <si>
    <t>建筑工程费</t>
  </si>
  <si>
    <t>安装工程费</t>
  </si>
  <si>
    <t>设备购置费</t>
  </si>
  <si>
    <t>其他费用</t>
  </si>
  <si>
    <t>单位</t>
  </si>
  <si>
    <t>数量</t>
  </si>
  <si>
    <t>综合单价（万元）</t>
  </si>
  <si>
    <t>一</t>
  </si>
  <si>
    <t>工程费用</t>
  </si>
  <si>
    <t>光伏发电工程</t>
  </si>
  <si>
    <t>光伏组件</t>
  </si>
  <si>
    <t>　</t>
  </si>
  <si>
    <t>KW</t>
  </si>
  <si>
    <t>光伏组件A级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</si>
  <si>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</si>
  <si>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</si>
  <si>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</si>
  <si>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</si>
  <si>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</si>
  <si>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</si>
  <si>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</si>
  <si>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</si>
  <si>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千套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</si>
  <si>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</si>
  <si>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</si>
  <si>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</si>
  <si>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</si>
  <si>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</si>
  <si>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</si>
  <si>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</si>
  <si>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m</t>
  </si>
  <si>
    <t>土建基础</t>
  </si>
  <si>
    <t>项</t>
  </si>
  <si>
    <t>组件、电气安装、辅材等</t>
  </si>
  <si>
    <t>电池储能
集装箱</t>
  </si>
  <si>
    <t>KWH</t>
  </si>
  <si>
    <t>电池系统 5000KWH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</si>
  <si>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</si>
  <si>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</si>
  <si>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</si>
  <si>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</si>
  <si>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</si>
  <si>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</si>
  <si>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</si>
  <si>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</si>
  <si>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园区配套工程</t>
  </si>
  <si>
    <t>㎡</t>
  </si>
  <si>
    <t>绿化等相关配套工程</t>
  </si>
  <si>
    <t>10kv储能变电站</t>
  </si>
  <si>
    <t>中心配电室变压器2000KVA</t>
  </si>
  <si>
    <t>光伏充电桩</t>
  </si>
  <si>
    <t>二</t>
  </si>
  <si>
    <t>工程建设其他费用</t>
  </si>
  <si>
    <t>建设用地费</t>
  </si>
  <si>
    <t>建设管理费</t>
  </si>
  <si>
    <t>建设工程监理费</t>
  </si>
  <si>
    <t>建设项目前期工作咨询费</t>
  </si>
  <si>
    <t>工程勘察费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</si>
  <si>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</si>
  <si>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</si>
  <si>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</si>
  <si>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</si>
  <si>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</si>
  <si>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</si>
  <si>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</si>
  <si>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</si>
  <si>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</si>
  <si>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t>涨价预备费</t>
  </si>
  <si>
    <t>四</t>
  </si>
  <si>
    <t>建设投资合计</t>
  </si>
  <si>
    <t>比例（%）</t>
  </si>
  <si>
    <t>五</t>
  </si>
  <si>
    <t>建设期利息</t>
  </si>
  <si>
    <t>六</t>
  </si>
  <si>
    <t>固定资产投资</t>
  </si>
  <si>
    <t>八</t>
  </si>
  <si>
    <t>项目总投资</t>
  </si>
  <si>
    <t>固定资产折旧表</t>
  </si>
  <si>
    <t>残值率</t>
  </si>
  <si>
    <t>折旧年限</t>
  </si>
  <si>
    <t>附属物及设备折旧</t>
  </si>
  <si>
    <t>原值</t>
  </si>
  <si>
    <t>当期折旧额</t>
  </si>
  <si>
    <t>净值</t>
  </si>
  <si>
    <t>折旧费</t>
  </si>
  <si>
    <t>无形资产摊销</t>
  </si>
  <si>
    <t xml:space="preserve"> 项目财务现金流量表   </t>
  </si>
  <si>
    <t xml:space="preserve">建设期/运营期
</t>
  </si>
  <si>
    <t>经营活动净现金流量</t>
  </si>
  <si>
    <t>现金流入</t>
  </si>
  <si>
    <t>其他流入</t>
  </si>
  <si>
    <t>现金流出</t>
  </si>
  <si>
    <t>经营成本</t>
  </si>
  <si>
    <t>税金及附加</t>
  </si>
  <si>
    <t>1.2.3</t>
  </si>
  <si>
    <t>1.2.4</t>
  </si>
  <si>
    <t>其他流出</t>
  </si>
  <si>
    <t>投资活动净现金流量</t>
  </si>
  <si>
    <t>2.2.1</t>
  </si>
  <si>
    <t>建设投资</t>
  </si>
  <si>
    <t>2.2.2</t>
  </si>
  <si>
    <t>维持运营投资</t>
  </si>
  <si>
    <t>2.2.3</t>
  </si>
  <si>
    <t>流动资金</t>
  </si>
  <si>
    <t>2.2.4</t>
  </si>
  <si>
    <t>筹资活动净现金流量</t>
  </si>
  <si>
    <t>3.1.1</t>
  </si>
  <si>
    <t>项目资本金投入</t>
  </si>
  <si>
    <t>3.1.2</t>
  </si>
  <si>
    <t>3.1.3</t>
  </si>
  <si>
    <t>3.2.1</t>
  </si>
  <si>
    <t>利息支出</t>
  </si>
  <si>
    <t>3.2.2</t>
  </si>
  <si>
    <t>偿还债务本金</t>
  </si>
  <si>
    <t>3.2.3</t>
  </si>
  <si>
    <t>应付利润(股利分配)</t>
  </si>
  <si>
    <t>3.2.4</t>
  </si>
  <si>
    <t>净现金流量</t>
  </si>
  <si>
    <t>累计盈余资金</t>
  </si>
  <si>
    <t>项目投资现金流量表</t>
  </si>
  <si>
    <t>留抵退税</t>
  </si>
  <si>
    <t>回收固定资产余值</t>
  </si>
  <si>
    <t>回收流动资金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</si>
  <si>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</si>
  <si>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</si>
  <si>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</si>
  <si>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</si>
  <si>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</si>
  <si>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</si>
  <si>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</si>
  <si>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</si>
  <si>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</si>
  <si>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</si>
  <si>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t>项目投资回收期（年）（所得税前）</t>
  </si>
  <si>
    <t>项目投资回收期（年）（所得税后）</t>
  </si>
  <si>
    <t>总成本费用表</t>
  </si>
  <si>
    <t>外购燃料及动力费</t>
  </si>
  <si>
    <t>工资及福利费</t>
  </si>
  <si>
    <t>保洁维护费</t>
  </si>
  <si>
    <t>管理费及其他</t>
  </si>
  <si>
    <t>电网过路费</t>
  </si>
  <si>
    <t>经营成本（1+2+3+4+5+6）</t>
  </si>
  <si>
    <t>摊销费</t>
  </si>
  <si>
    <t>总成本费用合计（6+7+8+9）</t>
  </si>
  <si>
    <t>其中：固定成本</t>
  </si>
  <si>
    <t>可变成本</t>
  </si>
  <si>
    <r>
      <rPr>
        <rFont val="宋体"/>
        <charset val="134"/>
        <b val="true"/>
        <color rgb="FF000000"/>
        <sz val="8"/>
      </rPr>
      <t>项</t>
    </r>
    <r>
      <rPr>
        <rFont val="宋体"/>
        <charset val="134"/>
        <b val="true"/>
        <color rgb="FF000000"/>
        <sz val="8"/>
      </rPr>
      <t>目</t>
    </r>
  </si>
  <si>
    <r>
      <rPr>
        <rFont val="宋体"/>
        <b val="false"/>
        <i val="false"/>
        <strike val="false"/>
        <color rgb="FF000000"/>
        <sz val="7"/>
        <u val="none"/>
      </rPr>
      <t>（一</t>
    </r>
    <r>
      <rPr>
        <rFont val="Times New Roman"/>
        <b val="false"/>
        <i val="false"/>
        <strike val="false"/>
        <color rgb="FF000000"/>
        <sz val="7"/>
        <u val="none"/>
      </rPr>
      <t>+</t>
    </r>
    <r>
      <rPr>
        <rFont val="宋体"/>
        <b val="false"/>
        <i val="false"/>
        <strike val="false"/>
        <color rgb="FF000000"/>
        <sz val="7"/>
        <u val="none"/>
      </rPr>
      <t>二）</t>
    </r>
    <r>
      <rPr>
        <rFont val="Times New Roman"/>
        <b val="false"/>
        <i val="false"/>
        <strike val="false"/>
        <color rgb="FF000000"/>
        <sz val="7"/>
        <u val="none"/>
      </rPr>
      <t>*5%</t>
    </r>
  </si>
  <si>
    <r>
      <rPr>
        <rFont val="宋体"/>
        <charset val="134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）（所得税前）</t>
    </r>
  </si>
  <si>
    <r>
      <rPr>
        <rFont val="宋体"/>
        <charset val="134"/>
        <color rgb="FF000000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）（所得税后）</t>
    </r>
  </si>
  <si>
    <r>
      <rPr>
        <rFont val="宋体"/>
        <charset val="134"/>
        <sz val="8"/>
      </rPr>
      <t>项目投资财务净现值（所得税前）（</t>
    </r>
    <r>
      <rPr>
        <rFont val="Times New Roman"/>
        <charset val="134"/>
        <color rgb="FF000000"/>
        <sz val="8"/>
      </rPr>
      <t>ic=</t>
    </r>
    <r>
      <rPr>
        <rFont val="Arial"/>
        <charset val="134"/>
        <color rgb="FF000000"/>
        <sz val="8"/>
      </rPr>
      <t>4.2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</t>
    </r>
  </si>
  <si>
    <r>
      <rPr>
        <rFont val="宋体"/>
        <charset val="134"/>
        <color rgb="FF000000"/>
        <sz val="8"/>
      </rPr>
      <t>项目投资财务净现值（所得税后）（</t>
    </r>
    <r>
      <rPr>
        <rFont val="Times New Roman"/>
        <charset val="134"/>
        <color rgb="FF000000"/>
        <sz val="8"/>
      </rPr>
      <t>ic=</t>
    </r>
    <r>
      <rPr>
        <rFont val="Times New Roman"/>
        <charset val="134"/>
        <color rgb="FF000000"/>
        <sz val="8"/>
      </rPr>
      <t>4.2%</t>
    </r>
    <r>
      <rPr>
        <rFont val="宋体"/>
        <charset val="134"/>
        <color rgb="FF000000"/>
        <sz val="8"/>
      </rPr>
      <t>）</t>
    </r>
  </si>
</sst>
</file>

<file path=xl/styles.xml><?xml version="1.0" encoding="utf-8"?>
<styleSheet xmlns="http://schemas.openxmlformats.org/spreadsheetml/2006/main">
  <numFmts count="11">
    <numFmt numFmtId="300" formatCode="0.00_ "/>
    <numFmt numFmtId="301" formatCode="0_ "/>
    <numFmt numFmtId="302" formatCode="0.0_ "/>
    <numFmt numFmtId="303" formatCode="0.000_ "/>
    <numFmt numFmtId="304" formatCode="General"/>
    <numFmt numFmtId="305" formatCode="0.00%"/>
    <numFmt numFmtId="306" formatCode="0%"/>
    <numFmt numFmtId="307" formatCode="_ * #,##0.00_ ;_ * \-#,##0.00_ ;_ * &quot;-&quot;??_ ;_ @_ "/>
    <numFmt numFmtId="308" formatCode="_ &quot;￥&quot;* #,##0_ ;_ &quot;￥&quot;* \-#,##0_ ;_ &quot;￥&quot;* &quot;-&quot;_ ;_ @_ "/>
    <numFmt numFmtId="309" formatCode="_ * #,##0_ ;_ * \-#,##0_ ;_ * &quot;-&quot;_ ;_ @_ "/>
    <numFmt numFmtId="310" formatCode="_ &quot;￥&quot;* #,##0.00_ ;_ &quot;￥&quot;* \-#,##0.00_ ;_ &quot;￥&quot;* &quot;-&quot;??_ ;_ @_ "/>
  </numFmts>
  <fonts count="61">
    <font>
      <name val="宋体"/>
      <charset val="134"/>
      <sz val="11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color rgb="FF000000"/>
      <sz val="14"/>
    </font>
    <font>
      <name val="宋体"/>
      <charset val="134"/>
      <color rgb="FF000000"/>
      <sz val="8"/>
    </font>
    <font>
      <name val="宋体"/>
      <charset val="134"/>
      <color rgb="FF000000"/>
      <sz val="9"/>
    </font>
    <font>
      <name val="Times New Roman"/>
      <charset val="134"/>
      <color rgb="FF000000"/>
      <sz val="8"/>
    </font>
    <font>
      <name val="Times New Roman"/>
      <charset val="134"/>
      <sz val="8"/>
    </font>
    <font>
      <name val="宋体"/>
      <charset val="134"/>
      <sz val="8"/>
      <scheme val="minor"/>
    </font>
    <font>
      <name val="宋体"/>
      <charset val="134"/>
      <b val="true"/>
      <sz val="14"/>
    </font>
    <font>
      <name val="宋体"/>
      <charset val="134"/>
      <b val="true"/>
      <color rgb="FF000000"/>
      <sz val="8"/>
    </font>
    <font>
      <name val="Arial"/>
      <charset val="134"/>
      <b val="true"/>
      <color rgb="FF000000"/>
      <sz val="8"/>
    </font>
    <font>
      <name val="Times New Roman"/>
      <charset val="134"/>
      <b val="true"/>
      <color rgb="FF000000"/>
      <sz val="8"/>
    </font>
    <font>
      <name val="Arial"/>
      <charset val="134"/>
      <sz val="8"/>
    </font>
    <font>
      <name val="宋体"/>
      <charset val="134"/>
      <color rgb="FF000000"/>
      <sz val="8"/>
      <scheme val="minor"/>
    </font>
    <font>
      <name val="Arial"/>
      <charset val="134"/>
      <b val="true"/>
      <sz val="8"/>
    </font>
    <font>
      <name val="宋体"/>
      <charset val="134"/>
      <sz val="8"/>
    </font>
    <font>
      <name val="Arial"/>
      <charset val="134"/>
      <color rgb="FF000000"/>
      <sz val="8"/>
    </font>
    <font>
      <name val="宋体"/>
      <charset val="134"/>
      <b val="true"/>
      <sz val="8"/>
    </font>
    <font>
      <name val="宋体"/>
      <charset val="134"/>
      <b val="true"/>
      <color rgb="FFFF0000"/>
      <sz val="14"/>
    </font>
    <font>
      <name val="宋体"/>
      <charset val="134"/>
      <color rgb="FF000000"/>
      <sz val="11"/>
    </font>
    <font>
      <name val="宋体"/>
      <charset val="134"/>
      <b val="true"/>
      <color rgb="FF000000"/>
      <sz val="9"/>
    </font>
    <font>
      <name val="黑体"/>
      <charset val="134"/>
      <b val="true"/>
      <sz val="16"/>
    </font>
    <font>
      <name val="黑体"/>
      <charset val="134"/>
      <b val="true"/>
      <color rgb="FFFF0000"/>
      <sz val="16"/>
    </font>
    <font>
      <name val="宋体"/>
      <charset val="134"/>
      <sz val="9"/>
    </font>
    <font>
      <name val="宋体"/>
      <charset val="134"/>
      <color rgb="FFFF0000"/>
      <sz val="9"/>
    </font>
    <font>
      <name val="宋体"/>
      <charset val="134"/>
      <b val="true"/>
      <color rgb="FFFF0000"/>
      <sz val="11"/>
    </font>
    <font>
      <name val="Times New Roman"/>
      <charset val="134"/>
      <b val="true"/>
      <sz val="8"/>
    </font>
    <font>
      <name val="Times New Roman"/>
      <charset val="134"/>
      <b val="true"/>
      <sz val="7"/>
    </font>
    <font>
      <name val="宋体"/>
      <charset val="134"/>
      <color rgb="FFFF0000"/>
      <sz val="11"/>
    </font>
    <font>
      <name val="宋体"/>
      <charset val="134"/>
      <b val="true"/>
      <sz val="8"/>
      <scheme val="minor"/>
    </font>
    <font>
      <name val="宋体"/>
      <charset val="134"/>
      <b val="true"/>
      <color rgb="FFFF0000"/>
      <sz val="8"/>
    </font>
    <font>
      <name val="宋体"/>
      <charset val="134"/>
      <sz val="7"/>
    </font>
    <font>
      <name val="Times New Roman"/>
      <charset val="134"/>
      <sz val="7"/>
    </font>
    <font>
      <name val="宋体"/>
      <charset val="134"/>
      <color rgb="FFFF0000"/>
      <sz val="8"/>
    </font>
    <font>
      <name val="Times New Roman"/>
      <charset val="134"/>
      <color rgb="FFFF0000"/>
      <sz val="8"/>
    </font>
    <font>
      <name val="宋体"/>
      <charset val="134"/>
      <color rgb="FF000000"/>
      <sz val="10"/>
    </font>
    <font>
      <name val="宋体"/>
      <charset val="134"/>
      <color rgb="FF000000"/>
      <sz val="7"/>
    </font>
    <font>
      <name val="宋体"/>
      <charset val="134"/>
      <b val="true"/>
      <color rgb="FF000000"/>
      <sz val="7"/>
    </font>
    <font>
      <name val="宋体"/>
      <charset val="134"/>
      <b val="true"/>
      <sz val="11"/>
    </font>
    <font>
      <name val="宋体"/>
      <charset val="134"/>
      <sz val="11"/>
    </font>
    <font>
      <name val="宋体"/>
      <charset val="0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134"/>
      <color theme="1"/>
      <sz val="11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color rgb="FFFF0000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006100"/>
      <sz val="11"/>
      <scheme val="minor"/>
    </font>
    <font>
      <name val="宋体"/>
      <charset val="134"/>
      <b val="true"/>
      <color theme="3"/>
      <sz val="18"/>
      <scheme val="minor"/>
    </font>
    <font>
      <name val="宋体"/>
      <charset val="134"/>
      <b val="true"/>
      <color theme="3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theme="1"/>
      <sz val="11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none"/>
    </fill>
    <fill>
      <patternFill patternType="solid">
        <fgColor theme="6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bottom style="thin">
        <color auto="true"/>
      </bottom>
      <diagonal/>
    </border>
    <border>
      <left style="thin">
        <color auto="true"/>
      </left>
      <right style="thin">
        <color auto="true"/>
      </right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</border>
    <border>
      <left/>
      <right/>
      <top style="thin">
        <color auto="true"/>
      </top>
      <bottom style="thin">
        <color auto="true"/>
      </bottom>
    </border>
    <border>
      <left/>
      <right style="thin">
        <color auto="true"/>
      </right>
      <top style="thin">
        <color auto="true"/>
      </top>
      <bottom style="thin">
        <color auto="true"/>
      </bottom>
    </border>
    <border>
      <left/>
      <right/>
      <top/>
      <bottom/>
    </border>
    <border>
      <left style="thin">
        <color auto="true"/>
      </left>
      <top style="thin">
        <color auto="true"/>
      </top>
      <bottom/>
      <diagonal/>
    </border>
    <border>
      <left style="thin">
        <color rgb="FF000000"/>
      </left>
      <top style="thin">
        <color rgb="FF000000"/>
      </top>
      <bottom style="thin">
        <color rgb="FF000000"/>
      </bottom>
      <diagonal/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true"/>
      </left>
      <top/>
      <bottom style="thin">
        <color auto="true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>
    <xf numFmtId="304" fontId="40" fillId="0" borderId="23" xfId="0" applyNumberFormat="false" applyFont="false" applyFill="false" applyBorder="false" applyAlignment="false">
      <alignment vertical="center"/>
    </xf>
    <xf numFmtId="304" fontId="41" fillId="5" borderId="23" xfId="0" applyNumberFormat="false" applyFont="false" applyFill="false" applyBorder="false" applyAlignment="false">
      <alignment vertical="center"/>
    </xf>
    <xf numFmtId="304" fontId="42" fillId="6" borderId="23" xfId="0" applyNumberFormat="false" applyFont="false" applyFill="false" applyBorder="false" applyAlignment="false">
      <alignment vertical="center"/>
    </xf>
    <xf numFmtId="304" fontId="41" fillId="7" borderId="23" xfId="0" applyNumberFormat="false" applyFont="false" applyFill="false" applyBorder="false" applyAlignment="false">
      <alignment vertical="center"/>
    </xf>
    <xf numFmtId="304" fontId="41" fillId="8" borderId="23" xfId="0" applyNumberFormat="false" applyFont="false" applyFill="false" applyBorder="false" applyAlignment="false">
      <alignment vertical="center"/>
    </xf>
    <xf numFmtId="304" fontId="42" fillId="9" borderId="23" xfId="0" applyNumberFormat="false" applyFont="false" applyFill="false" applyBorder="false" applyAlignment="false">
      <alignment vertical="center"/>
    </xf>
    <xf numFmtId="304" fontId="43" fillId="10" borderId="23" xfId="0" applyNumberFormat="false" applyFont="false" applyFill="false" applyBorder="false" applyAlignment="false">
      <alignment vertical="center"/>
    </xf>
    <xf numFmtId="304" fontId="44" fillId="11" borderId="23" xfId="0" applyNumberFormat="false" applyFont="false" applyFill="false" applyBorder="false" applyAlignment="false">
      <alignment vertical="center"/>
    </xf>
    <xf numFmtId="304" fontId="45" fillId="12" borderId="24" xfId="0" applyNumberFormat="false" applyFont="false" applyFill="false" applyBorder="false" applyAlignment="false">
      <alignment vertical="center"/>
    </xf>
    <xf numFmtId="304" fontId="46" fillId="13" borderId="25" xfId="0" applyNumberFormat="false" applyFont="false" applyFill="false" applyBorder="false" applyAlignment="false">
      <alignment vertical="center"/>
    </xf>
    <xf numFmtId="304" fontId="47" fillId="13" borderId="24" xfId="0" applyNumberFormat="false" applyFont="false" applyFill="false" applyBorder="false" applyAlignment="false">
      <alignment vertical="center"/>
    </xf>
    <xf numFmtId="304" fontId="48" fillId="14" borderId="26" xfId="0" applyNumberFormat="false" applyFont="false" applyFill="false" applyBorder="false" applyAlignment="false">
      <alignment vertical="center"/>
    </xf>
    <xf numFmtId="307" fontId="49" fillId="4" borderId="23" xfId="0" applyNumberFormat="false" applyFont="false" applyFill="false" applyBorder="false" applyAlignment="false">
      <alignment vertical="center"/>
    </xf>
    <xf numFmtId="304" fontId="42" fillId="15" borderId="23" xfId="0" applyNumberFormat="false" applyFont="false" applyFill="false" applyBorder="false" applyAlignment="false">
      <alignment vertical="center"/>
    </xf>
    <xf numFmtId="304" fontId="42" fillId="16" borderId="23" xfId="0" applyNumberFormat="false" applyFont="false" applyFill="false" applyBorder="false" applyAlignment="false">
      <alignment vertical="center"/>
    </xf>
    <xf numFmtId="308" fontId="49" fillId="4" borderId="23" xfId="0" applyNumberFormat="false" applyFont="false" applyFill="false" applyBorder="false" applyAlignment="false">
      <alignment vertical="center"/>
    </xf>
    <xf numFmtId="304" fontId="49" fillId="17" borderId="27" xfId="0" applyNumberFormat="false" applyFont="false" applyFill="false" applyBorder="false" applyAlignment="false">
      <alignment vertical="center"/>
    </xf>
    <xf numFmtId="304" fontId="41" fillId="18" borderId="23" xfId="0" applyNumberFormat="false" applyFont="false" applyFill="false" applyBorder="false" applyAlignment="false">
      <alignment vertical="center"/>
    </xf>
    <xf numFmtId="304" fontId="50" fillId="4" borderId="23" xfId="0" applyNumberFormat="false" applyFont="false" applyFill="false" applyBorder="false" applyAlignment="false">
      <alignment vertical="center"/>
    </xf>
    <xf numFmtId="304" fontId="51" fillId="4" borderId="28" xfId="0" applyNumberFormat="false" applyFont="false" applyFill="false" applyBorder="false" applyAlignment="false">
      <alignment vertical="center"/>
    </xf>
    <xf numFmtId="304" fontId="42" fillId="19" borderId="23" xfId="0" applyNumberFormat="false" applyFont="false" applyFill="false" applyBorder="false" applyAlignment="false">
      <alignment vertical="center"/>
    </xf>
    <xf numFmtId="304" fontId="41" fillId="20" borderId="23" xfId="0" applyNumberFormat="false" applyFont="false" applyFill="false" applyBorder="false" applyAlignment="false">
      <alignment vertical="center"/>
    </xf>
    <xf numFmtId="304" fontId="41" fillId="21" borderId="23" xfId="0" applyNumberFormat="false" applyFont="false" applyFill="false" applyBorder="false" applyAlignment="false">
      <alignment vertical="center"/>
    </xf>
    <xf numFmtId="304" fontId="42" fillId="22" borderId="23" xfId="0" applyNumberFormat="false" applyFont="false" applyFill="false" applyBorder="false" applyAlignment="false">
      <alignment vertical="center"/>
    </xf>
    <xf numFmtId="304" fontId="41" fillId="23" borderId="23" xfId="0" applyNumberFormat="false" applyFont="false" applyFill="false" applyBorder="false" applyAlignment="false">
      <alignment vertical="center"/>
    </xf>
    <xf numFmtId="309" fontId="49" fillId="4" borderId="23" xfId="0" applyNumberFormat="false" applyFont="false" applyFill="false" applyBorder="false" applyAlignment="false">
      <alignment vertical="center"/>
    </xf>
    <xf numFmtId="304" fontId="42" fillId="24" borderId="23" xfId="0" applyNumberFormat="false" applyFont="false" applyFill="false" applyBorder="false" applyAlignment="false">
      <alignment vertical="center"/>
    </xf>
    <xf numFmtId="310" fontId="49" fillId="4" borderId="23" xfId="0" applyNumberFormat="false" applyFont="false" applyFill="false" applyBorder="false" applyAlignment="false">
      <alignment vertical="center"/>
    </xf>
    <xf numFmtId="304" fontId="41" fillId="25" borderId="23" xfId="0" applyNumberFormat="false" applyFont="false" applyFill="false" applyBorder="false" applyAlignment="false">
      <alignment vertical="center"/>
    </xf>
    <xf numFmtId="306" fontId="49" fillId="4" borderId="23" xfId="0" applyNumberFormat="false" applyFont="false" applyFill="false" applyBorder="false" applyAlignment="false">
      <alignment vertical="center"/>
    </xf>
    <xf numFmtId="304" fontId="41" fillId="26" borderId="23" xfId="0" applyNumberFormat="false" applyFont="false" applyFill="false" applyBorder="false" applyAlignment="false">
      <alignment vertical="center"/>
    </xf>
    <xf numFmtId="304" fontId="52" fillId="4" borderId="23" xfId="0" applyNumberFormat="false" applyFont="false" applyFill="false" applyBorder="false" applyAlignment="false">
      <alignment vertical="center"/>
    </xf>
    <xf numFmtId="304" fontId="42" fillId="27" borderId="23" xfId="0" applyNumberFormat="false" applyFont="false" applyFill="false" applyBorder="false" applyAlignment="false">
      <alignment vertical="center"/>
    </xf>
    <xf numFmtId="304" fontId="42" fillId="28" borderId="23" xfId="0" applyNumberFormat="false" applyFont="false" applyFill="false" applyBorder="false" applyAlignment="false">
      <alignment vertical="center"/>
    </xf>
    <xf numFmtId="304" fontId="53" fillId="4" borderId="23" xfId="0" applyNumberFormat="false" applyFont="false" applyFill="false" applyBorder="false" applyAlignment="false">
      <alignment vertical="center"/>
    </xf>
    <xf numFmtId="304" fontId="41" fillId="29" borderId="23" xfId="0" applyNumberFormat="false" applyFont="false" applyFill="false" applyBorder="false" applyAlignment="false">
      <alignment vertical="center"/>
    </xf>
    <xf numFmtId="304" fontId="54" fillId="4" borderId="23" xfId="0" applyNumberFormat="false" applyFont="false" applyFill="false" applyBorder="false" applyAlignment="false">
      <alignment vertical="center"/>
    </xf>
    <xf numFmtId="304" fontId="55" fillId="30" borderId="23" xfId="0" applyNumberFormat="false" applyFont="false" applyFill="false" applyBorder="false" applyAlignment="false">
      <alignment vertical="center"/>
    </xf>
    <xf numFmtId="304" fontId="41" fillId="31" borderId="23" xfId="0" applyNumberFormat="false" applyFont="false" applyFill="false" applyBorder="false" applyAlignment="false">
      <alignment vertical="center"/>
    </xf>
    <xf numFmtId="304" fontId="41" fillId="32" borderId="23" xfId="0" applyNumberFormat="false" applyFont="false" applyFill="false" applyBorder="false" applyAlignment="false">
      <alignment vertical="center"/>
    </xf>
    <xf numFmtId="304" fontId="42" fillId="33" borderId="23" xfId="0" applyNumberFormat="false" applyFont="false" applyFill="false" applyBorder="false" applyAlignment="false">
      <alignment vertical="center"/>
    </xf>
    <xf numFmtId="304" fontId="56" fillId="4" borderId="23" xfId="0" applyNumberFormat="false" applyFont="false" applyFill="false" applyBorder="false" applyAlignment="false">
      <alignment vertical="center"/>
    </xf>
    <xf numFmtId="304" fontId="42" fillId="34" borderId="23" xfId="0" applyNumberFormat="false" applyFont="false" applyFill="false" applyBorder="false" applyAlignment="false">
      <alignment vertical="center"/>
    </xf>
    <xf numFmtId="304" fontId="57" fillId="4" borderId="29" xfId="0" applyNumberFormat="false" applyFont="false" applyFill="false" applyBorder="false" applyAlignment="false">
      <alignment vertical="center"/>
    </xf>
    <xf numFmtId="304" fontId="57" fillId="4" borderId="23" xfId="0" applyNumberFormat="false" applyFont="false" applyFill="false" applyBorder="false" applyAlignment="false">
      <alignment vertical="center"/>
    </xf>
    <xf numFmtId="304" fontId="58" fillId="4" borderId="28" xfId="0" applyNumberFormat="false" applyFont="false" applyFill="false" applyBorder="false" applyAlignment="false">
      <alignment vertical="center"/>
    </xf>
    <xf numFmtId="304" fontId="42" fillId="35" borderId="23" xfId="0" applyNumberFormat="false" applyFont="false" applyFill="false" applyBorder="false" applyAlignment="false">
      <alignment vertical="center"/>
    </xf>
    <xf numFmtId="304" fontId="59" fillId="4" borderId="30" xfId="0" applyNumberFormat="false" applyFont="false" applyFill="false" applyBorder="false" applyAlignment="false">
      <alignment vertical="center"/>
    </xf>
    <xf numFmtId="304" fontId="60" fillId="4" borderId="31" xfId="0" applyNumberFormat="false" applyFont="false" applyFill="false" applyBorder="false" applyAlignment="false">
      <alignment vertical="center"/>
    </xf>
  </cellStyleXfs>
  <cellXfs count="182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4" fontId="3" fillId="0" borderId="23" xfId="0" applyFont="true" applyAlignment="true">
      <alignment horizontal="center" vertical="center"/>
    </xf>
    <xf numFmtId="304" fontId="4" fillId="0" borderId="1" xfId="0" applyFont="true" applyBorder="true" applyAlignment="true">
      <alignment horizontal="left" vertical="top" wrapText="true"/>
    </xf>
    <xf numFmtId="304" fontId="5" fillId="0" borderId="1" xfId="0" applyFont="true" applyBorder="true" applyAlignment="true">
      <alignment horizontal="left" vertical="top" wrapText="true"/>
    </xf>
    <xf numFmtId="304" fontId="5" fillId="0" borderId="2" xfId="0" applyFont="true" applyBorder="true" applyAlignment="true">
      <alignment horizontal="center" vertical="top" wrapText="true"/>
    </xf>
    <xf fontId="5" fillId="0" borderId="3" xfId="0">
      <alignment horizontal="center" vertical="top" wrapText="true"/>
    </xf>
    <xf fontId="0" fillId="0" borderId="4" xfId="0">
      <alignment vertical="center"/>
    </xf>
    <xf numFmtId="304" fontId="4" fillId="0" borderId="1" xfId="0" applyFont="true" applyBorder="true" applyAlignment="true">
      <alignment horizontal="center" vertical="top" wrapText="true"/>
    </xf>
    <xf numFmtId="304" fontId="4" fillId="0" borderId="5" xfId="0" applyFont="true" applyBorder="true" applyAlignment="true">
      <alignment horizontal="center" vertical="top" wrapText="true"/>
    </xf>
    <xf numFmtId="304" fontId="6" fillId="0" borderId="5" xfId="0" applyFont="true" applyBorder="true" applyAlignment="true">
      <alignment horizontal="center" vertical="top" wrapText="true"/>
    </xf>
    <xf numFmtId="304" fontId="6" fillId="0" borderId="1" xfId="0" applyFont="true" applyBorder="true" applyAlignment="true">
      <alignment horizontal="left" vertical="top" wrapText="true"/>
    </xf>
    <xf numFmtId="300" fontId="6" fillId="0" borderId="1" xfId="0" applyNumberFormat="true" applyFont="true" applyBorder="true" applyAlignment="true">
      <alignment horizontal="center" vertical="top" wrapText="true"/>
    </xf>
    <xf numFmtId="300" fontId="6" fillId="0" borderId="5" xfId="0" applyNumberFormat="true" applyFont="true" applyBorder="true" applyAlignment="true">
      <alignment horizontal="center" vertical="top" wrapText="true"/>
    </xf>
    <xf numFmtId="300" fontId="7" fillId="0" borderId="1" xfId="0" applyNumberFormat="true" applyFont="true" applyBorder="true" applyAlignment="true">
      <alignment horizontal="center" vertical="top" wrapText="true"/>
    </xf>
    <xf numFmtId="300" fontId="8" fillId="0" borderId="1" xfId="0" applyNumberFormat="true" applyFont="true" applyBorder="true" applyAlignment="true">
      <alignment horizontal="center" vertical="top" wrapText="true"/>
    </xf>
    <xf numFmtId="300" fontId="3" fillId="0" borderId="23" xfId="0" applyNumberFormat="true" applyFont="true" applyAlignment="true">
      <alignment horizontal="center" vertical="center"/>
    </xf>
    <xf numFmtId="304" fontId="9" fillId="0" borderId="23" xfId="0" applyFont="true" applyAlignment="true">
      <alignment horizontal="center" vertical="center"/>
    </xf>
    <xf numFmtId="304" fontId="10" fillId="0" borderId="1" xfId="0" applyFont="true" applyBorder="true" applyAlignment="true">
      <alignment horizontal="center" vertical="top" wrapText="true"/>
    </xf>
    <xf numFmtId="304" fontId="10" fillId="0" borderId="6" xfId="0" applyFont="true" applyBorder="true" applyAlignment="true">
      <alignment horizontal="center" vertical="top" wrapText="true"/>
    </xf>
    <xf numFmtId="304" fontId="10" fillId="0" borderId="7" xfId="0" applyFont="true" applyBorder="true" applyAlignment="true">
      <alignment horizontal="center" vertical="top" wrapText="true"/>
    </xf>
    <xf numFmtId="304" fontId="10" fillId="0" borderId="3" xfId="0" applyFont="true" applyBorder="true" applyAlignment="true">
      <alignment horizontal="center" vertical="top" wrapText="true"/>
    </xf>
    <xf numFmtId="304" fontId="11" fillId="0" borderId="5" xfId="0" applyFont="true" applyBorder="true" applyAlignment="true">
      <alignment horizontal="center" vertical="top" wrapText="true"/>
    </xf>
    <xf numFmtId="304" fontId="11" fillId="0" borderId="8" xfId="0" applyFont="true" applyBorder="true" applyAlignment="true">
      <alignment horizontal="center" vertical="top" wrapText="true"/>
    </xf>
    <xf numFmtId="304" fontId="11" fillId="0" borderId="9" xfId="0" applyFont="true" applyBorder="true" applyAlignment="true">
      <alignment horizontal="center" vertical="top" wrapText="true"/>
    </xf>
    <xf numFmtId="304" fontId="11" fillId="0" borderId="10" xfId="0" applyFont="true" applyBorder="true" applyAlignment="true">
      <alignment horizontal="center" vertical="top" wrapText="true"/>
    </xf>
    <xf numFmtId="304" fontId="11" fillId="0" borderId="1" xfId="0" applyFont="true" applyBorder="true" applyAlignment="true">
      <alignment horizontal="center" vertical="top" wrapText="true"/>
    </xf>
    <xf numFmtId="300" fontId="12" fillId="0" borderId="1" xfId="0" applyNumberFormat="true" applyFont="true" applyBorder="true" applyAlignment="true">
      <alignment horizontal="center" vertical="top" wrapText="true"/>
    </xf>
    <xf numFmtId="300" fontId="10" fillId="0" borderId="1" xfId="0" applyNumberFormat="true" applyFont="true" applyBorder="true" applyAlignment="true">
      <alignment horizontal="center" vertical="top" wrapText="true"/>
    </xf>
    <xf numFmtId="304" fontId="13" fillId="0" borderId="1" xfId="0" applyFont="true" applyBorder="true" applyAlignment="true">
      <alignment horizontal="center" vertical="top" wrapText="true"/>
    </xf>
    <xf numFmtId="300" fontId="4" fillId="0" borderId="1" xfId="0" applyNumberFormat="true" applyFont="true" applyBorder="true" applyAlignment="true">
      <alignment horizontal="center" vertical="top" wrapText="true"/>
    </xf>
    <xf numFmtId="304" fontId="6" fillId="0" borderId="1" xfId="0" applyFont="true" applyBorder="true" applyAlignment="true">
      <alignment horizontal="center" vertical="top" wrapText="true"/>
    </xf>
    <xf numFmtId="300" fontId="14" fillId="0" borderId="1" xfId="0" applyNumberFormat="true" applyFont="true" applyBorder="true" applyAlignment="true">
      <alignment horizontal="center" vertical="top" wrapText="true"/>
    </xf>
    <xf numFmtId="10" fontId="8" fillId="0" borderId="1" xfId="0" applyNumberFormat="true" applyFont="true" applyBorder="true" applyAlignment="true">
      <alignment horizontal="center" vertical="top" wrapText="true"/>
    </xf>
    <xf numFmtId="10" fontId="6" fillId="0" borderId="1" xfId="0" applyNumberFormat="true" applyFont="true" applyBorder="true" applyAlignment="true">
      <alignment horizontal="center" vertical="top" wrapText="true"/>
    </xf>
    <xf numFmtId="10" fontId="4" fillId="0" borderId="1" xfId="0" applyNumberFormat="true" applyFont="true" applyBorder="true" applyAlignment="true">
      <alignment horizontal="center" vertical="top" wrapText="true"/>
    </xf>
    <xf numFmtId="10" fontId="14" fillId="0" borderId="1" xfId="0" applyNumberFormat="true" applyFont="true" applyBorder="true" applyAlignment="true">
      <alignment horizontal="center" vertical="top" wrapText="true"/>
    </xf>
    <xf numFmtId="304" fontId="15" fillId="0" borderId="1" xfId="0" applyFont="true" applyBorder="true" applyAlignment="true">
      <alignment horizontal="center" vertical="top" wrapText="true"/>
    </xf>
    <xf numFmtId="304" fontId="16" fillId="0" borderId="1" xfId="0" applyFont="true" applyBorder="true" applyAlignment="true">
      <alignment horizontal="center" vertical="top" wrapText="true"/>
    </xf>
    <xf numFmtId="301" fontId="12" fillId="0" borderId="1" xfId="0" applyNumberFormat="true" applyFont="true" applyBorder="true" applyAlignment="true">
      <alignment horizontal="center" vertical="top" wrapText="true"/>
    </xf>
    <xf numFmtId="301" fontId="4" fillId="0" borderId="1" xfId="0" applyNumberFormat="true" applyFont="true" applyBorder="true" applyAlignment="true">
      <alignment horizontal="center" vertical="top" wrapText="true"/>
    </xf>
    <xf numFmtId="301" fontId="6" fillId="0" borderId="1" xfId="0" applyNumberFormat="true" applyFont="true" applyBorder="true" applyAlignment="true">
      <alignment horizontal="center" vertical="top" wrapText="true"/>
    </xf>
    <xf numFmtId="301" fontId="16" fillId="0" borderId="1" xfId="0" applyNumberFormat="true" applyFont="true" applyBorder="true" applyAlignment="true">
      <alignment horizontal="center" vertical="top" wrapText="true"/>
    </xf>
    <xf numFmtId="304" fontId="17" fillId="0" borderId="1" xfId="0" applyFont="true" applyBorder="true" applyAlignment="true">
      <alignment horizontal="center" vertical="top" wrapText="true"/>
    </xf>
    <xf numFmtId="300" fontId="4" fillId="0" borderId="1" xfId="0">
      <alignment horizontal="center" vertical="top" wrapText="true"/>
    </xf>
    <xf numFmtId="9" fontId="17" fillId="0" borderId="1" xfId="0" applyNumberFormat="true" applyFont="true" applyBorder="true" applyAlignment="true">
      <alignment horizontal="center" vertical="top" wrapText="true"/>
    </xf>
    <xf numFmtId="9" fontId="4" fillId="0" borderId="1" xfId="0" applyNumberFormat="true" applyFont="true" applyBorder="true" applyAlignment="true">
      <alignment horizontal="center" vertical="top" wrapText="true"/>
    </xf>
    <xf numFmtId="9" fontId="6" fillId="0" borderId="1" xfId="0" applyNumberFormat="true" applyFont="true" applyBorder="true" applyAlignment="true">
      <alignment horizontal="center" vertical="top" wrapText="true"/>
    </xf>
    <xf numFmtId="300" fontId="18" fillId="0" borderId="1" xfId="0" applyNumberFormat="true" applyFont="true" applyBorder="true" applyAlignment="true">
      <alignment horizontal="center" vertical="top" wrapText="true"/>
    </xf>
    <xf numFmtId="300" fontId="4" fillId="0" borderId="1" xfId="0" applyNumberFormat="true" applyFont="true" applyBorder="true" applyAlignment="true">
      <alignment horizontal="left" vertical="top" wrapText="true"/>
    </xf>
    <xf numFmtId="300" fontId="16" fillId="0" borderId="1" xfId="0" applyNumberFormat="true" applyFont="true" applyBorder="true" applyAlignment="true">
      <alignment horizontal="left" vertical="top" wrapText="true"/>
    </xf>
    <xf numFmtId="304" fontId="4" fillId="0" borderId="1" xfId="0" applyFont="true" applyBorder="true" applyAlignment="true">
      <alignment horizontal="center" vertical="center"/>
    </xf>
    <xf numFmtId="300" fontId="16" fillId="0" borderId="1" xfId="0" applyNumberFormat="true" applyFont="true" applyBorder="true" applyAlignment="true">
      <alignment horizontal="center" vertical="top" wrapText="true"/>
    </xf>
    <xf numFmtId="300" fontId="19" fillId="0" borderId="23" xfId="0" applyNumberFormat="true" applyFont="true" applyAlignment="true">
      <alignment horizontal="center" vertical="center"/>
    </xf>
    <xf numFmtId="300" fontId="20" fillId="0" borderId="23" xfId="0" applyNumberFormat="true" applyFont="true">
      <alignment vertical="center"/>
    </xf>
    <xf numFmtId="300" fontId="10" fillId="0" borderId="1" xfId="0" applyNumberFormat="true" applyFont="true" applyBorder="true" applyAlignment="true">
      <alignment horizontal="left" vertical="top" wrapText="true"/>
    </xf>
    <xf numFmtId="300" fontId="21" fillId="0" borderId="1" xfId="0" applyNumberFormat="true" applyFont="true" applyBorder="true" applyAlignment="true">
      <alignment horizontal="left" vertical="top" wrapText="true"/>
    </xf>
    <xf numFmtId="300" fontId="21" fillId="0" borderId="2" xfId="0" applyNumberFormat="true" applyFont="true" applyBorder="true" applyAlignment="true">
      <alignment horizontal="left" vertical="top" wrapText="true"/>
    </xf>
    <xf numFmtId="300" fontId="18" fillId="0" borderId="3" xfId="0" applyNumberFormat="true" applyFont="true" applyBorder="true" applyAlignment="true">
      <alignment horizontal="center" vertical="top" wrapText="true"/>
    </xf>
    <xf numFmtId="301" fontId="18" fillId="0" borderId="10" xfId="0" applyNumberFormat="true" applyFont="true" applyBorder="true" applyAlignment="true">
      <alignment horizontal="center" vertical="top" wrapText="true"/>
    </xf>
    <xf numFmtId="302" fontId="18" fillId="0" borderId="10" xfId="0" applyNumberFormat="true" applyFont="true" applyBorder="true" applyAlignment="true">
      <alignment horizontal="center" vertical="top" wrapText="true"/>
    </xf>
    <xf numFmtId="301" fontId="4" fillId="0" borderId="1" xfId="0" applyNumberFormat="true" applyFont="true" applyBorder="true" applyAlignment="true">
      <alignment horizontal="left" vertical="top" wrapText="true"/>
    </xf>
    <xf numFmtId="302" fontId="4" fillId="0" borderId="1" xfId="0" applyNumberFormat="true" applyFont="true" applyBorder="true" applyAlignment="true">
      <alignment horizontal="left" vertical="top" wrapText="true"/>
    </xf>
    <xf numFmtId="300" fontId="4" fillId="0" borderId="1" xfId="0" applyNumberFormat="true" applyFont="true" applyBorder="true" applyAlignment="true">
      <alignment horizontal="justify" vertical="top" wrapText="true"/>
    </xf>
    <xf numFmtId="300" fontId="4" fillId="0" borderId="1" xfId="0" applyNumberFormat="true" applyFont="true" applyBorder="true" applyAlignment="true">
      <alignment horizontal="left" vertical="center" wrapText="true"/>
    </xf>
    <xf numFmtId="304" fontId="22" fillId="0" borderId="23" xfId="0" applyFont="true" applyAlignment="true">
      <alignment horizontal="center" vertical="top" wrapText="true"/>
    </xf>
    <xf numFmtId="304" fontId="23" fillId="0" borderId="23" xfId="0" applyFont="true" applyAlignment="true">
      <alignment horizontal="center" vertical="top" wrapText="true"/>
    </xf>
    <xf numFmtId="300" fontId="22" fillId="0" borderId="23" xfId="0" applyNumberFormat="true" applyFont="true" applyAlignment="true">
      <alignment horizontal="center" vertical="top" wrapText="true"/>
    </xf>
    <xf numFmtId="304" fontId="24" fillId="0" borderId="23" xfId="0" applyFont="true" applyAlignment="true">
      <alignment horizontal="right" vertical="top" wrapText="true"/>
    </xf>
    <xf numFmtId="304" fontId="25" fillId="0" borderId="23" xfId="0" applyFont="true" applyAlignment="true">
      <alignment horizontal="right" vertical="top" wrapText="true"/>
    </xf>
    <xf numFmtId="300" fontId="24" fillId="0" borderId="23" xfId="0" applyNumberFormat="true" applyFont="true" applyAlignment="true">
      <alignment horizontal="right" vertical="top" wrapText="true"/>
    </xf>
    <xf numFmtId="304" fontId="18" fillId="0" borderId="1" xfId="0" applyFont="true" applyBorder="true" applyAlignment="true">
      <alignment horizontal="center" vertical="center" wrapText="true"/>
    </xf>
    <xf numFmtId="300" fontId="18" fillId="0" borderId="1" xfId="0" applyNumberFormat="true" applyFont="true" applyBorder="true" applyAlignment="true">
      <alignment horizontal="center" vertical="center" wrapText="true"/>
    </xf>
    <xf numFmtId="304" fontId="26" fillId="0" borderId="23" xfId="0" applyFont="true" applyAlignment="true">
      <alignment horizontal="center" vertical="center"/>
    </xf>
    <xf numFmtId="304" fontId="18" fillId="0" borderId="1" xfId="0" applyFont="true" applyBorder="true" applyAlignment="true">
      <alignment horizontal="center" vertical="top" wrapText="true"/>
    </xf>
    <xf numFmtId="300" fontId="27" fillId="0" borderId="1" xfId="0" applyNumberFormat="true" applyFont="true" applyBorder="true" applyAlignment="true">
      <alignment horizontal="center" vertical="top" wrapText="true"/>
    </xf>
    <xf numFmtId="10" fontId="28" fillId="0" borderId="11" xfId="0" applyNumberFormat="true" applyFont="true" applyBorder="true" applyAlignment="true">
      <alignment horizontal="center" vertical="top" wrapText="true"/>
    </xf>
    <xf numFmtId="10" fontId="28" fillId="0" borderId="12" xfId="0" applyNumberFormat="true" applyFont="true" applyBorder="true" applyAlignment="true">
      <alignment horizontal="center" vertical="top" wrapText="true"/>
    </xf>
    <xf numFmtId="300" fontId="28" fillId="0" borderId="13" xfId="0" applyNumberFormat="true" applyFont="true" applyBorder="true" applyAlignment="true">
      <alignment horizontal="center" vertical="top" wrapText="true"/>
    </xf>
    <xf numFmtId="304" fontId="29" fillId="0" borderId="23" xfId="0" applyFont="true">
      <alignment vertical="center"/>
    </xf>
    <xf numFmtId="304" fontId="26" fillId="0" borderId="23" xfId="0" applyFont="true">
      <alignment vertical="center"/>
    </xf>
    <xf numFmtId="304" fontId="30" fillId="0" borderId="1" xfId="0" applyFont="true" applyBorder="true" applyAlignment="true">
      <alignment horizontal="center" vertical="top" wrapText="true"/>
    </xf>
    <xf numFmtId="300" fontId="30" fillId="0" borderId="1" xfId="0" applyNumberFormat="true" applyFont="true" applyBorder="true" applyAlignment="true">
      <alignment horizontal="center" vertical="top" wrapText="true"/>
    </xf>
    <xf numFmtId="304" fontId="10" fillId="0" borderId="1" xfId="0" applyFont="true" applyBorder="true" applyAlignment="true">
      <alignment horizontal="center" vertical="center"/>
    </xf>
    <xf numFmtId="304" fontId="10" fillId="2" borderId="1" xfId="0" applyFont="true" applyFill="true" applyBorder="true" applyAlignment="true">
      <alignment horizontal="center" vertical="center"/>
    </xf>
    <xf numFmtId="303" fontId="10" fillId="2" borderId="1" xfId="0" applyNumberFormat="true" applyFont="true" applyFill="true" applyBorder="true" applyAlignment="true">
      <alignment horizontal="center" vertical="center"/>
    </xf>
    <xf numFmtId="304" fontId="8" fillId="0" borderId="1" xfId="0" applyFont="true" applyBorder="true" applyAlignment="true">
      <alignment horizontal="center" vertical="top" wrapText="true"/>
    </xf>
    <xf numFmtId="300" fontId="4" fillId="2" borderId="1" xfId="0" applyNumberFormat="true" applyFont="true" applyFill="true" applyBorder="true" applyAlignment="true">
      <alignment horizontal="center" vertical="center"/>
    </xf>
    <xf numFmtId="303" fontId="4" fillId="2" borderId="1" xfId="0" applyNumberFormat="true" applyFont="true" applyFill="true" applyBorder="true" applyAlignment="true">
      <alignment horizontal="center" vertical="center"/>
    </xf>
    <xf numFmtId="304" fontId="10" fillId="3" borderId="3" xfId="0" applyFont="true" applyFill="true" applyBorder="true" applyAlignment="true">
      <alignment horizontal="center" vertical="center"/>
    </xf>
    <xf numFmtId="304" fontId="4" fillId="3" borderId="3" xfId="0" applyFont="true" applyFill="true" applyBorder="true" applyAlignment="true">
      <alignment horizontal="center" vertical="center"/>
    </xf>
    <xf numFmtId="304" fontId="4" fillId="2" borderId="1" xfId="0" applyFont="true" applyFill="true" applyBorder="true" applyAlignment="true">
      <alignment horizontal="center" vertical="center"/>
    </xf>
    <xf numFmtId="303" fontId="18" fillId="0" borderId="23" xfId="0" applyNumberFormat="true" applyFont="true">
      <alignment vertical="center"/>
    </xf>
    <xf numFmtId="303" fontId="31" fillId="0" borderId="23" xfId="0" applyNumberFormat="true" applyFont="true">
      <alignment vertical="center"/>
    </xf>
    <xf numFmtId="300" fontId="32" fillId="0" borderId="11" xfId="0" applyNumberFormat="true" applyFont="true" applyBorder="true" applyAlignment="true">
      <alignment horizontal="center" vertical="top" wrapText="true"/>
    </xf>
    <xf numFmtId="300" fontId="32" fillId="0" borderId="12" xfId="0" applyNumberFormat="true" applyFont="true" applyBorder="true" applyAlignment="true">
      <alignment horizontal="center" vertical="top" wrapText="true"/>
    </xf>
    <xf numFmtId="300" fontId="32" fillId="0" borderId="13" xfId="0" applyNumberFormat="true" applyFont="true" applyBorder="true" applyAlignment="true">
      <alignment horizontal="center" vertical="top" wrapText="true"/>
    </xf>
    <xf numFmtId="303" fontId="16" fillId="0" borderId="23" xfId="0" applyNumberFormat="true" applyFont="true">
      <alignment vertical="center"/>
    </xf>
    <xf numFmtId="300" fontId="33" fillId="0" borderId="12" xfId="0" applyNumberFormat="true" applyFont="true" applyBorder="true" applyAlignment="true">
      <alignment horizontal="center" vertical="top" wrapText="true"/>
    </xf>
    <xf numFmtId="300" fontId="33" fillId="0" borderId="13" xfId="0" applyNumberFormat="true" applyFont="true" applyBorder="true" applyAlignment="true">
      <alignment horizontal="center" vertical="top" wrapText="true"/>
    </xf>
    <xf numFmtId="303" fontId="34" fillId="0" borderId="23" xfId="0" applyNumberFormat="true" applyFont="true">
      <alignment vertical="center"/>
    </xf>
    <xf numFmtId="300" fontId="32" fillId="0" borderId="11" xfId="0" applyNumberFormat="true" applyFont="true" applyBorder="true" applyAlignment="true">
      <alignment horizontal="center" vertical="center" wrapText="true"/>
    </xf>
    <xf numFmtId="300" fontId="32" fillId="0" borderId="12" xfId="0" applyNumberFormat="true" applyFont="true" applyBorder="true" applyAlignment="true">
      <alignment horizontal="center" vertical="center" wrapText="true"/>
    </xf>
    <xf numFmtId="300" fontId="32" fillId="0" borderId="13" xfId="0" applyNumberFormat="true" applyFont="true" applyBorder="true" applyAlignment="true">
      <alignment horizontal="left" vertical="center" wrapText="true"/>
    </xf>
    <xf numFmtId="300" fontId="32" fillId="0" borderId="13" xfId="0" applyNumberFormat="true" applyFont="true" applyBorder="true" applyAlignment="true">
      <alignment horizontal="center" vertical="center" wrapText="true"/>
    </xf>
    <xf numFmtId="304" fontId="40" fillId="0" borderId="23" xfId="0">
      <alignment vertical="center"/>
    </xf>
    <xf numFmtId="300" fontId="32" fillId="0" borderId="13" xfId="0" applyNumberFormat="true" applyFont="true" applyBorder="true" applyAlignment="true">
      <alignment horizontal="left" vertical="top" wrapText="true"/>
    </xf>
    <xf numFmtId="10" fontId="28" fillId="0" borderId="14" xfId="0" applyNumberFormat="true" applyFont="true" applyBorder="true" applyAlignment="true">
      <alignment horizontal="center" vertical="top" wrapText="true"/>
    </xf>
    <xf numFmtId="10" fontId="28" fillId="0" borderId="15" xfId="0" applyNumberFormat="true" applyFont="true" applyBorder="true" applyAlignment="true">
      <alignment horizontal="center" vertical="top" wrapText="true"/>
    </xf>
    <xf numFmtId="300" fontId="28" fillId="0" borderId="16" xfId="0" applyNumberFormat="true" applyFont="true" applyBorder="true" applyAlignment="true">
      <alignment horizontal="center" vertical="top" wrapText="true"/>
    </xf>
    <xf numFmtId="300" fontId="32" fillId="0" borderId="11" xfId="0">
      <alignment horizontal="center" vertical="top" wrapText="true"/>
    </xf>
    <xf numFmtId="300" fontId="32" fillId="0" borderId="12" xfId="0">
      <alignment horizontal="center" vertical="top" wrapText="true"/>
    </xf>
    <xf numFmtId="300" fontId="32" fillId="0" borderId="13" xfId="0">
      <alignment horizontal="center" vertical="top" wrapText="true"/>
    </xf>
    <xf numFmtId="9" fontId="7" fillId="0" borderId="1" xfId="0" applyNumberFormat="true" applyFont="true" applyBorder="true" applyAlignment="true">
      <alignment horizontal="center" vertical="top" wrapText="true"/>
    </xf>
    <xf numFmtId="300" fontId="33" fillId="0" borderId="11" xfId="0" applyNumberFormat="true" applyFont="true" applyBorder="true" applyAlignment="true">
      <alignment horizontal="center" vertical="top" wrapText="true"/>
    </xf>
    <xf numFmtId="304" fontId="40" fillId="0" borderId="23" xfId="0" applyAlignment="true">
      <alignment horizontal="center" vertical="center"/>
    </xf>
    <xf numFmtId="300" fontId="35" fillId="0" borderId="23" xfId="0" applyNumberFormat="true" applyFont="true" applyAlignment="true">
      <alignment horizontal="center" vertical="top" wrapText="true"/>
    </xf>
    <xf numFmtId="304" fontId="29" fillId="0" borderId="23" xfId="0" applyFont="true" applyAlignment="true">
      <alignment horizontal="center" vertical="center"/>
    </xf>
    <xf numFmtId="300" fontId="40" fillId="0" borderId="23" xfId="0" applyNumberFormat="true">
      <alignment vertical="center"/>
    </xf>
    <xf numFmtId="0" fontId="40" fillId="4" borderId="17" xfId="0" applyNumberFormat="true" applyFill="true" applyBorder="true" applyAlignment="true">
      <alignment horizontal="center" vertical="center"/>
    </xf>
    <xf numFmtId="304" fontId="20" fillId="0" borderId="23" xfId="0" applyFont="true" applyAlignment="true">
      <alignment horizontal="center" vertical="center"/>
    </xf>
    <xf numFmtId="304" fontId="4" fillId="0" borderId="6" xfId="0" applyFont="true" applyBorder="true" applyAlignment="true">
      <alignment horizontal="center" vertical="center" wrapText="true"/>
    </xf>
    <xf numFmtId="304" fontId="4" fillId="0" borderId="18" xfId="0" applyFont="true" applyBorder="true" applyAlignment="true">
      <alignment horizontal="center" vertical="center" wrapText="true"/>
    </xf>
    <xf numFmtId="304" fontId="16" fillId="0" borderId="19" xfId="0" applyFont="true" applyBorder="true" applyAlignment="true">
      <alignment horizontal="center" vertical="center"/>
    </xf>
    <xf fontId="0" fillId="0" borderId="20" xfId="0">
      <alignment vertical="center"/>
    </xf>
    <xf fontId="0" fillId="0" borderId="21" xfId="0">
      <alignment vertical="center"/>
    </xf>
    <xf numFmtId="304" fontId="4" fillId="0" borderId="5" xfId="0" applyFont="true" applyBorder="true" applyAlignment="true">
      <alignment horizontal="center" vertical="center" wrapText="true"/>
    </xf>
    <xf numFmtId="304" fontId="4" fillId="0" borderId="22" xfId="0" applyFont="true" applyBorder="true" applyAlignment="true">
      <alignment horizontal="center" vertical="center" wrapText="true"/>
    </xf>
    <xf numFmtId="302" fontId="6" fillId="0" borderId="3" xfId="0" applyNumberFormat="true" applyFont="true" applyBorder="true" applyAlignment="true">
      <alignment horizontal="center" vertical="top" wrapText="true"/>
    </xf>
    <xf numFmtId="301" fontId="16" fillId="0" borderId="3" xfId="0" applyNumberFormat="true" applyFont="true" applyBorder="true" applyAlignment="true">
      <alignment horizontal="center" vertical="top" wrapText="true"/>
    </xf>
    <xf numFmtId="300" fontId="6" fillId="0" borderId="1" xfId="0" applyNumberFormat="true" applyFont="true" applyBorder="true" applyAlignment="true">
      <alignment horizontal="left" vertical="top" wrapText="true"/>
    </xf>
    <xf numFmtId="301" fontId="6" fillId="0" borderId="10" xfId="0" applyNumberFormat="true" applyFont="true" applyBorder="true" applyAlignment="true">
      <alignment horizontal="center" vertical="top" wrapText="true"/>
    </xf>
    <xf numFmtId="300" fontId="16" fillId="0" borderId="10" xfId="0" applyNumberFormat="true" applyFont="true" applyBorder="true" applyAlignment="true">
      <alignment horizontal="left" vertical="top" wrapText="true"/>
    </xf>
    <xf numFmtId="300" fontId="7" fillId="0" borderId="10" xfId="0" applyNumberFormat="true" applyFont="true" applyBorder="true" applyAlignment="true">
      <alignment horizontal="left" vertical="top" wrapText="true"/>
    </xf>
    <xf numFmtId="300" fontId="7" fillId="0" borderId="1" xfId="0" applyNumberFormat="true" applyFont="true" applyBorder="true" applyAlignment="true">
      <alignment horizontal="left" vertical="top" wrapText="true"/>
    </xf>
    <xf numFmtId="304" fontId="4" fillId="0" borderId="1" xfId="0" applyFont="true" applyBorder="true" applyAlignment="true">
      <alignment horizontal="center" vertical="center" wrapText="true"/>
    </xf>
    <xf numFmtId="304" fontId="4" fillId="0" borderId="11" xfId="0" applyFont="true" applyBorder="true" applyAlignment="true">
      <alignment horizontal="center" vertical="center" wrapText="true"/>
    </xf>
    <xf numFmtId="304" fontId="36" fillId="0" borderId="3" xfId="0" applyFont="true" applyBorder="true" applyAlignment="true">
      <alignment horizontal="center" vertical="center" wrapText="true"/>
    </xf>
    <xf numFmtId="304" fontId="36" fillId="0" borderId="23" xfId="0" applyFont="true" applyAlignment="true">
      <alignment vertical="center" wrapText="true"/>
    </xf>
    <xf numFmtId="304" fontId="37" fillId="0" borderId="10" xfId="0" applyFont="true" applyBorder="true" applyAlignment="true">
      <alignment horizontal="center" vertical="center" wrapText="true"/>
    </xf>
    <xf numFmtId="304" fontId="37" fillId="0" borderId="23" xfId="0" applyFont="true" applyAlignment="true">
      <alignment horizontal="center" vertical="center" wrapText="true"/>
    </xf>
    <xf numFmtId="304" fontId="37" fillId="0" borderId="11" xfId="0" applyFont="true" applyBorder="true" applyAlignment="true">
      <alignment horizontal="left" vertical="center" wrapText="true"/>
    </xf>
    <xf numFmtId="300" fontId="37" fillId="0" borderId="1" xfId="0" applyNumberFormat="true" applyFont="true" applyBorder="true" applyAlignment="true">
      <alignment horizontal="center" vertical="center" wrapText="true"/>
    </xf>
    <xf numFmtId="304" fontId="38" fillId="0" borderId="23" xfId="0" applyFont="true" applyAlignment="true">
      <alignment horizontal="center" vertical="center" wrapText="true"/>
    </xf>
    <xf numFmtId="304" fontId="10" fillId="0" borderId="1" xfId="0" applyFont="true" applyBorder="true" applyAlignment="true">
      <alignment horizontal="left" vertical="top" wrapText="true"/>
    </xf>
    <xf numFmtId="304" fontId="10" fillId="0" borderId="18" xfId="0" applyFont="true" applyBorder="true" applyAlignment="true">
      <alignment horizontal="center" vertical="top" wrapText="true"/>
    </xf>
    <xf numFmtId="304" fontId="10" fillId="0" borderId="5" xfId="0" applyFont="true" applyBorder="true" applyAlignment="true">
      <alignment horizontal="center" vertical="top" wrapText="true"/>
    </xf>
    <xf numFmtId="304" fontId="10" fillId="0" borderId="5" xfId="0" applyFont="true" applyBorder="true" applyAlignment="true">
      <alignment horizontal="left" vertical="top" wrapText="true"/>
    </xf>
    <xf numFmtId="304" fontId="12" fillId="0" borderId="10" xfId="0" applyFont="true" applyBorder="true" applyAlignment="true">
      <alignment horizontal="center" vertical="top" wrapText="true"/>
    </xf>
    <xf numFmtId="300" fontId="4" fillId="0" borderId="1" xfId="0" applyNumberFormat="true" applyFont="true" applyBorder="true">
      <alignment vertical="center"/>
    </xf>
    <xf numFmtId="300" fontId="4" fillId="0" borderId="1" xfId="0" applyNumberFormat="true" applyFont="true" applyBorder="true" applyAlignment="true">
      <alignment horizontal="center" vertical="center"/>
    </xf>
    <xf numFmtId="304" fontId="7" fillId="0" borderId="1" xfId="0" applyFont="true" applyBorder="true" applyAlignment="true">
      <alignment horizontal="center" vertical="top" wrapText="true"/>
    </xf>
    <xf numFmtId="300" fontId="16" fillId="0" borderId="1" xfId="0" applyNumberFormat="true" applyFont="true" applyBorder="true" applyAlignment="true">
      <alignment horizontal="center" vertical="center"/>
    </xf>
    <xf numFmtId="300" fontId="34" fillId="0" borderId="1" xfId="0" applyNumberFormat="true" applyFont="true" applyBorder="true" applyAlignment="true">
      <alignment horizontal="center" vertical="center"/>
    </xf>
    <xf numFmtId="304" fontId="4" fillId="0" borderId="23" xfId="0" applyFont="true" applyAlignment="true">
      <alignment horizontal="left" vertical="center"/>
    </xf>
    <xf numFmtId="304" fontId="16" fillId="0" borderId="23" xfId="0" applyFont="true">
      <alignment vertical="center"/>
    </xf>
    <xf numFmtId="10" fontId="4" fillId="0" borderId="23" xfId="0" applyNumberFormat="true" applyFont="true">
      <alignment vertical="center"/>
    </xf>
    <xf numFmtId="300" fontId="4" fillId="0" borderId="23" xfId="0" applyNumberFormat="true" applyFont="true">
      <alignment vertical="center"/>
    </xf>
    <xf numFmtId="304" fontId="39" fillId="0" borderId="23" xfId="0" applyFont="true" applyAlignment="true">
      <alignment horizontal="center" vertical="center"/>
    </xf>
    <xf numFmtId="304" fontId="10" fillId="0" borderId="6" xfId="0" applyFont="true" applyBorder="true" applyAlignment="true">
      <alignment horizontal="center" vertical="center" wrapText="true"/>
    </xf>
    <xf numFmtId="304" fontId="10" fillId="0" borderId="18" xfId="0" applyFont="true" applyBorder="true" applyAlignment="true">
      <alignment horizontal="center" vertical="center" wrapText="true"/>
    </xf>
    <xf numFmtId="304" fontId="10" fillId="0" borderId="5" xfId="0" applyFont="true" applyBorder="true" applyAlignment="true">
      <alignment horizontal="center" vertical="center" wrapText="true"/>
    </xf>
    <xf numFmtId="304" fontId="10" fillId="0" borderId="10" xfId="0" applyFont="true" applyBorder="true" applyAlignment="true">
      <alignment horizontal="center" vertical="center" wrapText="true"/>
    </xf>
    <xf numFmtId="300" fontId="6" fillId="0" borderId="1" xfId="0" applyNumberFormat="true" applyFont="true" applyBorder="true" applyAlignment="true">
      <alignment horizontal="center" vertical="center" wrapText="true"/>
    </xf>
    <xf numFmtId="302" fontId="6" fillId="0" borderId="1" xfId="0" applyNumberFormat="true" applyFont="true" applyBorder="true" applyAlignment="true">
      <alignment horizontal="center" vertical="top" wrapText="true"/>
    </xf>
    <xf numFmtId="304" fontId="39" fillId="4" borderId="23" xfId="0" applyNumberFormat="true" applyFont="true" applyFill="true" applyBorder="true" applyAlignment="true">
      <alignment horizontal="center" vertical="center"/>
    </xf>
    <xf numFmtId="304" fontId="39" fillId="4" borderId="23" xfId="0" applyNumberFormat="true" applyFont="true" applyFill="true" applyBorder="true" applyAlignment="true">
      <alignment vertical="center"/>
    </xf>
    <xf numFmtId="304" fontId="40" fillId="4" borderId="23" xfId="0" applyNumberFormat="true" applyFill="true" applyBorder="true" applyAlignment="true">
      <alignment vertical="center"/>
    </xf>
    <xf numFmtId="304" fontId="40" fillId="4" borderId="23" xfId="0" applyNumberFormat="true" applyFill="true" applyBorder="true" applyAlignment="true">
      <alignment horizontal="center" vertical="center"/>
    </xf>
    <xf numFmtId="304" fontId="29" fillId="4" borderId="23" xfId="0" applyNumberFormat="true" applyFont="true" applyFill="true" applyBorder="true" applyAlignment="true">
      <alignment horizontal="center" vertical="center"/>
    </xf>
    <xf numFmtId="300" fontId="40" fillId="4" borderId="23" xfId="0" applyNumberFormat="true" applyFill="true" applyBorder="true" applyAlignment="true">
      <alignment vertical="center"/>
    </xf>
    <xf numFmtId="304" fontId="29" fillId="4" borderId="23" xfId="0" applyNumberFormat="true" applyFont="true" applyFill="true" applyBorder="true" applyAlignment="true">
      <alignment vertical="center"/>
    </xf>
    <xf numFmtId="305" fontId="40" fillId="4" borderId="23" xfId="0" applyNumberFormat="true" applyFill="true" applyBorder="true" applyAlignment="true">
      <alignment vertical="center"/>
    </xf>
    <xf numFmtId="301" fontId="40" fillId="4" borderId="23" xfId="0" applyNumberFormat="true" applyFill="true" applyBorder="true" applyAlignment="true">
      <alignment vertical="center"/>
    </xf>
    <xf numFmtId="306" fontId="40" fillId="4" borderId="23" xfId="0" applyNumberFormat="true" applyFill="true" applyBorder="true" applyAlignment="true">
      <alignment vertical="center"/>
    </xf>
    <xf numFmtId="300" fontId="40" fillId="4" borderId="23" xfId="0" applyNumberFormat="true" applyFill="true" applyBorder="true" applyAlignment="true">
      <alignment horizontal="center" vertical="center"/>
    </xf>
    <xf numFmtId="304" fontId="4" fillId="4" borderId="23" xfId="0" applyNumberFormat="true" applyFont="true" applyFill="true" applyBorder="true" applyAlignment="true">
      <alignment vertical="center"/>
    </xf>
    <xf numFmtId="304" fontId="16" fillId="4" borderId="23" xfId="0" applyNumberFormat="true" applyFont="true" applyFill="true" applyBorder="true" applyAlignment="true">
      <alignment vertical="center"/>
    </xf>
    <xf numFmtId="300" fontId="20" fillId="4" borderId="23" xfId="0" applyNumberFormat="true" applyFont="true" applyFill="true" applyBorder="true" applyAlignment="true">
      <alignment vertical="center"/>
    </xf>
    <xf numFmtId="300" fontId="29" fillId="4" borderId="23" xfId="0" applyNumberFormat="true" applyFont="true" applyFill="true" applyBorder="true" applyAlignment="true">
      <alignment vertical="center"/>
    </xf>
  </cellXfs>
  <cellStyles>
    <cellStyle name="常规" xfId="0" builtinId="0"/>
    <cellStyle name="20% - 强调文字颜色 3" xfId="1" builtinId="38"/>
    <cellStyle name="60% - 强调文字颜色 1" xfId="2" builtinId="32"/>
    <cellStyle name="40% - 强调文字颜色 1" xfId="3" builtinId="31"/>
    <cellStyle name="20% - 强调文字颜色 1" xfId="4" builtinId="30"/>
    <cellStyle name="强调文字颜色 1" xfId="5" builtinId="29"/>
    <cellStyle name="适中" xfId="6" builtinId="28"/>
    <cellStyle name="差" xfId="7" builtinId="27"/>
    <cellStyle name="输入" xfId="8" builtinId="20"/>
    <cellStyle name="输出" xfId="9" builtinId="21"/>
    <cellStyle name="计算" xfId="10" builtinId="22"/>
    <cellStyle name="检查单元格" xfId="11" builtinId="23"/>
    <cellStyle name="千位分隔" xfId="12" builtinId="3"/>
    <cellStyle name="60% - 强调文字颜色 3" xfId="13" builtinId="40"/>
    <cellStyle name="60% - 强调文字颜色 4" xfId="14" builtinId="44"/>
    <cellStyle name="货币[0]" xfId="15" builtinId="7"/>
    <cellStyle name="注释" xfId="16" builtinId="10"/>
    <cellStyle name="40% - 强调文字颜色 5" xfId="17" builtinId="47"/>
    <cellStyle name="解释性文本" xfId="18" builtinId="53"/>
    <cellStyle name="标题 1" xfId="19" builtinId="16"/>
    <cellStyle name="60% - 强调文字颜色 2" xfId="20" builtinId="36"/>
    <cellStyle name="40% - 强调文字颜色 2" xfId="21" builtinId="35"/>
    <cellStyle name="20% - 强调文字颜色 2" xfId="22" builtinId="34"/>
    <cellStyle name="强调文字颜色 2" xfId="23" builtinId="33"/>
    <cellStyle name="40% - 强调文字颜色 4" xfId="24" builtinId="43"/>
    <cellStyle name="千位分隔[0]" xfId="25" builtinId="6"/>
    <cellStyle name="强调文字颜色 4" xfId="26" builtinId="41"/>
    <cellStyle name="货币" xfId="27" builtinId="4"/>
    <cellStyle name="40% - 强调文字颜色 3" xfId="28" builtinId="39"/>
    <cellStyle name="百分比" xfId="29" builtinId="5"/>
    <cellStyle name="20% - 强调文字颜色 4" xfId="30" builtinId="42"/>
    <cellStyle name="警告文本" xfId="31" builtinId="11"/>
    <cellStyle name="60% - 强调文字颜色 5" xfId="32" builtinId="48"/>
    <cellStyle name="强调文字颜色 5" xfId="33" builtinId="45"/>
    <cellStyle name="超链接" xfId="34" builtinId="8"/>
    <cellStyle name="20% - 强调文字颜色 5" xfId="35" builtinId="46"/>
    <cellStyle name="已访问的超链接" xfId="36" builtinId="9"/>
    <cellStyle name="好" xfId="37" builtinId="26"/>
    <cellStyle name="40% - 强调文字颜色 6" xfId="38" builtinId="51"/>
    <cellStyle name="20% - 强调文字颜色 6" xfId="39" builtinId="50"/>
    <cellStyle name="强调文字颜色 6" xfId="40" builtinId="49"/>
    <cellStyle name="标题" xfId="41" builtinId="15"/>
    <cellStyle name="60% - 强调文字颜色 6" xfId="42" builtinId="52"/>
    <cellStyle name="标题 3" xfId="43" builtinId="18"/>
    <cellStyle name="标题 4" xfId="44" builtinId="19"/>
    <cellStyle name="标题 2" xfId="45" builtinId="17"/>
    <cellStyle name="强调文字颜色 3" xfId="46" builtinId="37"/>
    <cellStyle name="链接单元格" xfId="47" builtinId="24"/>
    <cellStyle name="汇总" xfId="48" builtinId="25"/>
  </cellStyles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6.xml" /><Relationship Id="rId7" Type="http://schemas.openxmlformats.org/officeDocument/2006/relationships/worksheet" Target="worksheets/sheet5.xml" /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0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9" Type="http://schemas.openxmlformats.org/officeDocument/2006/relationships/worksheet" Target="worksheets/sheet7.xml" /><Relationship Id="rId2" Type="http://schemas.openxmlformats.org/officeDocument/2006/relationships/styles" Target="styles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AA58"/>
  <sheetViews>
    <sheetView showGridLines="true" zoomScale="120" zoomScaleNormal="120" workbookViewId="0">
      <pane xSplit="1" ySplit="3" topLeftCell="B4" activePane="bottomRight" state="frozen"/>
    </sheetView>
  </sheetViews>
  <sheetFormatPr defaultColWidth="8.62727" defaultRowHeight="14"/>
  <cols>
    <col min="1" max="1" width="4.37273" style="170" customWidth="true"/>
    <col min="2" max="2" width="18.7545" style="170" customWidth="true"/>
    <col min="3" max="3" width="10.5" style="170" customWidth="true"/>
    <col min="4" max="6" width="9.25455" style="170" customWidth="true"/>
    <col min="7" max="7" width="10.5" style="170" customWidth="true"/>
    <col min="8" max="8" width="5.5" style="171" customWidth="true"/>
    <col min="9" max="9" width="9.87273" style="170" customWidth="true"/>
    <col min="10" max="10" width="10.3727" style="172" customWidth="true"/>
    <col min="11" max="11" width="13.6273" style="169" customWidth="true"/>
    <col min="12" max="12" width="12.8909" style="173"/>
    <col min="13" max="13" width="8.62727" style="173"/>
    <col min="14" max="26" width="8.62727" style="169"/>
  </cols>
  <sheetData>
    <row r="1" spans="1:10" ht="23.25" customHeight="true">
      <c r="A1" s="67" t="s">
        <v>80</v>
      </c>
      <c r="B1" s="67" t="s"/>
      <c r="C1" s="67" t="s"/>
      <c r="D1" s="67" t="s"/>
      <c r="E1" s="67" t="s"/>
      <c r="F1" s="67" t="s"/>
      <c r="G1" s="67" t="s"/>
      <c r="H1" s="68" t="s"/>
      <c r="I1" s="67" t="s"/>
      <c r="J1" s="69" t="s"/>
    </row>
    <row r="2" spans="1:10" ht="20.1" customHeight="true">
      <c r="A2" s="70" t="s">
        <v>2</v>
      </c>
      <c r="B2" s="70" t="s"/>
      <c r="C2" s="70" t="s"/>
      <c r="D2" s="70" t="s"/>
      <c r="E2" s="70" t="s"/>
      <c r="F2" s="70" t="s"/>
      <c r="G2" s="70" t="s"/>
      <c r="H2" s="71" t="s"/>
      <c r="I2" s="70" t="s"/>
      <c r="J2" s="72" t="s"/>
    </row>
    <row r="3" spans="1:13" s="167" customFormat="true" ht="27.4" customHeight="true">
      <c r="A3" s="73" t="s">
        <v>3</v>
      </c>
      <c r="B3" s="73" t="s">
        <v>81</v>
      </c>
      <c r="C3" s="73" t="s">
        <v>82</v>
      </c>
      <c r="D3" s="73" t="s">
        <v>83</v>
      </c>
      <c r="E3" s="73" t="s">
        <v>84</v>
      </c>
      <c r="F3" s="73" t="s">
        <v>85</v>
      </c>
      <c r="G3" s="73" t="s">
        <v>6</v>
      </c>
      <c r="H3" s="73" t="s">
        <v>86</v>
      </c>
      <c r="I3" s="73" t="s">
        <v>87</v>
      </c>
      <c r="J3" s="74" t="s">
        <v>88</v>
      </c>
      <c r="L3" s="75" t="s"/>
      <c r="M3" s="75" t="s"/>
    </row>
    <row r="4" spans="1:10" ht="12" customHeight="true">
      <c r="A4" s="40" t="s">
        <v>89</v>
      </c>
      <c r="B4" s="76" t="s">
        <v>90</v>
      </c>
      <c r="C4" s="77">
        <f>=C5+C31</f>
        <v>163.7464</v>
      </c>
      <c r="D4" s="77">
        <f>=D5+D31</f>
        <v>328.3786</v>
      </c>
      <c r="E4" s="77">
        <f>=E5+E31</f>
        <v>7310.15371</v>
      </c>
      <c r="F4" s="77" t="s"/>
      <c r="G4" s="77">
        <f>=C4+D4+E4+F4</f>
        <v>7802.27871</v>
      </c>
      <c r="H4" s="78">
        <f>=G4/G55</f>
        <v>0.896808903854119</v>
      </c>
      <c r="I4" s="79" t="s"/>
      <c r="J4" s="80" t="s"/>
    </row>
    <row r="5" spans="1:13" s="168" customFormat="true">
      <c r="A5" s="76">
        <v>1</v>
      </c>
      <c r="B5" s="76" t="s">
        <v>91</v>
      </c>
      <c r="C5" s="77">
        <f>=C6+C22</f>
        <v>96.75</v>
      </c>
      <c r="D5" s="77">
        <f>=D6+D22</f>
        <v>290.65</v>
      </c>
      <c r="E5" s="77">
        <f>=E6+E22</f>
        <v>7056.51071</v>
      </c>
      <c r="F5" s="77" t="s"/>
      <c r="G5" s="16">
        <f>=C5+D5+E5+F5</f>
        <v>7443.91071</v>
      </c>
      <c r="H5" s="78">
        <f>=G5/G55</f>
        <v>0.855617397474774</v>
      </c>
      <c r="I5" s="79" t="s"/>
      <c r="J5" s="80" t="s"/>
      <c r="L5" s="81" t="s"/>
      <c r="M5" s="82" t="s"/>
    </row>
    <row r="6" spans="1:13" s="168" customFormat="true">
      <c r="A6" s="83">
        <v>1.1</v>
      </c>
      <c r="B6" s="83" t="s">
        <v>92</v>
      </c>
      <c r="C6" s="83">
        <f>=SUM(C7:C21)</f>
        <v>96.75</v>
      </c>
      <c r="D6" s="84">
        <f>=SUM(D7:D21)</f>
        <v>160.65</v>
      </c>
      <c r="E6" s="84">
        <f>=SUM(E7:E21)</f>
        <v>1572.51071</v>
      </c>
      <c r="F6" s="83" t="s">
        <v>93</v>
      </c>
      <c r="G6" s="84">
        <f>=SUM(C6:F6)</f>
        <v>1829.91071</v>
      </c>
      <c r="H6" s="85" t="s">
        <v>94</v>
      </c>
      <c r="I6" s="86">
        <v>5950</v>
      </c>
      <c r="J6" s="87">
        <f>=G6/I6</f>
        <v>0.307548018487395</v>
      </c>
      <c r="L6" s="82" t="s"/>
      <c r="M6" s="82" t="s"/>
    </row>
    <row r="7" spans="1:13" s="168" customFormat="true">
      <c r="A7" s="88" t="s"/>
      <c r="B7" s="88" t="s">
        <v>95</v>
      </c>
      <c r="C7" s="88" t="s">
        <v>93</v>
      </c>
      <c r="D7" s="88" t="s">
        <v>93</v>
      </c>
      <c r="E7" s="88">
        <f>=I7*J7</f>
        <v>1003.536</v>
      </c>
      <c r="F7" s="88" t="s">
        <v>93</v>
      </c>
      <c r="G7" s="88">
        <f>=SUM(C7:F7)</f>
        <v>1003.536</v>
      </c>
      <c r="H7" s="53" t="s">
        <v>96</v>
      </c>
      <c r="I7" s="89">
        <v>10908</v>
      </c>
      <c r="J7" s="90">
        <v>0.092</v>
      </c>
      <c r="L7" s="81" t="s"/>
      <c r="M7" s="82" t="s"/>
    </row>
    <row r="8" spans="1:13" s="168" customFormat="true">
      <c r="A8" s="88" t="s"/>
      <c r="B8" s="88" t="s">
        <v>97</v>
      </c>
      <c r="C8" s="88" t="s">
        <v>93</v>
      </c>
      <c r="D8" s="88" t="s">
        <v>93</v>
      </c>
      <c r="E8" s="88">
        <v>81</v>
      </c>
      <c r="F8" s="88" t="s">
        <v>93</v>
      </c>
      <c r="G8" s="88">
        <f>=SUM(C8:F8)</f>
        <v>81</v>
      </c>
      <c r="H8" s="53" t="s">
        <v>98</v>
      </c>
      <c r="I8" s="89">
        <v>49</v>
      </c>
      <c r="J8" s="90">
        <v>2.5</v>
      </c>
      <c r="L8" s="81" t="s"/>
      <c r="M8" s="82" t="s"/>
    </row>
    <row r="9" spans="1:13" s="168" customFormat="true">
      <c r="A9" s="88" t="s"/>
      <c r="B9" s="88" t="s">
        <v>99</v>
      </c>
      <c r="C9" s="88" t="s">
        <v>93</v>
      </c>
      <c r="D9" s="88" t="s">
        <v>93</v>
      </c>
      <c r="E9" s="17">
        <v>9.32</v>
      </c>
      <c r="F9" s="88" t="s">
        <v>93</v>
      </c>
      <c r="G9" s="88">
        <f>=SUM(C9:F9)</f>
        <v>9.32</v>
      </c>
      <c r="H9" s="53" t="s">
        <v>98</v>
      </c>
      <c r="I9" s="89">
        <v>9</v>
      </c>
      <c r="J9" s="90">
        <v>1.036</v>
      </c>
      <c r="L9" s="81" t="s"/>
      <c r="M9" s="82" t="s"/>
    </row>
    <row r="10" spans="1:13" s="168" customFormat="true">
      <c r="A10" s="88" t="s"/>
      <c r="B10" s="88" t="s">
        <v>100</v>
      </c>
      <c r="C10" s="88" t="s">
        <v>93</v>
      </c>
      <c r="D10" s="88" t="s">
        <v>93</v>
      </c>
      <c r="E10" s="17">
        <f>=I10*J10</f>
        <v>157.03471</v>
      </c>
      <c r="F10" s="88" t="s">
        <v>93</v>
      </c>
      <c r="G10" s="17">
        <f>=SUM(C10:F10)</f>
        <v>157.03471</v>
      </c>
      <c r="H10" s="53" t="s">
        <v>101</v>
      </c>
      <c r="I10" s="89">
        <v>87.29</v>
      </c>
      <c r="J10" s="90">
        <v>1.799</v>
      </c>
      <c r="L10" s="81" t="s"/>
      <c r="M10" s="82" t="s"/>
    </row>
    <row r="11" spans="1:13" s="168" customFormat="true">
      <c r="A11" s="88" t="s"/>
      <c r="B11" s="88" t="s">
        <v>102</v>
      </c>
      <c r="C11" s="88" t="s">
        <v>93</v>
      </c>
      <c r="D11" s="88" t="s">
        <v>93</v>
      </c>
      <c r="E11" s="17">
        <v>47.83</v>
      </c>
      <c r="F11" s="88" t="s">
        <v>93</v>
      </c>
      <c r="G11" s="88">
        <f>=SUM(C11:F11)</f>
        <v>47.83</v>
      </c>
      <c r="H11" s="53" t="s">
        <v>101</v>
      </c>
      <c r="I11" s="89">
        <v>126</v>
      </c>
      <c r="J11" s="90">
        <v>0.387</v>
      </c>
      <c r="L11" s="81" t="s"/>
      <c r="M11" s="82" t="s"/>
    </row>
    <row r="12" spans="1:13" s="168" customFormat="true">
      <c r="A12" s="88" t="s"/>
      <c r="B12" s="88" t="s">
        <v>103</v>
      </c>
      <c r="C12" s="88" t="s">
        <v>93</v>
      </c>
      <c r="D12" s="88" t="s">
        <v>93</v>
      </c>
      <c r="E12" s="17">
        <v>1.32</v>
      </c>
      <c r="F12" s="88" t="s">
        <v>93</v>
      </c>
      <c r="G12" s="88">
        <f>=SUM(C12:F12)</f>
        <v>1.32</v>
      </c>
      <c r="H12" s="53" t="s">
        <v>104</v>
      </c>
      <c r="I12" s="89">
        <v>2.3</v>
      </c>
      <c r="J12" s="90">
        <v>0.5995</v>
      </c>
      <c r="L12" s="81" t="s"/>
      <c r="M12" s="82" t="s"/>
    </row>
    <row r="13" spans="1:13" s="168" customFormat="true">
      <c r="A13" s="88" t="s"/>
      <c r="B13" s="88" t="s">
        <v>105</v>
      </c>
      <c r="C13" s="88" t="s">
        <v>93</v>
      </c>
      <c r="D13" s="88" t="s">
        <v>93</v>
      </c>
      <c r="E13" s="17">
        <v>147.62</v>
      </c>
      <c r="F13" s="88" t="s">
        <v>93</v>
      </c>
      <c r="G13" s="88">
        <f>=SUM(C13:F13)</f>
        <v>147.62</v>
      </c>
      <c r="H13" s="53" t="s">
        <v>101</v>
      </c>
      <c r="I13" s="89">
        <v>8.1</v>
      </c>
      <c r="J13" s="90">
        <v>18.225</v>
      </c>
      <c r="L13" s="81" t="s"/>
      <c r="M13" s="82" t="s"/>
    </row>
    <row r="14" spans="1:13" s="168" customFormat="true">
      <c r="A14" s="88" t="s"/>
      <c r="B14" s="88" t="s">
        <v>106</v>
      </c>
      <c r="C14" s="88" t="s">
        <v>93</v>
      </c>
      <c r="D14" s="88" t="s">
        <v>93</v>
      </c>
      <c r="E14" s="17">
        <v>25.26</v>
      </c>
      <c r="F14" s="88" t="s">
        <v>93</v>
      </c>
      <c r="G14" s="88">
        <f>=SUM(C14:F14)</f>
        <v>25.26</v>
      </c>
      <c r="H14" s="53" t="s">
        <v>98</v>
      </c>
      <c r="I14" s="89">
        <v>1</v>
      </c>
      <c r="J14" s="90">
        <v>20.26</v>
      </c>
      <c r="L14" s="81" t="s"/>
      <c r="M14" s="82" t="s"/>
    </row>
    <row r="15" spans="1:13" s="168" customFormat="true">
      <c r="A15" s="88" t="s"/>
      <c r="B15" s="88" t="s">
        <v>107</v>
      </c>
      <c r="C15" s="88" t="s">
        <v>93</v>
      </c>
      <c r="D15" s="88" t="s">
        <v>93</v>
      </c>
      <c r="E15" s="17">
        <v>5.13</v>
      </c>
      <c r="F15" s="88" t="s">
        <v>93</v>
      </c>
      <c r="G15" s="88">
        <f>=SUM(C15:F15)</f>
        <v>5.13</v>
      </c>
      <c r="H15" s="53" t="s">
        <v>98</v>
      </c>
      <c r="I15" s="89">
        <v>1</v>
      </c>
      <c r="J15" s="90">
        <v>5.132</v>
      </c>
      <c r="L15" s="81" t="s"/>
      <c r="M15" s="82" t="s"/>
    </row>
    <row r="16" spans="1:13" s="168" customFormat="true">
      <c r="A16" s="88" t="s"/>
      <c r="B16" s="88" t="s">
        <v>108</v>
      </c>
      <c r="C16" s="88" t="s">
        <v>93</v>
      </c>
      <c r="D16" s="88" t="s">
        <v>93</v>
      </c>
      <c r="E16" s="17">
        <v>5</v>
      </c>
      <c r="F16" s="88" t="s">
        <v>93</v>
      </c>
      <c r="G16" s="88">
        <f>=SUM(C16:F16)</f>
        <v>5</v>
      </c>
      <c r="H16" s="53" t="s">
        <v>98</v>
      </c>
      <c r="I16" s="89">
        <v>1</v>
      </c>
      <c r="J16" s="90">
        <v>5</v>
      </c>
      <c r="L16" s="81" t="s"/>
      <c r="M16" s="82" t="s"/>
    </row>
    <row r="17" spans="1:13" s="168" customFormat="true">
      <c r="A17" s="88" t="s"/>
      <c r="B17" s="88" t="s">
        <v>109</v>
      </c>
      <c r="C17" s="88" t="s">
        <v>93</v>
      </c>
      <c r="D17" s="88" t="s">
        <v>93</v>
      </c>
      <c r="E17" s="17">
        <v>4.71</v>
      </c>
      <c r="F17" s="88" t="s">
        <v>93</v>
      </c>
      <c r="G17" s="88">
        <f>=SUM(C17:F17)</f>
        <v>4.71</v>
      </c>
      <c r="H17" s="53" t="s">
        <v>98</v>
      </c>
      <c r="I17" s="89">
        <v>1</v>
      </c>
      <c r="J17" s="90">
        <v>4.711</v>
      </c>
      <c r="L17" s="81" t="s"/>
      <c r="M17" s="82" t="s"/>
    </row>
    <row r="18" spans="1:13" s="168" customFormat="true">
      <c r="A18" s="88" t="s"/>
      <c r="B18" s="88" t="s">
        <v>110</v>
      </c>
      <c r="C18" s="88" t="s">
        <v>93</v>
      </c>
      <c r="D18" s="88" t="s">
        <v>93</v>
      </c>
      <c r="E18" s="17">
        <v>39.07</v>
      </c>
      <c r="F18" s="88" t="s">
        <v>93</v>
      </c>
      <c r="G18" s="88">
        <f>=SUM(C18:F18)</f>
        <v>39.07</v>
      </c>
      <c r="H18" s="53" t="s">
        <v>98</v>
      </c>
      <c r="I18" s="89">
        <v>1</v>
      </c>
      <c r="J18" s="90">
        <v>35</v>
      </c>
      <c r="L18" s="81" t="s"/>
      <c r="M18" s="82" t="s"/>
    </row>
    <row r="19" spans="1:13" s="168" customFormat="true">
      <c r="A19" s="88" t="s"/>
      <c r="B19" s="88" t="s">
        <v>111</v>
      </c>
      <c r="C19" s="88" t="s">
        <v>93</v>
      </c>
      <c r="D19" s="88" t="s">
        <v>93</v>
      </c>
      <c r="E19" s="17">
        <v>45.68</v>
      </c>
      <c r="F19" s="88" t="s">
        <v>93</v>
      </c>
      <c r="G19" s="88">
        <f>=SUM(C19:F19)</f>
        <v>45.68</v>
      </c>
      <c r="H19" s="53" t="s">
        <v>112</v>
      </c>
      <c r="I19" s="89">
        <v>810</v>
      </c>
      <c r="J19" s="90">
        <v>0.057</v>
      </c>
      <c r="L19" s="81" t="s"/>
      <c r="M19" s="82" t="s"/>
    </row>
    <row r="20" spans="1:13" s="168" customFormat="true">
      <c r="A20" s="88" t="s"/>
      <c r="B20" s="88" t="s">
        <v>113</v>
      </c>
      <c r="C20" s="88">
        <v>96.75</v>
      </c>
      <c r="D20" s="88" t="s">
        <v>93</v>
      </c>
      <c r="E20" s="17" t="s">
        <v>93</v>
      </c>
      <c r="F20" s="88" t="s">
        <v>93</v>
      </c>
      <c r="G20" s="88">
        <f>=SUM(C20:F20)</f>
        <v>96.75</v>
      </c>
      <c r="H20" s="53" t="s">
        <v>114</v>
      </c>
      <c r="I20" s="89">
        <v>1</v>
      </c>
      <c r="J20" s="90">
        <v>80.25</v>
      </c>
      <c r="L20" s="81" t="s"/>
      <c r="M20" s="82" t="s"/>
    </row>
    <row r="21" spans="1:13" s="168" customFormat="true">
      <c r="A21" s="88" t="s"/>
      <c r="B21" s="88" t="s">
        <v>115</v>
      </c>
      <c r="C21" s="88" t="s">
        <v>93</v>
      </c>
      <c r="D21" s="17">
        <f>=I21*J21</f>
        <v>160.65</v>
      </c>
      <c r="E21" s="88" t="s">
        <v>93</v>
      </c>
      <c r="F21" s="88" t="s">
        <v>93</v>
      </c>
      <c r="G21" s="17">
        <f>=SUM(C21:F21)</f>
        <v>160.65</v>
      </c>
      <c r="H21" s="53" t="s">
        <v>94</v>
      </c>
      <c r="I21" s="89">
        <v>5950</v>
      </c>
      <c r="J21" s="90">
        <v>0.027</v>
      </c>
      <c r="L21" s="81" t="s"/>
      <c r="M21" s="82" t="s"/>
    </row>
    <row r="22" spans="1:13" s="168" customFormat="true" ht="19">
      <c r="A22" s="83">
        <v>1.2</v>
      </c>
      <c r="B22" s="83" t="s">
        <v>116</v>
      </c>
      <c r="C22" s="83" t="s"/>
      <c r="D22" s="83">
        <f>=SUM(D23:D30)</f>
        <v>130</v>
      </c>
      <c r="E22" s="83">
        <f>=SUM(E23:E30)</f>
        <v>5484</v>
      </c>
      <c r="F22" s="83" t="s"/>
      <c r="G22" s="83">
        <f>=SUM(C22:F22)</f>
        <v>5614</v>
      </c>
      <c r="H22" s="85" t="s">
        <v>117</v>
      </c>
      <c r="I22" s="91">
        <v>40000</v>
      </c>
      <c r="J22" s="87">
        <f>=G22/I22</f>
        <v>0.14035</v>
      </c>
      <c r="L22" s="82" t="s"/>
      <c r="M22" s="82" t="s"/>
    </row>
    <row r="23" spans="1:13" s="168" customFormat="true">
      <c r="A23" s="88" t="s"/>
      <c r="B23" s="88" t="s">
        <v>118</v>
      </c>
      <c r="C23" s="88" t="s">
        <v>93</v>
      </c>
      <c r="D23" s="88" t="s">
        <v>93</v>
      </c>
      <c r="E23" s="88">
        <f>=I23*J23</f>
        <v>4220</v>
      </c>
      <c r="F23" s="88" t="s">
        <v>93</v>
      </c>
      <c r="G23" s="88">
        <f>=SUM(C23:F23)</f>
        <v>4220</v>
      </c>
      <c r="H23" s="53" t="s">
        <v>119</v>
      </c>
      <c r="I23" s="92">
        <v>8</v>
      </c>
      <c r="J23" s="89">
        <v>527.5</v>
      </c>
      <c r="L23" s="81" t="s"/>
      <c r="M23" s="82" t="s"/>
    </row>
    <row r="24" spans="1:13" s="168" customFormat="true">
      <c r="A24" s="88" t="s"/>
      <c r="B24" s="88" t="s">
        <v>120</v>
      </c>
      <c r="C24" s="88" t="s">
        <v>93</v>
      </c>
      <c r="D24" s="88" t="s">
        <v>93</v>
      </c>
      <c r="E24" s="88">
        <f>=I24*J24</f>
        <v>400</v>
      </c>
      <c r="F24" s="88" t="s">
        <v>93</v>
      </c>
      <c r="G24" s="88">
        <f>=SUM(C24:F24)</f>
        <v>400</v>
      </c>
      <c r="H24" s="53" t="s">
        <v>119</v>
      </c>
      <c r="I24" s="92">
        <v>8</v>
      </c>
      <c r="J24" s="89">
        <v>50</v>
      </c>
      <c r="L24" s="81" t="s"/>
      <c r="M24" s="82" t="s"/>
    </row>
    <row r="25" spans="1:13" s="168" customFormat="true">
      <c r="A25" s="88" t="s"/>
      <c r="B25" s="88" t="s">
        <v>121</v>
      </c>
      <c r="C25" s="88" t="s">
        <v>93</v>
      </c>
      <c r="D25" s="88" t="s">
        <v>93</v>
      </c>
      <c r="E25" s="88">
        <f>=I25*J25</f>
        <v>120</v>
      </c>
      <c r="F25" s="88" t="s">
        <v>93</v>
      </c>
      <c r="G25" s="88">
        <f>=SUM(C25:F25)</f>
        <v>120</v>
      </c>
      <c r="H25" s="53" t="s">
        <v>119</v>
      </c>
      <c r="I25" s="92">
        <v>8</v>
      </c>
      <c r="J25" s="89">
        <v>15</v>
      </c>
      <c r="L25" s="81" t="s"/>
      <c r="M25" s="82" t="s"/>
    </row>
    <row r="26" spans="1:13" s="168" customFormat="true">
      <c r="A26" s="88" t="s"/>
      <c r="B26" s="88" t="s">
        <v>122</v>
      </c>
      <c r="C26" s="88" t="s">
        <v>93</v>
      </c>
      <c r="D26" s="88" t="s">
        <v>93</v>
      </c>
      <c r="E26" s="88">
        <f>=I26*J26</f>
        <v>160</v>
      </c>
      <c r="F26" s="88" t="s">
        <v>93</v>
      </c>
      <c r="G26" s="88">
        <f>=SUM(C26:F26)</f>
        <v>160</v>
      </c>
      <c r="H26" s="53" t="s">
        <v>119</v>
      </c>
      <c r="I26" s="92">
        <v>8</v>
      </c>
      <c r="J26" s="89">
        <v>20</v>
      </c>
      <c r="L26" s="81" t="s"/>
      <c r="M26" s="82" t="s"/>
    </row>
    <row r="27" spans="1:13" s="168" customFormat="true">
      <c r="A27" s="88" t="s"/>
      <c r="B27" s="88" t="s">
        <v>123</v>
      </c>
      <c r="C27" s="88" t="s">
        <v>93</v>
      </c>
      <c r="D27" s="88" t="s">
        <v>93</v>
      </c>
      <c r="E27" s="88">
        <f>=I27*J27</f>
        <v>120</v>
      </c>
      <c r="F27" s="88" t="s">
        <v>93</v>
      </c>
      <c r="G27" s="88">
        <f>=SUM(C27:F27)</f>
        <v>120</v>
      </c>
      <c r="H27" s="53" t="s">
        <v>119</v>
      </c>
      <c r="I27" s="92">
        <v>8</v>
      </c>
      <c r="J27" s="89">
        <v>15</v>
      </c>
      <c r="L27" s="81" t="s"/>
      <c r="M27" s="82" t="s"/>
    </row>
    <row r="28" spans="1:13" s="168" customFormat="true">
      <c r="A28" s="88" t="s"/>
      <c r="B28" s="88" t="s">
        <v>124</v>
      </c>
      <c r="C28" s="88" t="s">
        <v>93</v>
      </c>
      <c r="D28" s="88" t="s">
        <v>93</v>
      </c>
      <c r="E28" s="88">
        <f>=I28*J28</f>
        <v>400</v>
      </c>
      <c r="F28" s="88" t="s">
        <v>93</v>
      </c>
      <c r="G28" s="88">
        <f>=SUM(C28:F28)</f>
        <v>400</v>
      </c>
      <c r="H28" s="53" t="s">
        <v>119</v>
      </c>
      <c r="I28" s="92">
        <v>8</v>
      </c>
      <c r="J28" s="89">
        <v>50</v>
      </c>
      <c r="L28" s="81" t="s"/>
      <c r="M28" s="82" t="s"/>
    </row>
    <row r="29" spans="1:13" s="168" customFormat="true">
      <c r="A29" s="88" t="s"/>
      <c r="B29" s="88" t="s">
        <v>125</v>
      </c>
      <c r="C29" s="88" t="s">
        <v>93</v>
      </c>
      <c r="D29" s="88" t="s">
        <v>93</v>
      </c>
      <c r="E29" s="88">
        <f>=I29*J29</f>
        <v>64</v>
      </c>
      <c r="F29" s="88" t="s">
        <v>93</v>
      </c>
      <c r="G29" s="88">
        <f>=SUM(C29:F29)</f>
        <v>64</v>
      </c>
      <c r="H29" s="53" t="s">
        <v>119</v>
      </c>
      <c r="I29" s="92">
        <v>8</v>
      </c>
      <c r="J29" s="89">
        <v>8</v>
      </c>
      <c r="L29" s="81" t="s"/>
      <c r="M29" s="82" t="s"/>
    </row>
    <row r="30" spans="1:13" s="168" customFormat="true">
      <c r="A30" s="88" t="s"/>
      <c r="B30" s="88" t="s">
        <v>126</v>
      </c>
      <c r="C30" s="88" t="s">
        <v>93</v>
      </c>
      <c r="D30" s="88">
        <v>130</v>
      </c>
      <c r="E30" s="88" t="s">
        <v>93</v>
      </c>
      <c r="F30" s="88" t="s">
        <v>93</v>
      </c>
      <c r="G30" s="88">
        <f>=SUM(C30:F30)</f>
        <v>130</v>
      </c>
      <c r="H30" s="53" t="s">
        <v>119</v>
      </c>
      <c r="I30" s="92">
        <v>8</v>
      </c>
      <c r="J30" s="89">
        <v>25</v>
      </c>
      <c r="L30" s="81" t="s"/>
      <c r="M30" s="82" t="s"/>
    </row>
    <row r="31" spans="1:13" s="168" customFormat="true">
      <c r="A31" s="83">
        <v>2</v>
      </c>
      <c r="B31" s="83" t="s">
        <v>127</v>
      </c>
      <c r="C31" s="83">
        <f>=SUM(C32:C35)</f>
        <v>66.9964</v>
      </c>
      <c r="D31" s="83">
        <f>=SUM(D32:D35)</f>
        <v>37.7286</v>
      </c>
      <c r="E31" s="83">
        <f>=SUM(E32:E35)</f>
        <v>253.643</v>
      </c>
      <c r="F31" s="83">
        <f>=SUM(F32:F35)</f>
        <v>0</v>
      </c>
      <c r="G31" s="83">
        <f>=SUM(C31:F31)</f>
        <v>358.368</v>
      </c>
      <c r="H31" s="53" t="s">
        <v>128</v>
      </c>
      <c r="I31" s="93">
        <v>5551.3</v>
      </c>
      <c r="J31" s="93">
        <v>0.227</v>
      </c>
      <c r="L31" s="82" t="s"/>
      <c r="M31" s="82" t="s"/>
    </row>
    <row r="32" spans="1:13" s="168" customFormat="true">
      <c r="A32" s="88" t="s"/>
      <c r="B32" s="88" t="s">
        <v>129</v>
      </c>
      <c r="C32" s="17">
        <f>=I32*J32</f>
        <v>41.844</v>
      </c>
      <c r="D32" s="88" t="s"/>
      <c r="E32" s="88" t="s"/>
      <c r="F32" s="88" t="s"/>
      <c r="G32" s="17">
        <f>=SUM(C32:F32)</f>
        <v>41.844</v>
      </c>
      <c r="H32" s="53" t="s">
        <v>128</v>
      </c>
      <c r="I32" s="93">
        <v>132</v>
      </c>
      <c r="J32" s="93">
        <v>0.317</v>
      </c>
      <c r="L32" s="81" t="s"/>
      <c r="M32" s="82" t="s"/>
    </row>
    <row r="33" spans="1:13" s="168" customFormat="true">
      <c r="A33" s="88" t="s"/>
      <c r="B33" s="88" t="s">
        <v>130</v>
      </c>
      <c r="C33" s="17">
        <f>=I33*J33*0.1</f>
        <v>25.1524</v>
      </c>
      <c r="D33" s="17">
        <f>=I33*J33*0.15</f>
        <v>37.7286</v>
      </c>
      <c r="E33" s="17">
        <f>=I33*J33*0.75</f>
        <v>188.643</v>
      </c>
      <c r="F33" s="88" t="s"/>
      <c r="G33" s="17">
        <f>=SUM(C33:F33)</f>
        <v>251.524</v>
      </c>
      <c r="H33" s="93" t="s">
        <v>128</v>
      </c>
      <c r="I33" s="93">
        <v>182</v>
      </c>
      <c r="J33" s="93">
        <v>1.382</v>
      </c>
      <c r="L33" s="81" t="s"/>
      <c r="M33" s="82" t="s"/>
    </row>
    <row r="34" spans="1:13" s="168" customFormat="true" ht="14.1" customHeight="true">
      <c r="A34" s="88" t="s"/>
      <c r="B34" s="88" t="s">
        <v>131</v>
      </c>
      <c r="C34" s="88" t="s">
        <v>93</v>
      </c>
      <c r="D34" s="88" t="s">
        <v>93</v>
      </c>
      <c r="E34" s="88">
        <v>25</v>
      </c>
      <c r="F34" s="88" t="s">
        <v>93</v>
      </c>
      <c r="G34" s="88">
        <f>=SUM(C34:F34)</f>
        <v>25</v>
      </c>
      <c r="H34" s="93" t="s">
        <v>98</v>
      </c>
      <c r="I34" s="93">
        <v>1</v>
      </c>
      <c r="J34" s="93">
        <v>25</v>
      </c>
      <c r="K34" s="94" t="s"/>
      <c r="L34" s="95" t="s"/>
      <c r="M34" s="82" t="s"/>
    </row>
    <row r="35" spans="1:13" s="168" customFormat="true" ht="14.1" customHeight="true">
      <c r="A35" s="88" t="s"/>
      <c r="B35" s="88" t="s">
        <v>132</v>
      </c>
      <c r="C35" s="88" t="s">
        <v>93</v>
      </c>
      <c r="D35" s="88" t="s">
        <v>93</v>
      </c>
      <c r="E35" s="88">
        <f>=I35*J35</f>
        <v>40</v>
      </c>
      <c r="F35" s="88" t="s">
        <v>93</v>
      </c>
      <c r="G35" s="88">
        <f>=SUM(C35:F35)</f>
        <v>40</v>
      </c>
      <c r="H35" s="93" t="s">
        <v>119</v>
      </c>
      <c r="I35" s="93">
        <v>5</v>
      </c>
      <c r="J35" s="93">
        <v>8</v>
      </c>
      <c r="K35" s="94" t="s"/>
      <c r="L35" s="95" t="s"/>
      <c r="M35" s="82" t="s"/>
    </row>
    <row r="36" spans="1:13" s="168" customFormat="true" ht="14.1" customHeight="true">
      <c r="A36" s="76" t="s">
        <v>133</v>
      </c>
      <c r="B36" s="76" t="s">
        <v>134</v>
      </c>
      <c r="C36" s="77" t="s"/>
      <c r="D36" s="77" t="s"/>
      <c r="E36" s="77" t="s"/>
      <c r="F36" s="77">
        <f>=SUM(F37:F47)</f>
        <v>400.67937808</v>
      </c>
      <c r="G36" s="77">
        <f>=C36+D36+E36+F36</f>
        <v>400.67937808</v>
      </c>
      <c r="H36" s="78">
        <f>=G36/G55</f>
        <v>0.046054857460081</v>
      </c>
      <c r="I36" s="79" t="s"/>
      <c r="J36" s="80" t="s"/>
      <c r="K36" s="94" t="s"/>
      <c r="L36" s="95" t="s"/>
      <c r="M36" s="82" t="s"/>
    </row>
    <row r="37" spans="1:12" s="169" customFormat="true" ht="14.1" customHeight="true">
      <c r="A37" s="40">
        <v>1</v>
      </c>
      <c r="B37" s="88" t="s">
        <v>135</v>
      </c>
      <c r="C37" s="16" t="s"/>
      <c r="D37" s="16" t="s"/>
      <c r="E37" s="16" t="s"/>
      <c r="F37" s="17">
        <v>0</v>
      </c>
      <c r="G37" s="16">
        <f>=F37</f>
        <v>0</v>
      </c>
      <c r="H37" s="96" t="s"/>
      <c r="I37" s="97" t="s"/>
      <c r="J37" s="98" t="s"/>
      <c r="K37" s="99" t="s"/>
      <c r="L37" s="99" t="s"/>
    </row>
    <row r="38" spans="1:12" ht="14.1" customHeight="true">
      <c r="A38" s="40">
        <v>2</v>
      </c>
      <c r="B38" s="88" t="s">
        <v>136</v>
      </c>
      <c r="C38" s="16" t="s"/>
      <c r="D38" s="16" t="s"/>
      <c r="E38" s="16" t="s"/>
      <c r="F38" s="17">
        <f>=G4*0.008</f>
        <v>62.41822968</v>
      </c>
      <c r="G38" s="16">
        <f>=C38+D38+E38+F38</f>
        <v>62.41822968</v>
      </c>
      <c r="H38" s="96" t="s"/>
      <c r="I38" s="100" t="s"/>
      <c r="J38" s="101" t="s"/>
      <c r="K38" s="99" t="s"/>
      <c r="L38" s="102" t="s"/>
    </row>
    <row r="39" spans="1:10" ht="14.1" customHeight="true">
      <c r="A39" s="40">
        <v>3</v>
      </c>
      <c r="B39" s="88" t="s">
        <v>137</v>
      </c>
      <c r="C39" s="16" t="s"/>
      <c r="D39" s="16" t="s"/>
      <c r="E39" s="16" t="s"/>
      <c r="F39" s="17">
        <f>=G4*0.006</f>
        <v>46.81367226</v>
      </c>
      <c r="G39" s="16">
        <f>=C39+D39+E39+F39</f>
        <v>46.81367226</v>
      </c>
      <c r="H39" s="103" t="s"/>
      <c r="I39" s="104" t="s"/>
      <c r="J39" s="105" t="s"/>
    </row>
    <row r="40" spans="1:10" ht="14.1" customHeight="true">
      <c r="A40" s="40">
        <v>4</v>
      </c>
      <c r="B40" s="88" t="s">
        <v>138</v>
      </c>
      <c r="C40" s="16" t="s"/>
      <c r="D40" s="16" t="s"/>
      <c r="E40" s="16" t="s"/>
      <c r="F40" s="17">
        <f>=G4*0.005</f>
        <v>39.01139355</v>
      </c>
      <c r="G40" s="16">
        <f>=C40+D40+E40+F40</f>
        <v>39.01139355</v>
      </c>
      <c r="H40" s="103" t="s"/>
      <c r="I40" s="104" t="s"/>
      <c r="J40" s="105" t="s"/>
    </row>
    <row r="41" spans="1:13" ht="14.1" customHeight="true">
      <c r="A41" s="40">
        <v>5</v>
      </c>
      <c r="B41" s="88" t="s">
        <v>139</v>
      </c>
      <c r="C41" s="16" t="s"/>
      <c r="D41" s="16" t="s"/>
      <c r="E41" s="16" t="s"/>
      <c r="F41" s="17">
        <v>26.17</v>
      </c>
      <c r="G41" s="16">
        <f>=C41+D41+E41+F41</f>
        <v>26.17</v>
      </c>
      <c r="H41" s="103" t="s"/>
      <c r="I41" s="104" t="s"/>
      <c r="J41" s="106" t="s"/>
      <c r="L41" s="107" t="s"/>
      <c r="M41" s="107" t="s"/>
    </row>
    <row r="42" spans="1:10" ht="14.1" customHeight="true">
      <c r="A42" s="40">
        <v>6</v>
      </c>
      <c r="B42" s="88" t="s">
        <v>140</v>
      </c>
      <c r="C42" s="16" t="s"/>
      <c r="D42" s="16" t="s"/>
      <c r="E42" s="16" t="s"/>
      <c r="F42" s="17">
        <f>=G4*0.01</f>
        <v>78.0227871</v>
      </c>
      <c r="G42" s="16">
        <f>=C42+D42+E42+F42</f>
        <v>78.0227871</v>
      </c>
      <c r="H42" s="103" t="s"/>
      <c r="I42" s="104" t="s"/>
      <c r="J42" s="105" t="s"/>
    </row>
    <row r="43" spans="1:10" ht="17.1" customHeight="true">
      <c r="A43" s="40">
        <v>7</v>
      </c>
      <c r="B43" s="88" t="s">
        <v>141</v>
      </c>
      <c r="C43" s="16" t="s"/>
      <c r="D43" s="16" t="s"/>
      <c r="E43" s="16" t="s"/>
      <c r="F43" s="17">
        <f>=G4*0.002</f>
        <v>15.60455742</v>
      </c>
      <c r="G43" s="16">
        <f>=C43+D43+E43+F43</f>
        <v>15.60455742</v>
      </c>
      <c r="H43" s="96" t="s"/>
      <c r="I43" s="97" t="s"/>
      <c r="J43" s="108" t="s"/>
    </row>
    <row r="44" spans="1:10" ht="20.1" customHeight="true">
      <c r="A44" s="40">
        <v>8</v>
      </c>
      <c r="B44" s="88" t="s">
        <v>142</v>
      </c>
      <c r="C44" s="16" t="s"/>
      <c r="D44" s="16" t="s"/>
      <c r="E44" s="16" t="s"/>
      <c r="F44" s="17">
        <f>=G4*0.007</f>
        <v>54.61595097</v>
      </c>
      <c r="G44" s="16">
        <f>=C44+D44+E44+F44</f>
        <v>54.61595097</v>
      </c>
      <c r="H44" s="96" t="s"/>
      <c r="I44" s="97" t="s"/>
      <c r="J44" s="108" t="s"/>
    </row>
    <row r="45" spans="1:10" ht="18.95" customHeight="true">
      <c r="A45" s="40">
        <v>9</v>
      </c>
      <c r="B45" s="88" t="s">
        <v>143</v>
      </c>
      <c r="C45" s="16" t="s"/>
      <c r="D45" s="16" t="s"/>
      <c r="E45" s="16" t="s"/>
      <c r="F45" s="17">
        <f>=G4*0.005</f>
        <v>39.01139355</v>
      </c>
      <c r="G45" s="16">
        <f>=C45+D45+E45+F45</f>
        <v>39.01139355</v>
      </c>
      <c r="H45" s="96" t="s"/>
      <c r="I45" s="97" t="s"/>
      <c r="J45" s="108" t="s"/>
    </row>
    <row r="46" spans="1:10" ht="18.95" customHeight="true">
      <c r="A46" s="40">
        <v>10</v>
      </c>
      <c r="B46" s="88" t="s">
        <v>144</v>
      </c>
      <c r="C46" s="16" t="s"/>
      <c r="D46" s="16" t="s"/>
      <c r="E46" s="16" t="s"/>
      <c r="F46" s="17">
        <f>=G4*0.002</f>
        <v>15.60455742</v>
      </c>
      <c r="G46" s="16">
        <f>=C46+D46+E46+F46</f>
        <v>15.60455742</v>
      </c>
      <c r="H46" s="96" t="s"/>
      <c r="I46" s="97" t="s"/>
      <c r="J46" s="108" t="s"/>
    </row>
    <row r="47" spans="1:13" s="168" customFormat="true" ht="14.1" customHeight="true">
      <c r="A47" s="40">
        <v>11</v>
      </c>
      <c r="B47" s="88" t="s">
        <v>145</v>
      </c>
      <c r="C47" s="77" t="s"/>
      <c r="D47" s="77" t="s"/>
      <c r="E47" s="77" t="s"/>
      <c r="F47" s="16">
        <f>=G4*0.003</f>
        <v>23.40683613</v>
      </c>
      <c r="G47" s="16">
        <f>=C47+D47+E47+F47</f>
        <v>23.40683613</v>
      </c>
      <c r="H47" s="78" t="s"/>
      <c r="I47" s="79" t="s"/>
      <c r="J47" s="80" t="s"/>
      <c r="L47" s="82" t="s"/>
      <c r="M47" s="82" t="s"/>
    </row>
    <row r="48" spans="1:13" s="168" customFormat="true" ht="14.1" customHeight="true">
      <c r="A48" s="76" t="s">
        <v>146</v>
      </c>
      <c r="B48" s="76" t="s">
        <v>147</v>
      </c>
      <c r="C48" s="77" t="s"/>
      <c r="D48" s="77" t="s"/>
      <c r="E48" s="77" t="s"/>
      <c r="F48" s="77">
        <f>=F49+F50</f>
        <v>410.147904404</v>
      </c>
      <c r="G48" s="77">
        <f>=G49+G50</f>
        <v>410.147904404</v>
      </c>
      <c r="H48" s="109">
        <f>=G48/G55</f>
        <v>0.04714318806571</v>
      </c>
      <c r="I48" s="110" t="s"/>
      <c r="J48" s="111" t="s"/>
      <c r="L48" s="82" t="s"/>
      <c r="M48" s="82" t="s"/>
    </row>
    <row r="49" spans="1:10" ht="14.1" customHeight="true">
      <c r="A49" s="40">
        <v>3.1</v>
      </c>
      <c r="B49" s="40" t="s">
        <v>148</v>
      </c>
      <c r="C49" s="16" t="s"/>
      <c r="D49" s="16" t="s"/>
      <c r="E49" s="16" t="s"/>
      <c r="F49" s="16">
        <f>=(G4+G36)*0.05</f>
        <v>410.147904404</v>
      </c>
      <c r="G49" s="16">
        <f>=F49</f>
        <v>410.147904404</v>
      </c>
      <c r="H49" s="112" t="s">
        <v>229</v>
      </c>
      <c r="I49" s="113" t="s"/>
      <c r="J49" s="114" t="s"/>
    </row>
    <row r="50" spans="1:10" ht="14.1" customHeight="true">
      <c r="A50" s="40">
        <v>3.2</v>
      </c>
      <c r="B50" s="40" t="s">
        <v>149</v>
      </c>
      <c r="C50" s="16" t="s"/>
      <c r="D50" s="16" t="s"/>
      <c r="E50" s="16" t="s"/>
      <c r="F50" s="16" t="s"/>
      <c r="G50" s="16" t="s"/>
      <c r="H50" s="96" t="s"/>
      <c r="I50" s="97" t="s"/>
      <c r="J50" s="98" t="s"/>
    </row>
    <row r="51" spans="1:13" s="168" customFormat="true" ht="14.1" customHeight="true">
      <c r="A51" s="76" t="s">
        <v>150</v>
      </c>
      <c r="B51" s="76" t="s">
        <v>151</v>
      </c>
      <c r="C51" s="77">
        <f>=C48+C36+C4</f>
        <v>163.7464</v>
      </c>
      <c r="D51" s="77">
        <f>=D48+D36+D4</f>
        <v>328.3786</v>
      </c>
      <c r="E51" s="77">
        <f>=E48+E36+E4</f>
        <v>7310.15371</v>
      </c>
      <c r="F51" s="77">
        <f>=F48+F36+F4</f>
        <v>810.827282484</v>
      </c>
      <c r="G51" s="77">
        <f>=G4+G36+G48</f>
        <v>8613.105992484</v>
      </c>
      <c r="H51" s="78">
        <f>=G51/G55</f>
        <v>0.990006949379911</v>
      </c>
      <c r="I51" s="79" t="s"/>
      <c r="J51" s="80" t="s"/>
      <c r="L51" s="82" t="s"/>
      <c r="M51" s="82" t="s"/>
    </row>
    <row r="52" spans="1:10" ht="14.1" customHeight="true">
      <c r="A52" s="40" t="s"/>
      <c r="B52" s="40" t="s">
        <v>152</v>
      </c>
      <c r="C52" s="115">
        <f>=C51/G51</f>
        <v>0.019011306739159</v>
      </c>
      <c r="D52" s="115">
        <f>=D51/G51</f>
        <v>0.038125456750045</v>
      </c>
      <c r="E52" s="115">
        <f>=E51/G51</f>
        <v>0.848724457400038</v>
      </c>
      <c r="F52" s="115">
        <f>=F51/G51</f>
        <v>0.094138779110758</v>
      </c>
      <c r="G52" s="115">
        <v>1</v>
      </c>
      <c r="H52" s="116" t="s"/>
      <c r="I52" s="100" t="s"/>
      <c r="J52" s="101" t="s"/>
    </row>
    <row r="53" spans="1:13" s="168" customFormat="true" ht="14.1" customHeight="true">
      <c r="A53" s="76" t="s">
        <v>153</v>
      </c>
      <c r="B53" s="76" t="s">
        <v>154</v>
      </c>
      <c r="C53" s="77" t="s"/>
      <c r="D53" s="77" t="s"/>
      <c r="E53" s="77" t="s"/>
      <c r="F53" s="77" t="s"/>
      <c r="G53" s="77">
        <f>=还本付息表!D7</f>
        <v>86.94</v>
      </c>
      <c r="H53" s="78">
        <f>=G53/G55</f>
        <v>0.00999305062009</v>
      </c>
      <c r="I53" s="79" t="s"/>
      <c r="J53" s="80" t="s"/>
      <c r="L53" s="82" t="s"/>
      <c r="M53" s="82" t="s"/>
    </row>
    <row r="54" spans="1:13" s="168" customFormat="true" ht="14.1" customHeight="true">
      <c r="A54" s="76" t="s">
        <v>155</v>
      </c>
      <c r="B54" s="76" t="s">
        <v>156</v>
      </c>
      <c r="C54" s="77" t="s"/>
      <c r="D54" s="77" t="s"/>
      <c r="E54" s="77" t="s"/>
      <c r="F54" s="77" t="s"/>
      <c r="G54" s="77">
        <f>=G51+G53</f>
        <v>8700.045992484</v>
      </c>
      <c r="H54" s="78">
        <f>=G54/G55</f>
        <v>1</v>
      </c>
      <c r="I54" s="79" t="s"/>
      <c r="J54" s="80" t="s"/>
      <c r="L54" s="82" t="s"/>
      <c r="M54" s="82" t="s"/>
    </row>
    <row r="55" spans="1:13" s="168" customFormat="true" ht="14.1" customHeight="true">
      <c r="A55" s="76" t="s">
        <v>157</v>
      </c>
      <c r="B55" s="76" t="s">
        <v>158</v>
      </c>
      <c r="C55" s="77" t="s"/>
      <c r="D55" s="77" t="s"/>
      <c r="E55" s="77" t="s"/>
      <c r="F55" s="77" t="s"/>
      <c r="G55" s="77">
        <f>=G54</f>
        <v>8700.045992484</v>
      </c>
      <c r="H55" s="78">
        <v>1</v>
      </c>
      <c r="I55" s="79" t="s"/>
      <c r="J55" s="80" t="s"/>
      <c r="L55" s="82" t="s"/>
      <c r="M55" s="82" t="s"/>
    </row>
    <row r="56" spans="1:13" s="169" customFormat="true">
      <c r="A56" s="117" t="s"/>
      <c r="B56" s="117" t="s"/>
      <c r="C56" s="117" t="s"/>
      <c r="D56" s="117" t="s"/>
      <c r="E56" s="117" t="s"/>
      <c r="F56" s="117" t="s"/>
      <c r="G56" s="118" t="s"/>
      <c r="H56" s="119" t="s"/>
      <c r="I56" s="117" t="s"/>
      <c r="J56" s="120" t="s"/>
      <c r="L56" s="81" t="s"/>
      <c r="M56" s="81" t="s"/>
    </row>
    <row r="57" spans="7:7">
      <c r="G57" s="121">
        <f>=G55*0.8</f>
        <v>6960.0367939872</v>
      </c>
    </row>
    <row r="58" spans="7:7">
      <c r="G58" s="117">
        <v>12648.36</v>
      </c>
    </row>
  </sheetData>
  <mergeCells count="23">
    <mergeCell ref="A1:J1"/>
    <mergeCell ref="A2:J2"/>
    <mergeCell ref="H4:J4"/>
    <mergeCell ref="H5:J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50:J50"/>
    <mergeCell ref="H51:J51"/>
    <mergeCell ref="H52:J52"/>
    <mergeCell ref="H53:J53"/>
    <mergeCell ref="H54:J54"/>
    <mergeCell ref="H55:J55"/>
    <mergeCell ref="H48:J48"/>
    <mergeCell ref="H49:J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>
  <sheetPr/>
  <dimension ref="Q13"/>
  <sheetViews>
    <sheetView showGridLines="true" zoomScale="120" zoomScaleNormal="120" workbookViewId="0"/>
  </sheetViews>
  <sheetFormatPr defaultColWidth="9" defaultRowHeight="14"/>
  <cols>
    <col min="1" max="1" width="4.5" customWidth="true"/>
    <col min="2" max="2" width="11.8545" customWidth="true"/>
    <col min="3" max="3" width="6.5" customWidth="true"/>
    <col min="4" max="5" width="6.59091" customWidth="true"/>
    <col min="6" max="6" width="8.7" customWidth="true"/>
    <col min="7" max="15" width="8.11818" style="173" customWidth="true"/>
  </cols>
  <sheetData>
    <row r="1" spans="1:15" ht="17.5">
      <c r="A1" s="4" t="s">
        <v>159</v>
      </c>
      <c r="B1" s="122" t="s"/>
      <c r="C1" s="122" t="s"/>
      <c r="D1" s="122" t="s"/>
      <c r="E1" s="122" t="s"/>
      <c r="F1" s="122" t="s"/>
      <c r="G1" s="119" t="s"/>
      <c r="H1" s="119" t="s"/>
      <c r="I1" s="119" t="s"/>
      <c r="J1" s="119" t="s"/>
      <c r="K1" s="119" t="s"/>
      <c r="L1" s="119" t="s"/>
      <c r="M1" s="119" t="s"/>
      <c r="N1" s="119" t="s"/>
      <c r="O1" s="119" t="s"/>
    </row>
    <row r="2" spans="7:15">
      <c r="G2" s="107" t="s"/>
      <c r="H2" s="107" t="s"/>
      <c r="I2" s="107" t="s"/>
      <c r="J2" s="107" t="s"/>
      <c r="K2" s="107" t="s"/>
      <c r="L2" s="107" t="s"/>
      <c r="M2" s="107" t="s"/>
      <c r="N2" s="107" t="s">
        <v>2</v>
      </c>
      <c r="O2" s="107" t="s"/>
    </row>
    <row r="3" spans="1:17">
      <c r="A3" s="123" t="s">
        <v>3</v>
      </c>
      <c r="B3" s="123" t="s">
        <v>30</v>
      </c>
      <c r="C3" s="123" t="s">
        <v>6</v>
      </c>
      <c r="D3" s="123" t="s">
        <v>160</v>
      </c>
      <c r="E3" s="124" t="s">
        <v>161</v>
      </c>
      <c r="F3" s="125" t="s">
        <v>4</v>
      </c>
      <c r="G3" s="126" t="s"/>
      <c r="H3" s="126" t="s"/>
      <c r="I3" s="126" t="s"/>
      <c r="J3" s="126" t="s"/>
      <c r="K3" s="126" t="s"/>
      <c r="L3" s="126" t="s"/>
      <c r="M3" s="126" t="s"/>
      <c r="N3" s="126" t="s"/>
      <c r="O3" s="126" t="s"/>
      <c r="P3" s="126" t="s"/>
      <c r="Q3" s="127" t="s"/>
    </row>
    <row r="4" spans="1:17">
      <c r="A4" s="128" t="s"/>
      <c r="B4" s="128" t="s"/>
      <c r="C4" s="128" t="s"/>
      <c r="D4" s="128" t="s"/>
      <c r="E4" s="129" t="s"/>
      <c r="F4" s="130">
        <v>0.5</v>
      </c>
      <c r="G4" s="131">
        <v>2</v>
      </c>
      <c r="H4" s="131">
        <v>3</v>
      </c>
      <c r="I4" s="131">
        <v>4</v>
      </c>
      <c r="J4" s="131">
        <v>5</v>
      </c>
      <c r="K4" s="131">
        <v>6</v>
      </c>
      <c r="L4" s="131">
        <v>7</v>
      </c>
      <c r="M4" s="131">
        <v>8</v>
      </c>
      <c r="N4" s="131">
        <v>9</v>
      </c>
      <c r="O4" s="131">
        <v>10</v>
      </c>
      <c r="P4" s="131">
        <v>11</v>
      </c>
      <c r="Q4" s="131">
        <v>12</v>
      </c>
    </row>
    <row r="5" spans="1:17" ht="19">
      <c r="A5" s="5">
        <v>1</v>
      </c>
      <c r="B5" s="5" t="s">
        <v>162</v>
      </c>
      <c r="C5" s="132" t="s"/>
      <c r="D5" s="14">
        <v>0.05</v>
      </c>
      <c r="E5" s="43">
        <v>20</v>
      </c>
      <c r="F5" s="133" t="s"/>
      <c r="G5" s="134" t="s"/>
      <c r="H5" s="134" t="s"/>
      <c r="I5" s="134" t="s"/>
      <c r="J5" s="134" t="s"/>
      <c r="K5" s="134" t="s"/>
      <c r="L5" s="134" t="s"/>
      <c r="M5" s="134" t="s"/>
      <c r="N5" s="134" t="s"/>
      <c r="O5" s="135" t="s"/>
      <c r="P5" s="135" t="s"/>
      <c r="Q5" s="135" t="s"/>
    </row>
    <row r="6" spans="1:17">
      <c r="A6" s="5">
        <v>1.1</v>
      </c>
      <c r="B6" s="5" t="s">
        <v>163</v>
      </c>
      <c r="C6" s="132" t="s"/>
      <c r="D6" s="132" t="s"/>
      <c r="E6" s="132" t="s"/>
      <c r="F6" s="52">
        <f>=总投资!G51*0.91</f>
        <v>7837.92645316044</v>
      </c>
      <c r="G6" s="52">
        <f>=F8</f>
        <v>7651.77569989788</v>
      </c>
      <c r="H6" s="52">
        <f>=G8</f>
        <v>7279.47419337276</v>
      </c>
      <c r="I6" s="52">
        <f>=H8</f>
        <v>6907.17268684764</v>
      </c>
      <c r="J6" s="52">
        <f>=I8</f>
        <v>6534.87118032252</v>
      </c>
      <c r="K6" s="52">
        <f>=J8</f>
        <v>6162.5696737974</v>
      </c>
      <c r="L6" s="52">
        <f>=K8</f>
        <v>5790.26816727228</v>
      </c>
      <c r="M6" s="52">
        <f>=L8</f>
        <v>5417.96666074716</v>
      </c>
      <c r="N6" s="52">
        <f>=M8</f>
        <v>5045.66515422203</v>
      </c>
      <c r="O6" s="52">
        <f>=N8</f>
        <v>4673.36364769691</v>
      </c>
      <c r="P6" s="52">
        <f>=O8</f>
        <v>4301.06214117179</v>
      </c>
      <c r="Q6" s="52">
        <f>=P8</f>
        <v>3928.76063464667</v>
      </c>
    </row>
    <row r="7" spans="1:17" ht="16.9" customHeight="true">
      <c r="A7" s="5">
        <v>1.2</v>
      </c>
      <c r="B7" s="5" t="s">
        <v>164</v>
      </c>
      <c r="C7" s="132">
        <f>=SUM(F7:Q7)</f>
        <v>4281.46732503889</v>
      </c>
      <c r="D7" s="132" t="s"/>
      <c r="E7" s="132" t="s"/>
      <c r="F7" s="52">
        <f>=F6*0.95*0.5/20</f>
        <v>186.150753262561</v>
      </c>
      <c r="G7" s="52">
        <f>=F6*0.95/20</f>
        <v>372.301506525121</v>
      </c>
      <c r="H7" s="52">
        <f>=G7</f>
        <v>372.301506525121</v>
      </c>
      <c r="I7" s="52">
        <f>=H7</f>
        <v>372.301506525121</v>
      </c>
      <c r="J7" s="52">
        <f>=I7</f>
        <v>372.301506525121</v>
      </c>
      <c r="K7" s="52">
        <f>=J7</f>
        <v>372.301506525121</v>
      </c>
      <c r="L7" s="52">
        <f>=K7</f>
        <v>372.301506525121</v>
      </c>
      <c r="M7" s="52">
        <f>=L7</f>
        <v>372.301506525121</v>
      </c>
      <c r="N7" s="52">
        <f>=M7</f>
        <v>372.301506525121</v>
      </c>
      <c r="O7" s="52">
        <f>=N7</f>
        <v>372.301506525121</v>
      </c>
      <c r="P7" s="52">
        <f>=O7</f>
        <v>372.301506525121</v>
      </c>
      <c r="Q7" s="52">
        <f>=P7</f>
        <v>372.301506525121</v>
      </c>
    </row>
    <row r="8" spans="1:17">
      <c r="A8" s="5">
        <v>1.3</v>
      </c>
      <c r="B8" s="5" t="s">
        <v>165</v>
      </c>
      <c r="C8" s="132" t="s"/>
      <c r="D8" s="132" t="s"/>
      <c r="E8" s="132" t="s"/>
      <c r="F8" s="52">
        <f>=F6-F7</f>
        <v>7651.77569989788</v>
      </c>
      <c r="G8" s="52">
        <f>=G6-G7</f>
        <v>7279.47419337276</v>
      </c>
      <c r="H8" s="52">
        <f>=H6-H7</f>
        <v>6907.17268684764</v>
      </c>
      <c r="I8" s="52">
        <f>=I6-I7</f>
        <v>6534.87118032252</v>
      </c>
      <c r="J8" s="52">
        <f>=J6-J7</f>
        <v>6162.5696737974</v>
      </c>
      <c r="K8" s="52">
        <f>=K6-K7</f>
        <v>5790.26816727228</v>
      </c>
      <c r="L8" s="52">
        <f>=L6-L7</f>
        <v>5417.96666074716</v>
      </c>
      <c r="M8" s="52">
        <f>=M6-M7</f>
        <v>5045.66515422203</v>
      </c>
      <c r="N8" s="52">
        <f>=N6-N7</f>
        <v>4673.36364769691</v>
      </c>
      <c r="O8" s="52">
        <f>=O6-O7</f>
        <v>4301.06214117179</v>
      </c>
      <c r="P8" s="52">
        <f>=P6-P7</f>
        <v>3928.76063464667</v>
      </c>
      <c r="Q8" s="52">
        <f>=Q6-Q7</f>
        <v>3556.45912812155</v>
      </c>
    </row>
    <row r="9" spans="1:17">
      <c r="A9" s="5">
        <v>2</v>
      </c>
      <c r="B9" s="5" t="s">
        <v>166</v>
      </c>
      <c r="C9" s="132">
        <f>=SUM(F9:Q9)</f>
        <v>4281.46732503889</v>
      </c>
      <c r="D9" s="132" t="s"/>
      <c r="E9" s="132" t="s"/>
      <c r="F9" s="52">
        <f>=F7</f>
        <v>186.150753262561</v>
      </c>
      <c r="G9" s="52">
        <f>=G7</f>
        <v>372.301506525121</v>
      </c>
      <c r="H9" s="52">
        <f>=H7</f>
        <v>372.301506525121</v>
      </c>
      <c r="I9" s="52">
        <f>=I7</f>
        <v>372.301506525121</v>
      </c>
      <c r="J9" s="52">
        <f>=J7</f>
        <v>372.301506525121</v>
      </c>
      <c r="K9" s="52">
        <f>=K7</f>
        <v>372.301506525121</v>
      </c>
      <c r="L9" s="52">
        <f>=L7</f>
        <v>372.301506525121</v>
      </c>
      <c r="M9" s="52">
        <f>=M7</f>
        <v>372.301506525121</v>
      </c>
      <c r="N9" s="52">
        <f>=N7</f>
        <v>372.301506525121</v>
      </c>
      <c r="O9" s="52">
        <f>=O7</f>
        <v>372.301506525121</v>
      </c>
      <c r="P9" s="52">
        <f>=P7</f>
        <v>372.301506525121</v>
      </c>
      <c r="Q9" s="52">
        <f>=Q7</f>
        <v>372.301506525121</v>
      </c>
    </row>
    <row r="10" spans="1:17">
      <c r="A10" s="5">
        <v>3</v>
      </c>
      <c r="B10" s="5" t="s">
        <v>167</v>
      </c>
      <c r="C10" s="132" t="s"/>
      <c r="D10" s="132" t="s"/>
      <c r="E10" s="132" t="s"/>
      <c r="F10" s="132" t="s"/>
      <c r="G10" s="52" t="s"/>
      <c r="H10" s="52" t="s"/>
      <c r="I10" s="52" t="s"/>
      <c r="J10" s="52" t="s"/>
      <c r="K10" s="52" t="s"/>
      <c r="L10" s="52" t="s"/>
      <c r="M10" s="52" t="s"/>
      <c r="N10" s="52" t="s"/>
      <c r="O10" s="136" t="s"/>
      <c r="P10" s="136" t="s"/>
      <c r="Q10" s="136" t="s"/>
    </row>
    <row r="11" spans="1:17">
      <c r="A11" s="5">
        <v>3.1</v>
      </c>
      <c r="B11" s="5" t="s">
        <v>163</v>
      </c>
      <c r="C11" s="132" t="s"/>
      <c r="D11" s="132" t="s"/>
      <c r="E11" s="132" t="s"/>
      <c r="F11" s="132" t="s"/>
      <c r="G11" s="52" t="s"/>
      <c r="H11" s="52" t="s"/>
      <c r="I11" s="52" t="s"/>
      <c r="J11" s="52" t="s"/>
      <c r="K11" s="52" t="s"/>
      <c r="L11" s="52" t="s"/>
      <c r="M11" s="52" t="s"/>
      <c r="N11" s="52" t="s"/>
      <c r="O11" s="136" t="s"/>
      <c r="P11" s="136" t="s"/>
      <c r="Q11" s="136" t="s"/>
    </row>
    <row r="12" spans="1:17">
      <c r="A12" s="5">
        <v>3.2</v>
      </c>
      <c r="B12" s="5" t="s">
        <v>164</v>
      </c>
      <c r="C12" s="132" t="s"/>
      <c r="D12" s="132" t="s"/>
      <c r="E12" s="132" t="s"/>
      <c r="F12" s="132" t="s"/>
      <c r="G12" s="52" t="s"/>
      <c r="H12" s="52" t="s"/>
      <c r="I12" s="52" t="s"/>
      <c r="J12" s="52" t="s"/>
      <c r="K12" s="52" t="s"/>
      <c r="L12" s="52" t="s"/>
      <c r="M12" s="52" t="s"/>
      <c r="N12" s="52" t="s"/>
      <c r="O12" s="136" t="s"/>
      <c r="P12" s="136" t="s"/>
      <c r="Q12" s="136" t="s"/>
    </row>
    <row r="13" spans="1:17">
      <c r="A13" s="5">
        <v>3.3</v>
      </c>
      <c r="B13" s="5" t="s">
        <v>165</v>
      </c>
      <c r="C13" s="132" t="s"/>
      <c r="D13" s="132" t="s"/>
      <c r="E13" s="132" t="s"/>
      <c r="F13" s="132" t="s"/>
      <c r="G13" s="52" t="s"/>
      <c r="H13" s="52" t="s"/>
      <c r="I13" s="52" t="s"/>
      <c r="J13" s="52" t="s"/>
      <c r="K13" s="52" t="s"/>
      <c r="L13" s="52" t="s"/>
      <c r="M13" s="52" t="s"/>
      <c r="N13" s="52" t="s"/>
      <c r="O13" s="136" t="s"/>
      <c r="P13" s="136" t="s"/>
      <c r="Q13" s="136" t="s"/>
    </row>
  </sheetData>
  <mergeCells count="7">
    <mergeCell ref="A1:O1"/>
    <mergeCell ref="A3:A4"/>
    <mergeCell ref="B3:B4"/>
    <mergeCell ref="C3:C4"/>
    <mergeCell ref="D3:D4"/>
    <mergeCell ref="E3:E4"/>
    <mergeCell ref="F3:Q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>
  <sheetPr/>
  <dimension ref="O29"/>
  <sheetViews>
    <sheetView showGridLines="true" zoomScale="120" zoomScaleNormal="120" workbookViewId="0"/>
  </sheetViews>
  <sheetFormatPr defaultColWidth="9" defaultRowHeight="14"/>
  <cols>
    <col min="1" max="1" width="5.25455" style="170" customWidth="true"/>
    <col min="2" max="2" width="16.1273" style="170" customWidth="true"/>
    <col min="3" max="4" width="8.25455" style="177" customWidth="true"/>
    <col min="5" max="9" width="9.85455" customWidth="true"/>
    <col min="10" max="10" width="9.85455" style="169" customWidth="true"/>
    <col min="11" max="12" width="9.85455" customWidth="true"/>
    <col min="13" max="13" width="8.11818" customWidth="true"/>
  </cols>
  <sheetData>
    <row r="1" spans="1:12" ht="17.45" customHeight="true">
      <c r="A1" s="4" t="s">
        <v>29</v>
      </c>
      <c r="B1" s="4" t="s"/>
      <c r="C1" s="18" t="s"/>
      <c r="D1" s="18" t="s"/>
      <c r="E1" s="4" t="s"/>
      <c r="F1" s="4" t="s"/>
      <c r="G1" s="4" t="s"/>
      <c r="H1" s="4" t="s"/>
      <c r="I1" s="4" t="s"/>
      <c r="J1" s="19" t="s"/>
      <c r="K1" s="4" t="s"/>
      <c r="L1" s="4" t="s"/>
    </row>
    <row r="2" spans="12:12">
      <c r="L2" t="s">
        <v>2</v>
      </c>
    </row>
    <row r="3" spans="1:15" ht="16.15" customHeight="true">
      <c r="A3" s="20" t="s">
        <v>3</v>
      </c>
      <c r="B3" s="21" t="s">
        <v>30</v>
      </c>
      <c r="C3" s="22" t="s">
        <v>6</v>
      </c>
      <c r="D3" s="23" t="s">
        <v>4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</row>
    <row r="4" spans="1:15">
      <c r="A4" s="20" t="s"/>
      <c r="B4" s="24" t="s"/>
      <c r="C4" s="25" t="s"/>
      <c r="D4" s="26">
        <v>0.5</v>
      </c>
      <c r="E4" s="27">
        <v>2</v>
      </c>
      <c r="F4" s="27">
        <v>3</v>
      </c>
      <c r="G4" s="27">
        <v>4</v>
      </c>
      <c r="H4" s="27">
        <v>5</v>
      </c>
      <c r="I4" s="27">
        <v>6</v>
      </c>
      <c r="J4" s="27">
        <v>7</v>
      </c>
      <c r="K4" s="27">
        <v>8</v>
      </c>
      <c r="L4" s="27">
        <v>9</v>
      </c>
      <c r="M4" s="27">
        <v>10</v>
      </c>
      <c r="N4" s="27">
        <v>11</v>
      </c>
      <c r="O4" s="27">
        <v>12</v>
      </c>
    </row>
    <row r="5" spans="1:15" s="168" customFormat="true" ht="17" customHeight="true">
      <c r="A5" s="28">
        <v>1</v>
      </c>
      <c r="B5" s="20" t="s">
        <v>7</v>
      </c>
      <c r="C5" s="29">
        <f>=SUM((E5:O5))</f>
        <v>13653.0105898747</v>
      </c>
      <c r="D5" s="30">
        <f>=D6+D12+D15</f>
        <v>621.10243152</v>
      </c>
      <c r="E5" s="30">
        <f>=E6+E12+E15</f>
        <v>1243.0444387248</v>
      </c>
      <c r="F5" s="30">
        <f>=F6+F12+F15</f>
        <v>1243.89385653118</v>
      </c>
      <c r="G5" s="30">
        <f>=G6+G12+G15</f>
        <v>1244.75306724852</v>
      </c>
      <c r="H5" s="30">
        <f>=H6+H12+H15</f>
        <v>1245.62202191228</v>
      </c>
      <c r="I5" s="30">
        <f>=I6+I12+I15</f>
        <v>1245.09667180272</v>
      </c>
      <c r="J5" s="30">
        <f>=J6+J12+J15</f>
        <v>1243.1769684437</v>
      </c>
      <c r="K5" s="30">
        <f>=K6+K12+K15</f>
        <v>1241.26686360148</v>
      </c>
      <c r="L5" s="30">
        <f>=L6+L12+L15</f>
        <v>1239.36630928348</v>
      </c>
      <c r="M5" s="30">
        <f>=M6+M12+M15</f>
        <v>1237.47525773706</v>
      </c>
      <c r="N5" s="30">
        <f>=N6+N12+N15</f>
        <v>1235.59366144837</v>
      </c>
      <c r="O5" s="30">
        <f>=O6+O12+O15</f>
        <v>1233.72147314113</v>
      </c>
    </row>
    <row r="6" spans="1:15" s="169" customFormat="true" ht="13" customHeight="true">
      <c r="A6" s="31">
        <v>1.1</v>
      </c>
      <c r="B6" s="17" t="s">
        <v>31</v>
      </c>
      <c r="C6" s="29">
        <f>=SUM((E6:O6))</f>
        <v>4202.75858987472</v>
      </c>
      <c r="D6" s="32">
        <f>=D7*D9*D10*D11/10000</f>
        <v>196.84243152</v>
      </c>
      <c r="E6" s="32">
        <f>=E7*E9*E10*E11/10000</f>
        <v>391.7164387248</v>
      </c>
      <c r="F6" s="32">
        <f>=F7*F9*F10*F11/10000</f>
        <v>389.757856531176</v>
      </c>
      <c r="G6" s="32">
        <f>=G7*G9*G10*G11/10000</f>
        <v>387.80906724852</v>
      </c>
      <c r="H6" s="32">
        <f>=H7*H9*H10*H11/10000</f>
        <v>385.870021912278</v>
      </c>
      <c r="I6" s="32">
        <f>=I7*I9*I10*I11/10000</f>
        <v>383.940671802716</v>
      </c>
      <c r="J6" s="32">
        <f>=J7*J9*J10*J11/10000</f>
        <v>382.020968443703</v>
      </c>
      <c r="K6" s="32">
        <f>=K7*K9*K10*K11/10000</f>
        <v>380.110863601484</v>
      </c>
      <c r="L6" s="32">
        <f>=L7*L9*L10*L11/10000</f>
        <v>378.210309283477</v>
      </c>
      <c r="M6" s="32">
        <f>=M7*M9*M10*M11/10000</f>
        <v>376.319257737059</v>
      </c>
      <c r="N6" s="32">
        <f>=N7*N9*N10*N11/10000</f>
        <v>374.437661448374</v>
      </c>
      <c r="O6" s="32">
        <f>=O7*O9*O10*O11/10000</f>
        <v>372.565473141132</v>
      </c>
    </row>
    <row r="7" spans="1:15" customFormat="true" ht="12" customHeight="true">
      <c r="A7" s="33" t="s">
        <v>32</v>
      </c>
      <c r="B7" s="17" t="s">
        <v>33</v>
      </c>
      <c r="C7" s="14" t="s"/>
      <c r="D7" s="32">
        <f>=5950*(1-D8)</f>
        <v>5831</v>
      </c>
      <c r="E7" s="34">
        <f>=D7*(1-E8)</f>
        <v>5801.845</v>
      </c>
      <c r="F7" s="34">
        <f>=E7*(1-F8)</f>
        <v>5772.835775</v>
      </c>
      <c r="G7" s="34">
        <f>=F7*(1-G8)</f>
        <v>5743.971596125</v>
      </c>
      <c r="H7" s="34">
        <f>=G7*(1-H8)</f>
        <v>5715.25173814438</v>
      </c>
      <c r="I7" s="34">
        <f>=H7*(1-I8)</f>
        <v>5686.67547945365</v>
      </c>
      <c r="J7" s="34">
        <f>=I7*(1-J8)</f>
        <v>5658.24210205639</v>
      </c>
      <c r="K7" s="34">
        <f>=J7*(1-K8)</f>
        <v>5629.9508915461</v>
      </c>
      <c r="L7" s="34">
        <f>=K7*(1-L8)</f>
        <v>5601.80113708837</v>
      </c>
      <c r="M7" s="34">
        <f>=L7*(1-M8)</f>
        <v>5573.79213140293</v>
      </c>
      <c r="N7" s="34">
        <f>=M7*(1-N8)</f>
        <v>5545.92317074592</v>
      </c>
      <c r="O7" s="34">
        <f>=N7*(1-O8)</f>
        <v>5518.19355489219</v>
      </c>
    </row>
    <row r="8" spans="1:15" s="174" customFormat="true" ht="12" customHeight="true">
      <c r="A8" s="33" t="s">
        <v>34</v>
      </c>
      <c r="B8" s="35" t="s">
        <v>35</v>
      </c>
      <c r="C8" s="36" t="s"/>
      <c r="D8" s="37">
        <v>0.02</v>
      </c>
      <c r="E8" s="38">
        <v>0.005</v>
      </c>
      <c r="F8" s="37">
        <v>0.005</v>
      </c>
      <c r="G8" s="37">
        <v>0.005</v>
      </c>
      <c r="H8" s="37">
        <v>0.005</v>
      </c>
      <c r="I8" s="37">
        <v>0.005</v>
      </c>
      <c r="J8" s="37">
        <v>0.005</v>
      </c>
      <c r="K8" s="37">
        <v>0.005</v>
      </c>
      <c r="L8" s="37">
        <v>0.005</v>
      </c>
      <c r="M8" s="37">
        <f>=L8</f>
        <v>0.005</v>
      </c>
      <c r="N8" s="37">
        <f>=M8</f>
        <v>0.005</v>
      </c>
      <c r="O8" s="37">
        <f>=N8</f>
        <v>0.005</v>
      </c>
    </row>
    <row r="9" spans="1:15" customFormat="true" ht="23" customHeight="true">
      <c r="A9" s="33" t="s">
        <v>36</v>
      </c>
      <c r="B9" s="17" t="s">
        <v>37</v>
      </c>
      <c r="C9" s="14" t="s"/>
      <c r="D9" s="32">
        <v>3.349</v>
      </c>
      <c r="E9" s="34">
        <v>3.349</v>
      </c>
      <c r="F9" s="32">
        <v>3.349</v>
      </c>
      <c r="G9" s="32">
        <v>3.349</v>
      </c>
      <c r="H9" s="32">
        <v>3.349</v>
      </c>
      <c r="I9" s="32">
        <v>3.349</v>
      </c>
      <c r="J9" s="32">
        <v>3.349</v>
      </c>
      <c r="K9" s="32">
        <v>3.349</v>
      </c>
      <c r="L9" s="32">
        <v>3.349</v>
      </c>
      <c r="M9" s="32">
        <v>3.349</v>
      </c>
      <c r="N9" s="32">
        <v>3.349</v>
      </c>
      <c r="O9" s="32">
        <v>3.349</v>
      </c>
    </row>
    <row r="10" spans="1:15" customFormat="true" ht="12" customHeight="true">
      <c r="A10" s="33" t="s">
        <v>38</v>
      </c>
      <c r="B10" s="17" t="s">
        <v>39</v>
      </c>
      <c r="C10" s="14" t="s"/>
      <c r="D10" s="32">
        <v>180</v>
      </c>
      <c r="E10" s="34">
        <v>360</v>
      </c>
      <c r="F10" s="32">
        <f>=E10</f>
        <v>360</v>
      </c>
      <c r="G10" s="32">
        <f>=F10</f>
        <v>360</v>
      </c>
      <c r="H10" s="32">
        <f>=G10</f>
        <v>360</v>
      </c>
      <c r="I10" s="32">
        <f>=H10</f>
        <v>360</v>
      </c>
      <c r="J10" s="32">
        <f>=I10</f>
        <v>360</v>
      </c>
      <c r="K10" s="32">
        <f>=J10</f>
        <v>360</v>
      </c>
      <c r="L10" s="32">
        <f>=K10</f>
        <v>360</v>
      </c>
      <c r="M10" s="32">
        <f>=L10</f>
        <v>360</v>
      </c>
      <c r="N10" s="32">
        <f>=M10</f>
        <v>360</v>
      </c>
      <c r="O10" s="32">
        <f>=N10</f>
        <v>360</v>
      </c>
    </row>
    <row r="11" spans="1:15" customFormat="true" ht="12" customHeight="true">
      <c r="A11" s="33" t="s">
        <v>40</v>
      </c>
      <c r="B11" s="17" t="s">
        <v>41</v>
      </c>
      <c r="C11" s="14" t="s"/>
      <c r="D11" s="32">
        <v>0.56</v>
      </c>
      <c r="E11" s="34">
        <f>=D11</f>
        <v>0.56</v>
      </c>
      <c r="F11" s="34">
        <f>=E11</f>
        <v>0.56</v>
      </c>
      <c r="G11" s="34">
        <f>=F11</f>
        <v>0.56</v>
      </c>
      <c r="H11" s="34">
        <f>=G11</f>
        <v>0.56</v>
      </c>
      <c r="I11" s="34">
        <f>=H11</f>
        <v>0.56</v>
      </c>
      <c r="J11" s="34">
        <f>=I11</f>
        <v>0.56</v>
      </c>
      <c r="K11" s="34">
        <f>=J11</f>
        <v>0.56</v>
      </c>
      <c r="L11" s="34">
        <f>=K11</f>
        <v>0.56</v>
      </c>
      <c r="M11" s="34">
        <f>=L11</f>
        <v>0.56</v>
      </c>
      <c r="N11" s="34">
        <f>=M11</f>
        <v>0.56</v>
      </c>
      <c r="O11" s="34">
        <f>=N11</f>
        <v>0.56</v>
      </c>
    </row>
    <row r="12" spans="1:15" s="168" customFormat="true" ht="12" customHeight="true">
      <c r="A12" s="39">
        <v>1.2</v>
      </c>
      <c r="B12" s="20" t="s">
        <v>42</v>
      </c>
      <c r="C12" s="29">
        <f>=SUM((D12:O12))</f>
        <v>9596.52</v>
      </c>
      <c r="D12" s="30">
        <f>=D13*D14*180/10000</f>
        <v>417.24</v>
      </c>
      <c r="E12" s="30">
        <f>=E13*E14*360/10000</f>
        <v>834.48</v>
      </c>
      <c r="F12" s="30">
        <f>=F13*F14*360/10000</f>
        <v>834.48</v>
      </c>
      <c r="G12" s="30">
        <f>=G13*G14*360/10000</f>
        <v>834.48</v>
      </c>
      <c r="H12" s="30">
        <f>=H13*H14*360/10000</f>
        <v>834.48</v>
      </c>
      <c r="I12" s="30">
        <f>=I13*I14*360/10000</f>
        <v>834.48</v>
      </c>
      <c r="J12" s="30">
        <f>=J13*J14*360/10000</f>
        <v>834.48</v>
      </c>
      <c r="K12" s="30">
        <f>=K13*K14*360/10000</f>
        <v>834.48</v>
      </c>
      <c r="L12" s="30">
        <f>=L13*L14*360/10000</f>
        <v>834.48</v>
      </c>
      <c r="M12" s="30">
        <f>=M13*M14*360/10000</f>
        <v>834.48</v>
      </c>
      <c r="N12" s="30">
        <f>=N13*N14*360/10000</f>
        <v>834.48</v>
      </c>
      <c r="O12" s="30">
        <f>=O13*O14*360/10000</f>
        <v>834.48</v>
      </c>
    </row>
    <row r="13" spans="1:15" ht="12" customHeight="true">
      <c r="A13" s="29" t="s">
        <v>43</v>
      </c>
      <c r="B13" s="10" t="s">
        <v>44</v>
      </c>
      <c r="C13" s="14" t="s"/>
      <c r="D13" s="32">
        <f>=0.61</f>
        <v>0.61</v>
      </c>
      <c r="E13" s="10">
        <f>=D13</f>
        <v>0.61</v>
      </c>
      <c r="F13" s="10">
        <f>=E13</f>
        <v>0.61</v>
      </c>
      <c r="G13" s="10">
        <f>=F13</f>
        <v>0.61</v>
      </c>
      <c r="H13" s="10">
        <f>=G13</f>
        <v>0.61</v>
      </c>
      <c r="I13" s="10">
        <f>=H13</f>
        <v>0.61</v>
      </c>
      <c r="J13" s="40">
        <f>=I13</f>
        <v>0.61</v>
      </c>
      <c r="K13" s="10">
        <f>=J13</f>
        <v>0.61</v>
      </c>
      <c r="L13" s="10">
        <f>=K13</f>
        <v>0.61</v>
      </c>
      <c r="M13" s="10">
        <f>=L13</f>
        <v>0.61</v>
      </c>
      <c r="N13" s="10">
        <f>=M13</f>
        <v>0.61</v>
      </c>
      <c r="O13" s="10">
        <f>=N13</f>
        <v>0.61</v>
      </c>
    </row>
    <row r="14" spans="1:15" s="175" customFormat="true" ht="12" customHeight="true">
      <c r="A14" s="41" t="s">
        <v>45</v>
      </c>
      <c r="B14" s="42" t="s">
        <v>46</v>
      </c>
      <c r="C14" s="43" t="s"/>
      <c r="D14" s="32">
        <f>=40000*0.95</f>
        <v>38000</v>
      </c>
      <c r="E14" s="32">
        <f>=D14</f>
        <v>38000</v>
      </c>
      <c r="F14" s="42">
        <f>=E14</f>
        <v>38000</v>
      </c>
      <c r="G14" s="42">
        <f>=F14</f>
        <v>38000</v>
      </c>
      <c r="H14" s="42">
        <f>=G14</f>
        <v>38000</v>
      </c>
      <c r="I14" s="42">
        <f>=H14</f>
        <v>38000</v>
      </c>
      <c r="J14" s="44">
        <f>=40000*0.95</f>
        <v>38000</v>
      </c>
      <c r="K14" s="44">
        <f>=J14</f>
        <v>38000</v>
      </c>
      <c r="L14" s="44">
        <f>=K14</f>
        <v>38000</v>
      </c>
      <c r="M14" s="44">
        <f>=L14</f>
        <v>38000</v>
      </c>
      <c r="N14" s="44">
        <f>=M14</f>
        <v>38000</v>
      </c>
      <c r="O14" s="44">
        <f>=N14</f>
        <v>38000</v>
      </c>
    </row>
    <row r="15" spans="1:15" s="168" customFormat="true" ht="17" customHeight="true">
      <c r="A15" s="28">
        <v>1.4</v>
      </c>
      <c r="B15" s="20" t="s">
        <v>47</v>
      </c>
      <c r="C15" s="29">
        <f>=SUM(D15:O15)</f>
        <v>277.992</v>
      </c>
      <c r="D15" s="30">
        <f>=D16*D17*D18*D19*D20*D21/10000</f>
        <v>7.02</v>
      </c>
      <c r="E15" s="30">
        <f>=E16*E17*E18*E19*E20*E21/10000</f>
        <v>16.848</v>
      </c>
      <c r="F15" s="30">
        <f>=F16*F17*F18*F19*F20*F21/10000</f>
        <v>19.656</v>
      </c>
      <c r="G15" s="30">
        <f>=G16*G17*G18*G19*G20*G21/10000</f>
        <v>22.464</v>
      </c>
      <c r="H15" s="30">
        <f>=H16*H17*H18*H19*H20*H21/10000</f>
        <v>25.272</v>
      </c>
      <c r="I15" s="30">
        <f>=I16*I17*I18*I19*I20*I21/10000</f>
        <v>26.676</v>
      </c>
      <c r="J15" s="30">
        <f>=J16*J17*J18*J19*J20*J21/10000</f>
        <v>26.676</v>
      </c>
      <c r="K15" s="30">
        <f>=K16*K17*K18*K19*K20*K21/10000</f>
        <v>26.676</v>
      </c>
      <c r="L15" s="30">
        <f>=L16*L17*L18*L19*L20*L21/10000</f>
        <v>26.676</v>
      </c>
      <c r="M15" s="30">
        <f>=M16*M17*M18*M19*M20*M21/10000</f>
        <v>26.676</v>
      </c>
      <c r="N15" s="30">
        <f>=N16*N17*N18*N19*N20*N21/10000</f>
        <v>26.676</v>
      </c>
      <c r="O15" s="30">
        <f>=O16*O17*O18*O19*O20*O21/10000</f>
        <v>26.676</v>
      </c>
    </row>
    <row r="16" spans="1:15" customFormat="true" ht="12" customHeight="true">
      <c r="A16" s="45" t="s">
        <v>48</v>
      </c>
      <c r="B16" s="42" t="s">
        <v>49</v>
      </c>
      <c r="C16" s="14" t="s"/>
      <c r="D16" s="32">
        <v>5</v>
      </c>
      <c r="E16" s="32">
        <f>=D16</f>
        <v>5</v>
      </c>
      <c r="F16" s="32">
        <f>=E16</f>
        <v>5</v>
      </c>
      <c r="G16" s="32">
        <f>=F16</f>
        <v>5</v>
      </c>
      <c r="H16" s="32">
        <f>=G16</f>
        <v>5</v>
      </c>
      <c r="I16" s="32">
        <f>=H16</f>
        <v>5</v>
      </c>
      <c r="J16" s="32">
        <f>=I16</f>
        <v>5</v>
      </c>
      <c r="K16" s="32">
        <f>=J16</f>
        <v>5</v>
      </c>
      <c r="L16" s="32">
        <f>=K16</f>
        <v>5</v>
      </c>
      <c r="M16" s="46">
        <f>=L16</f>
        <v>5</v>
      </c>
      <c r="N16" s="32">
        <f>=M16</f>
        <v>5</v>
      </c>
      <c r="O16" s="32">
        <f>=N16</f>
        <v>5</v>
      </c>
    </row>
    <row r="17" spans="1:15" s="176" customFormat="true" ht="12" customHeight="true">
      <c r="A17" s="47" t="s">
        <v>50</v>
      </c>
      <c r="B17" s="48" t="s">
        <v>51</v>
      </c>
      <c r="C17" s="49" t="s"/>
      <c r="D17" s="48">
        <v>0.5</v>
      </c>
      <c r="E17" s="48">
        <v>0.6</v>
      </c>
      <c r="F17" s="48">
        <v>0.7</v>
      </c>
      <c r="G17" s="48">
        <v>0.8</v>
      </c>
      <c r="H17" s="48">
        <v>0.9</v>
      </c>
      <c r="I17" s="48">
        <v>0.95</v>
      </c>
      <c r="J17" s="48">
        <v>0.95</v>
      </c>
      <c r="K17" s="48">
        <v>0.95</v>
      </c>
      <c r="L17" s="48">
        <v>0.95</v>
      </c>
      <c r="M17" s="48">
        <f>=L17</f>
        <v>0.95</v>
      </c>
      <c r="N17" s="48">
        <f>=M17</f>
        <v>0.95</v>
      </c>
      <c r="O17" s="48">
        <f>=N17</f>
        <v>0.95</v>
      </c>
    </row>
    <row r="18" spans="1:15" customFormat="true" ht="12" customHeight="true">
      <c r="A18" s="45" t="s">
        <v>52</v>
      </c>
      <c r="B18" s="42" t="s">
        <v>53</v>
      </c>
      <c r="C18" s="14" t="s"/>
      <c r="D18" s="32">
        <v>0.65</v>
      </c>
      <c r="E18" s="32">
        <f>=D18</f>
        <v>0.65</v>
      </c>
      <c r="F18" s="32">
        <f>=E18</f>
        <v>0.65</v>
      </c>
      <c r="G18" s="32">
        <f>=F18</f>
        <v>0.65</v>
      </c>
      <c r="H18" s="32">
        <f>=G18</f>
        <v>0.65</v>
      </c>
      <c r="I18" s="32">
        <f>=H18</f>
        <v>0.65</v>
      </c>
      <c r="J18" s="32">
        <f>=I18</f>
        <v>0.65</v>
      </c>
      <c r="K18" s="32">
        <f>=J18</f>
        <v>0.65</v>
      </c>
      <c r="L18" s="32">
        <f>=K18</f>
        <v>0.65</v>
      </c>
      <c r="M18" s="32">
        <f>=L18</f>
        <v>0.65</v>
      </c>
      <c r="N18" s="32">
        <f>=M18</f>
        <v>0.65</v>
      </c>
      <c r="O18" s="32">
        <f>=N18</f>
        <v>0.65</v>
      </c>
    </row>
    <row r="19" spans="1:15" customFormat="true" ht="12" customHeight="true">
      <c r="A19" s="45" t="s">
        <v>54</v>
      </c>
      <c r="B19" s="42" t="s">
        <v>55</v>
      </c>
      <c r="C19" s="14" t="s"/>
      <c r="D19" s="32">
        <v>60</v>
      </c>
      <c r="E19" s="32">
        <v>60</v>
      </c>
      <c r="F19" s="32">
        <v>60</v>
      </c>
      <c r="G19" s="32">
        <v>60</v>
      </c>
      <c r="H19" s="32">
        <v>60</v>
      </c>
      <c r="I19" s="32">
        <v>60</v>
      </c>
      <c r="J19" s="32">
        <v>60</v>
      </c>
      <c r="K19" s="32">
        <v>60</v>
      </c>
      <c r="L19" s="32">
        <v>60</v>
      </c>
      <c r="M19" s="32">
        <f>=L19</f>
        <v>60</v>
      </c>
      <c r="N19" s="32">
        <f>=M19</f>
        <v>60</v>
      </c>
      <c r="O19" s="32">
        <f>=N19</f>
        <v>60</v>
      </c>
    </row>
    <row r="20" spans="1:15" customFormat="true" ht="12" customHeight="true">
      <c r="A20" s="45" t="s">
        <v>56</v>
      </c>
      <c r="B20" s="42" t="s">
        <v>57</v>
      </c>
      <c r="C20" s="14" t="s"/>
      <c r="D20" s="32">
        <v>4</v>
      </c>
      <c r="E20" s="32">
        <f>=D20</f>
        <v>4</v>
      </c>
      <c r="F20" s="32">
        <f>=E20</f>
        <v>4</v>
      </c>
      <c r="G20" s="32">
        <f>=F20</f>
        <v>4</v>
      </c>
      <c r="H20" s="32">
        <f>=G20</f>
        <v>4</v>
      </c>
      <c r="I20" s="32">
        <f>=H20</f>
        <v>4</v>
      </c>
      <c r="J20" s="32">
        <f>=I20</f>
        <v>4</v>
      </c>
      <c r="K20" s="32">
        <f>=J20</f>
        <v>4</v>
      </c>
      <c r="L20" s="32">
        <f>=K20</f>
        <v>4</v>
      </c>
      <c r="M20" s="32">
        <f>=L20</f>
        <v>4</v>
      </c>
      <c r="N20" s="32">
        <f>=M20</f>
        <v>4</v>
      </c>
      <c r="O20" s="32">
        <f>=N20</f>
        <v>4</v>
      </c>
    </row>
    <row r="21" spans="1:15" customFormat="true" ht="12" customHeight="true">
      <c r="A21" s="45" t="s">
        <v>58</v>
      </c>
      <c r="B21" s="42" t="s">
        <v>59</v>
      </c>
      <c r="C21" s="14" t="s"/>
      <c r="D21" s="32">
        <v>180</v>
      </c>
      <c r="E21" s="32">
        <v>360</v>
      </c>
      <c r="F21" s="32">
        <f>=E21</f>
        <v>360</v>
      </c>
      <c r="G21" s="32">
        <f>=F21</f>
        <v>360</v>
      </c>
      <c r="H21" s="32">
        <f>=G21</f>
        <v>360</v>
      </c>
      <c r="I21" s="32">
        <f>=H21</f>
        <v>360</v>
      </c>
      <c r="J21" s="32">
        <f>=I21</f>
        <v>360</v>
      </c>
      <c r="K21" s="32">
        <f>=J21</f>
        <v>360</v>
      </c>
      <c r="L21" s="32">
        <f>=K21</f>
        <v>360</v>
      </c>
      <c r="M21" s="32">
        <f>=L21</f>
        <v>360</v>
      </c>
      <c r="N21" s="32">
        <f>=M21</f>
        <v>360</v>
      </c>
      <c r="O21" s="32">
        <f>=N21</f>
        <v>360</v>
      </c>
    </row>
    <row r="22" spans="1:15" s="168" customFormat="true" ht="12" customHeight="true">
      <c r="A22" s="28">
        <v>2</v>
      </c>
      <c r="B22" s="20" t="s">
        <v>60</v>
      </c>
      <c r="C22" s="29">
        <f>=SUM((D22:O22))</f>
        <v>178.827876778131</v>
      </c>
      <c r="D22" s="30">
        <f>=D23+D24+D25+D26</f>
        <v>7.80775360976</v>
      </c>
      <c r="E22" s="30">
        <f>=E23+E24+E25+E26</f>
        <v>15.6101392034224</v>
      </c>
      <c r="F22" s="30">
        <f>=F23+F24+F25+F26</f>
        <v>15.6094296349053</v>
      </c>
      <c r="G22" s="30">
        <f>=G23+G24+G25+G26</f>
        <v>15.6088473742308</v>
      </c>
      <c r="H22" s="30">
        <f>=H23+H24+H25+H26</f>
        <v>15.6082617848596</v>
      </c>
      <c r="I22" s="30">
        <f>=I23+I24+I25+I26</f>
        <v>15.5893162334353</v>
      </c>
      <c r="J22" s="50">
        <f>=J23+J24+J25+J26</f>
        <v>15.5637100897681</v>
      </c>
      <c r="K22" s="30">
        <f>=K23+K24+K25+K26</f>
        <v>15.5382287268193</v>
      </c>
      <c r="L22" s="30">
        <f>=L23+L24+L25+L26</f>
        <v>15.5128715206852</v>
      </c>
      <c r="M22" s="30">
        <f>=M23+M24+M25+M26</f>
        <v>15.4882878505818</v>
      </c>
      <c r="N22" s="30">
        <f>=N23+N24+N25+N26</f>
        <v>15.4576845988289</v>
      </c>
      <c r="O22" s="30">
        <f>=O23+O24+O25+O26</f>
        <v>15.4333461508347</v>
      </c>
    </row>
    <row r="23" spans="1:15" ht="12" customHeight="true">
      <c r="A23" s="45">
        <v>2.1</v>
      </c>
      <c r="B23" s="10" t="s">
        <v>61</v>
      </c>
      <c r="C23" s="14" t="s"/>
      <c r="D23" s="14" t="s"/>
      <c r="E23" s="51" t="s"/>
      <c r="F23" s="51" t="s"/>
      <c r="G23" s="51" t="s"/>
      <c r="H23" s="51" t="s"/>
      <c r="I23" s="51" t="s"/>
      <c r="J23" s="52" t="s"/>
      <c r="K23" s="51" t="s"/>
      <c r="L23" s="51" t="s"/>
      <c r="M23" s="51" t="s"/>
      <c r="N23" s="51" t="s"/>
      <c r="O23" s="51" t="s"/>
    </row>
    <row r="24" spans="1:15" ht="12" customHeight="true">
      <c r="A24" s="45">
        <v>2.2</v>
      </c>
      <c r="B24" s="10" t="s">
        <v>62</v>
      </c>
      <c r="C24" s="14" t="s"/>
      <c r="D24" s="14" t="s"/>
      <c r="E24" s="51" t="s"/>
      <c r="F24" s="51" t="s"/>
      <c r="G24" s="51" t="s"/>
      <c r="H24" s="51" t="s"/>
      <c r="I24" s="51" t="s"/>
      <c r="J24" s="52" t="s"/>
      <c r="K24" s="51" t="s"/>
      <c r="L24" s="51" t="s"/>
      <c r="M24" s="51" t="s"/>
      <c r="N24" s="51" t="s"/>
      <c r="O24" s="51" t="s"/>
    </row>
    <row r="25" spans="1:15" ht="12" customHeight="true">
      <c r="A25" s="45">
        <v>2.3</v>
      </c>
      <c r="B25" s="53" t="s">
        <v>63</v>
      </c>
      <c r="C25" s="14">
        <f>=SUM((D25:O25))</f>
        <v>125.179513744692</v>
      </c>
      <c r="D25" s="32">
        <f>=D27*0.07</f>
        <v>5.465427526832</v>
      </c>
      <c r="E25" s="32">
        <f>=E27*0.07</f>
        <v>10.9270974423957</v>
      </c>
      <c r="F25" s="32">
        <f>=F27*0.07</f>
        <v>10.9266007444337</v>
      </c>
      <c r="G25" s="32">
        <f>=G27*0.07</f>
        <v>10.9261931619615</v>
      </c>
      <c r="H25" s="32">
        <f>=H27*0.07</f>
        <v>10.9257832494017</v>
      </c>
      <c r="I25" s="32">
        <f>=I27*0.07</f>
        <v>10.9125213634047</v>
      </c>
      <c r="J25" s="54">
        <f>=J27*0.07</f>
        <v>10.8945970628377</v>
      </c>
      <c r="K25" s="32">
        <f>=K27*0.07</f>
        <v>10.8767601087735</v>
      </c>
      <c r="L25" s="32">
        <f>=L27*0.07</f>
        <v>10.8590100644796</v>
      </c>
      <c r="M25" s="32">
        <f>=M27*0.07</f>
        <v>10.8418014954072</v>
      </c>
      <c r="N25" s="32">
        <f>=N27*0.07</f>
        <v>10.8203792191802</v>
      </c>
      <c r="O25" s="32">
        <f>=O27*0.07</f>
        <v>10.8033423055843</v>
      </c>
    </row>
    <row r="26" spans="1:15" ht="12" customHeight="true">
      <c r="A26" s="45">
        <v>2.4</v>
      </c>
      <c r="B26" s="10" t="s">
        <v>64</v>
      </c>
      <c r="C26" s="14">
        <f>=SUM((D26:O26))</f>
        <v>53.6483630334394</v>
      </c>
      <c r="D26" s="32">
        <f>=D27*0.03</f>
        <v>2.342326082928</v>
      </c>
      <c r="E26" s="32">
        <f>=E27*0.03</f>
        <v>4.68304176102672</v>
      </c>
      <c r="F26" s="32">
        <f>=F27*0.03</f>
        <v>4.68282889047159</v>
      </c>
      <c r="G26" s="32">
        <f>=G27*0.03</f>
        <v>4.68265421226923</v>
      </c>
      <c r="H26" s="32">
        <f>=H27*0.03</f>
        <v>4.68247853545788</v>
      </c>
      <c r="I26" s="32">
        <f>=I27*0.03</f>
        <v>4.67679487003059</v>
      </c>
      <c r="J26" s="54">
        <f>=J27*0.03</f>
        <v>4.66911302693044</v>
      </c>
      <c r="K26" s="32">
        <f>=K27*0.03</f>
        <v>4.66146861804579</v>
      </c>
      <c r="L26" s="32">
        <f>=L27*0.03</f>
        <v>4.65386145620556</v>
      </c>
      <c r="M26" s="32">
        <f>=M27*0.03</f>
        <v>4.64648635517453</v>
      </c>
      <c r="N26" s="32">
        <f>=N27*0.03</f>
        <v>4.63730537964866</v>
      </c>
      <c r="O26" s="32">
        <f>=O27*0.03</f>
        <v>4.63000384525042</v>
      </c>
    </row>
    <row r="27" spans="1:15" ht="12" customHeight="true">
      <c r="A27" s="45">
        <v>3</v>
      </c>
      <c r="B27" s="10" t="s">
        <v>9</v>
      </c>
      <c r="C27" s="14">
        <f>=SUM((D27:O27))</f>
        <v>1788.27876778131</v>
      </c>
      <c r="D27" s="32">
        <f>=D28-D29</f>
        <v>78.0775360976</v>
      </c>
      <c r="E27" s="32">
        <f>=E28-E29</f>
        <v>156.101392034224</v>
      </c>
      <c r="F27" s="32">
        <f>=F28-F29</f>
        <v>156.094296349053</v>
      </c>
      <c r="G27" s="32">
        <f>=G28-G29</f>
        <v>156.088473742308</v>
      </c>
      <c r="H27" s="32">
        <f>=H28-H29</f>
        <v>156.082617848596</v>
      </c>
      <c r="I27" s="32">
        <f>=I28-I29</f>
        <v>155.893162334353</v>
      </c>
      <c r="J27" s="32">
        <f>=J28-J29</f>
        <v>155.637100897681</v>
      </c>
      <c r="K27" s="32">
        <f>=K28-K29</f>
        <v>155.382287268193</v>
      </c>
      <c r="L27" s="32">
        <f>=L28-L29</f>
        <v>155.128715206852</v>
      </c>
      <c r="M27" s="32">
        <f>=M28-M29</f>
        <v>154.882878505818</v>
      </c>
      <c r="N27" s="32">
        <f>=N28-N29</f>
        <v>154.576845988289</v>
      </c>
      <c r="O27" s="32">
        <f>=O28-O29</f>
        <v>154.333461508347</v>
      </c>
    </row>
    <row r="28" spans="1:15" ht="12" customHeight="true">
      <c r="A28" s="45">
        <v>3.1</v>
      </c>
      <c r="B28" s="10" t="s">
        <v>65</v>
      </c>
      <c r="C28" s="14">
        <f>=SUM((D28:O28))</f>
        <v>1844.51501278131</v>
      </c>
      <c r="D28" s="32">
        <f>=(D6+D12)*0.13+D15*0.09</f>
        <v>80.4625160976</v>
      </c>
      <c r="E28" s="32">
        <f>=(E6+E12)*0.13+E15*0.09</f>
        <v>160.921857034224</v>
      </c>
      <c r="F28" s="32">
        <f>=(F6+F12)*0.13+F15*0.09</f>
        <v>160.919961349053</v>
      </c>
      <c r="G28" s="32">
        <f>=(G6+G12)*0.13+G15*0.09</f>
        <v>160.919338742308</v>
      </c>
      <c r="H28" s="32">
        <f>=(H6+H12)*0.13+H15*0.09</f>
        <v>160.919982848596</v>
      </c>
      <c r="I28" s="32">
        <f>=(I6+I12)*0.13+I15*0.09</f>
        <v>160.795527334353</v>
      </c>
      <c r="J28" s="32">
        <f>=(J6+J12)*0.13+J15*0.09</f>
        <v>160.545965897681</v>
      </c>
      <c r="K28" s="32">
        <f>=(K6+K12)*0.13+K15*0.09</f>
        <v>160.297652268193</v>
      </c>
      <c r="L28" s="32">
        <f>=(L6+L12)*0.13+L15*0.09</f>
        <v>160.050580206852</v>
      </c>
      <c r="M28" s="32">
        <f>=(M6+M12)*0.13+M15*0.09</f>
        <v>159.804743505818</v>
      </c>
      <c r="N28" s="32">
        <f>=(N6+N12)*0.13+N15*0.09</f>
        <v>159.560135988289</v>
      </c>
      <c r="O28" s="32">
        <f>=(O6+O12)*0.13+O15*0.09</f>
        <v>159.316751508347</v>
      </c>
    </row>
    <row r="29" spans="1:15" ht="12" customHeight="true">
      <c r="A29" s="45">
        <v>3.2</v>
      </c>
      <c r="B29" s="10" t="s">
        <v>66</v>
      </c>
      <c r="C29" s="14">
        <f>=SUM((D29:O29))</f>
        <v>56.236245</v>
      </c>
      <c r="D29" s="32">
        <f>=总成本费用表!D5*0.13+总成本费用表!D8*0.09</f>
        <v>2.38498</v>
      </c>
      <c r="E29" s="32">
        <f>=总成本费用表!E5*0.13+总成本费用表!E8*0.09</f>
        <v>4.820465</v>
      </c>
      <c r="F29" s="32">
        <f>=总成本费用表!F5*0.13+总成本费用表!F8*0.09</f>
        <v>4.825665</v>
      </c>
      <c r="G29" s="32">
        <f>=总成本费用表!G5*0.13+总成本费用表!G8*0.09</f>
        <v>4.830865</v>
      </c>
      <c r="H29" s="32">
        <f>=总成本费用表!H5*0.13+总成本费用表!H8*0.09</f>
        <v>4.837365</v>
      </c>
      <c r="I29" s="32">
        <f>=总成本费用表!I5*0.13+总成本费用表!I8*0.09</f>
        <v>4.902365</v>
      </c>
      <c r="J29" s="32">
        <f>=总成本费用表!J5*0.13+总成本费用表!J8*0.09</f>
        <v>4.908865</v>
      </c>
      <c r="K29" s="32">
        <f>=总成本费用表!K5*0.13+总成本费用表!K8*0.09</f>
        <v>4.915365</v>
      </c>
      <c r="L29" s="32">
        <f>=总成本费用表!L5*0.13+总成本费用表!L8*0.09</f>
        <v>4.921865</v>
      </c>
      <c r="M29" s="32">
        <f>=总成本费用表!M5*0.13+总成本费用表!M8*0.09</f>
        <v>4.921865</v>
      </c>
      <c r="N29" s="32">
        <f>=总成本费用表!N5*0.13+总成本费用表!N8*0.09</f>
        <v>4.98329</v>
      </c>
      <c r="O29" s="32">
        <f>=总成本费用表!O5*0.13+总成本费用表!O8*0.09</f>
        <v>4.98329</v>
      </c>
    </row>
  </sheetData>
  <mergeCells count="5">
    <mergeCell ref="A1:L1"/>
    <mergeCell ref="A3:A4"/>
    <mergeCell ref="B3:B4"/>
    <mergeCell ref="C3:C4"/>
    <mergeCell ref="D3:O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>
  <sheetPr/>
  <dimension ref="O16"/>
  <sheetViews>
    <sheetView showGridLines="true" zoomScale="120" zoomScaleNormal="120" workbookViewId="0"/>
  </sheetViews>
  <sheetFormatPr defaultColWidth="9" defaultRowHeight="14"/>
  <cols>
    <col min="1" max="1" width="3.37273" style="170" customWidth="true"/>
    <col min="2" max="2" width="14.1273" style="170" customWidth="true"/>
    <col min="3" max="3" width="13.3273" customWidth="true"/>
    <col min="4" max="4" width="7.87273" customWidth="true"/>
    <col min="5" max="13" width="8.60909" customWidth="true"/>
    <col min="14" max="14" width="10.5"/>
  </cols>
  <sheetData>
    <row r="1" spans="1:13">
      <c r="A1" s="160" t="s">
        <v>217</v>
      </c>
      <c r="B1" s="160" t="s"/>
      <c r="C1" s="160" t="s"/>
      <c r="D1" s="160" t="s"/>
      <c r="E1" s="160" t="s"/>
      <c r="F1" s="160" t="s"/>
      <c r="G1" s="160" t="s"/>
      <c r="H1" s="160" t="s"/>
      <c r="I1" s="160" t="s"/>
      <c r="J1" s="160" t="s"/>
      <c r="K1" s="160" t="s"/>
      <c r="L1" s="160" t="s"/>
      <c r="M1" s="160" t="s"/>
    </row>
    <row r="2" spans="12:12" ht="15.4" customHeight="true">
      <c r="L2" t="s">
        <v>2</v>
      </c>
    </row>
    <row r="3" spans="1:15" s="178" customFormat="true" ht="14.1" customHeight="true">
      <c r="A3" s="161" t="s">
        <v>3</v>
      </c>
      <c r="B3" s="161" t="s">
        <v>30</v>
      </c>
      <c r="C3" s="162" t="s">
        <v>6</v>
      </c>
      <c r="D3" s="23" t="s">
        <v>4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</row>
    <row r="4" spans="1:15" s="178" customFormat="true" ht="12" customHeight="true">
      <c r="A4" s="163" t="s"/>
      <c r="B4" s="163" t="s"/>
      <c r="C4" s="163" t="s"/>
      <c r="D4" s="164">
        <v>0.5</v>
      </c>
      <c r="E4" s="150">
        <v>2</v>
      </c>
      <c r="F4" s="150">
        <v>3</v>
      </c>
      <c r="G4" s="150">
        <v>4</v>
      </c>
      <c r="H4" s="150">
        <v>5</v>
      </c>
      <c r="I4" s="150">
        <v>6</v>
      </c>
      <c r="J4" s="150">
        <v>7</v>
      </c>
      <c r="K4" s="150">
        <v>8</v>
      </c>
      <c r="L4" s="150">
        <v>9</v>
      </c>
      <c r="M4" s="150">
        <v>10</v>
      </c>
      <c r="N4" s="150">
        <v>11</v>
      </c>
      <c r="O4" s="150">
        <v>12</v>
      </c>
    </row>
    <row r="5" spans="1:15" s="179" customFormat="true" ht="15" customHeight="true">
      <c r="A5" s="153">
        <v>2</v>
      </c>
      <c r="B5" s="40" t="s">
        <v>218</v>
      </c>
      <c r="C5" s="16">
        <f>=SUM(D5:O5)</f>
        <v>324.9915</v>
      </c>
      <c r="D5" s="16">
        <f>=2.6*0.5+2000*180*0.3485/10000</f>
        <v>13.846</v>
      </c>
      <c r="E5" s="16">
        <f>=2.64+2000*365*0.3485/10000</f>
        <v>28.0805</v>
      </c>
      <c r="F5" s="16">
        <f>=2.68+2000*365*0.3485/10000</f>
        <v>28.1205</v>
      </c>
      <c r="G5" s="16">
        <f>=2.72+2000*365*0.3485/10000</f>
        <v>28.1605</v>
      </c>
      <c r="H5" s="16">
        <f>=2.77+2000*365*0.3485/10000</f>
        <v>28.2105</v>
      </c>
      <c r="I5" s="16">
        <f>=2.82+2000*365*0.3485/10000</f>
        <v>28.2605</v>
      </c>
      <c r="J5" s="16">
        <f>=2.87+2000*365*0.3485/10000</f>
        <v>28.3105</v>
      </c>
      <c r="K5" s="16">
        <f>=2.92+2000*365*0.3485/10000</f>
        <v>28.3605</v>
      </c>
      <c r="L5" s="16">
        <f>=2.97+2000*365*0.3485/10000</f>
        <v>28.4105</v>
      </c>
      <c r="M5" s="16">
        <f>=L5</f>
        <v>28.4105</v>
      </c>
      <c r="N5" s="16">
        <f>=M5</f>
        <v>28.4105</v>
      </c>
      <c r="O5" s="16">
        <f>=N5</f>
        <v>28.4105</v>
      </c>
    </row>
    <row r="6" spans="1:15" s="179" customFormat="true" ht="15" customHeight="true">
      <c r="A6" s="33">
        <v>3</v>
      </c>
      <c r="B6" s="40" t="s">
        <v>219</v>
      </c>
      <c r="C6" s="16">
        <f>=SUM(D6:O6)</f>
        <v>756.41476875</v>
      </c>
      <c r="D6" s="16">
        <f>=6*10*0.5</f>
        <v>30</v>
      </c>
      <c r="E6" s="16">
        <f>=6*10</f>
        <v>60</v>
      </c>
      <c r="F6" s="16">
        <v>60</v>
      </c>
      <c r="G6" s="16">
        <v>63</v>
      </c>
      <c r="H6" s="16">
        <v>63</v>
      </c>
      <c r="I6" s="16">
        <v>63</v>
      </c>
      <c r="J6" s="16">
        <v>66.15</v>
      </c>
      <c r="K6" s="16">
        <v>66.15</v>
      </c>
      <c r="L6" s="16">
        <v>66.15</v>
      </c>
      <c r="M6" s="16">
        <f>=L6*1.05</f>
        <v>69.4575</v>
      </c>
      <c r="N6" s="16">
        <f>=M6*1.05</f>
        <v>72.930375</v>
      </c>
      <c r="O6" s="16">
        <f>=N6*1.05</f>
        <v>76.57689375</v>
      </c>
    </row>
    <row r="7" spans="1:15" s="179" customFormat="true" ht="15" customHeight="true">
      <c r="A7" s="33">
        <v>4</v>
      </c>
      <c r="B7" s="40" t="s">
        <v>220</v>
      </c>
      <c r="C7" s="16">
        <f>=SUM(D7:O7)</f>
        <v>366.95895</v>
      </c>
      <c r="D7" s="16">
        <f>=29.43/2</f>
        <v>14.715</v>
      </c>
      <c r="E7" s="16">
        <v>29.43</v>
      </c>
      <c r="F7" s="16">
        <v>29.43</v>
      </c>
      <c r="G7" s="16">
        <v>30.9015</v>
      </c>
      <c r="H7" s="16">
        <v>30.9015</v>
      </c>
      <c r="I7" s="16">
        <v>30.9015</v>
      </c>
      <c r="J7" s="16">
        <v>32.446575</v>
      </c>
      <c r="K7" s="16">
        <v>32.446575</v>
      </c>
      <c r="L7" s="16">
        <v>32.446575</v>
      </c>
      <c r="M7" s="16">
        <v>33.446575</v>
      </c>
      <c r="N7" s="16">
        <v>34.446575</v>
      </c>
      <c r="O7" s="16">
        <v>35.446575</v>
      </c>
    </row>
    <row r="8" spans="1:15" s="178" customFormat="true" ht="15" customHeight="true">
      <c r="A8" s="33">
        <v>5</v>
      </c>
      <c r="B8" s="10" t="s">
        <v>221</v>
      </c>
      <c r="C8" s="16">
        <f>=SUM(D8:O8)</f>
        <v>155.415</v>
      </c>
      <c r="D8" s="14">
        <f>=13/2</f>
        <v>6.5</v>
      </c>
      <c r="E8" s="14">
        <v>13</v>
      </c>
      <c r="F8" s="14">
        <f>=E8</f>
        <v>13</v>
      </c>
      <c r="G8" s="14">
        <f>=F8</f>
        <v>13</v>
      </c>
      <c r="H8" s="14">
        <f>=G8</f>
        <v>13</v>
      </c>
      <c r="I8" s="14">
        <f>=H8*1.05</f>
        <v>13.65</v>
      </c>
      <c r="J8" s="14">
        <f>=I8</f>
        <v>13.65</v>
      </c>
      <c r="K8" s="14">
        <f>=J8</f>
        <v>13.65</v>
      </c>
      <c r="L8" s="14">
        <f>=K8</f>
        <v>13.65</v>
      </c>
      <c r="M8" s="14">
        <f>=L8</f>
        <v>13.65</v>
      </c>
      <c r="N8" s="14">
        <f>=M8*1.05</f>
        <v>14.3325</v>
      </c>
      <c r="O8" s="14">
        <f>=N8</f>
        <v>14.3325</v>
      </c>
    </row>
    <row r="9" spans="1:15" s="178" customFormat="true" ht="21" customHeight="true">
      <c r="A9" s="153">
        <v>4</v>
      </c>
      <c r="B9" s="10" t="s">
        <v>222</v>
      </c>
      <c r="C9" s="16">
        <f>=SUM(D9:O9)</f>
        <v>471.385823720863</v>
      </c>
      <c r="D9" s="165">
        <f>=(营业收入及税金表!D7*营业收入及税金表!D9*营业收入及税金表!D10)*0.06/10000</f>
        <v>21.09026052</v>
      </c>
      <c r="E9" s="165">
        <f>=(营业收入及税金表!E7*营业收入及税金表!E9*营业收入及税金表!E10)*0.06/10000</f>
        <v>41.9696184348</v>
      </c>
      <c r="F9" s="165">
        <f>=(营业收入及税金表!F7*营业收入及税金表!F9*营业收入及税金表!F10)*0.06/10000</f>
        <v>41.759770342626</v>
      </c>
      <c r="G9" s="165">
        <f>=(营业收入及税金表!G7*营业收入及税金表!G9*营业收入及税金表!G10)*0.06/10000</f>
        <v>41.5509714909129</v>
      </c>
      <c r="H9" s="165">
        <f>=(营业收入及税金表!H7*营业收入及税金表!H9*营业收入及税金表!H10)*0.06/10000</f>
        <v>41.3432166334583</v>
      </c>
      <c r="I9" s="165">
        <f>=(营业收入及税金表!I7*营业收入及税金表!I9*营业收入及税金表!I10)*0.06/10000</f>
        <v>41.136500550291</v>
      </c>
      <c r="J9" s="165">
        <f>=(营业收入及税金表!J7*营业收入及税金表!J9*营业收入及税金表!J10)*0.06/10000</f>
        <v>40.9308180475396</v>
      </c>
      <c r="K9" s="165">
        <f>=(营业收入及税金表!K7*营业收入及税金表!K9*营业收入及税金表!K10)*0.06/10000</f>
        <v>40.7261639573019</v>
      </c>
      <c r="L9" s="165">
        <f>=(营业收入及税金表!L7*营业收入及税金表!L9*营业收入及税金表!L10)*0.06/10000</f>
        <v>40.5225331375154</v>
      </c>
      <c r="M9" s="165">
        <f>=(营业收入及税金表!M7*营业收入及税金表!M9*营业收入及税金表!M10)*0.06/10000</f>
        <v>40.3199204718278</v>
      </c>
      <c r="N9" s="165">
        <f>=(营业收入及税金表!N7*营业收入及税金表!N9*营业收入及税金表!N10)*0.06/10000</f>
        <v>40.1183208694686</v>
      </c>
      <c r="O9" s="165">
        <f>=(营业收入及税金表!O7*营业收入及税金表!O9*营业收入及税金表!O10)*0.06/10000</f>
        <v>39.9177292651213</v>
      </c>
    </row>
    <row r="10" spans="1:15" s="178" customFormat="true" ht="21" customHeight="true">
      <c r="A10" s="33">
        <v>8</v>
      </c>
      <c r="B10" s="10" t="s">
        <v>223</v>
      </c>
      <c r="C10" s="16">
        <f>=SUM(D10:O10)</f>
        <v>2075.16604247086</v>
      </c>
      <c r="D10" s="165">
        <f>=SUM(D5:D9)</f>
        <v>86.15126052</v>
      </c>
      <c r="E10" s="165">
        <f>=SUM(E5:E9)</f>
        <v>172.4801184348</v>
      </c>
      <c r="F10" s="165">
        <f>=SUM(F5:F9)</f>
        <v>172.310270342626</v>
      </c>
      <c r="G10" s="165">
        <f>=SUM(G5:G9)</f>
        <v>176.612971490913</v>
      </c>
      <c r="H10" s="165">
        <f>=SUM(H5:H9)</f>
        <v>176.455216633458</v>
      </c>
      <c r="I10" s="165">
        <f>=SUM(I5:I9)</f>
        <v>176.948500550291</v>
      </c>
      <c r="J10" s="165">
        <f>=SUM(J5:J9)</f>
        <v>181.48789304754</v>
      </c>
      <c r="K10" s="165">
        <f>=SUM(K5:K9)</f>
        <v>181.333238957302</v>
      </c>
      <c r="L10" s="165">
        <f>=SUM(L5:L9)</f>
        <v>181.179608137515</v>
      </c>
      <c r="M10" s="165">
        <f>=SUM(M5:M9)</f>
        <v>185.284495471828</v>
      </c>
      <c r="N10" s="165">
        <f>=SUM(N5:N9)</f>
        <v>190.238270869469</v>
      </c>
      <c r="O10" s="165">
        <f>=SUM(O5:O9)</f>
        <v>194.684198015121</v>
      </c>
    </row>
    <row r="11" spans="1:15" s="178" customFormat="true" ht="15" customHeight="true">
      <c r="A11" s="33">
        <v>9</v>
      </c>
      <c r="B11" s="10" t="s">
        <v>166</v>
      </c>
      <c r="C11" s="16">
        <f>=SUM(D11:O11)</f>
        <v>4281.46732503889</v>
      </c>
      <c r="D11" s="14">
        <f>=固定资产折旧!F9</f>
        <v>186.150753262561</v>
      </c>
      <c r="E11" s="14">
        <f>=固定资产折旧!G9</f>
        <v>372.301506525121</v>
      </c>
      <c r="F11" s="14">
        <f>=固定资产折旧!H9</f>
        <v>372.301506525121</v>
      </c>
      <c r="G11" s="14">
        <f>=固定资产折旧!I9</f>
        <v>372.301506525121</v>
      </c>
      <c r="H11" s="14">
        <f>=固定资产折旧!J9</f>
        <v>372.301506525121</v>
      </c>
      <c r="I11" s="14">
        <f>=固定资产折旧!K9</f>
        <v>372.301506525121</v>
      </c>
      <c r="J11" s="14">
        <f>=固定资产折旧!L9</f>
        <v>372.301506525121</v>
      </c>
      <c r="K11" s="14">
        <f>=固定资产折旧!M9</f>
        <v>372.301506525121</v>
      </c>
      <c r="L11" s="14">
        <f>=固定资产折旧!N9</f>
        <v>372.301506525121</v>
      </c>
      <c r="M11" s="14">
        <f>=固定资产折旧!O9</f>
        <v>372.301506525121</v>
      </c>
      <c r="N11" s="14">
        <f>=固定资产折旧!P9</f>
        <v>372.301506525121</v>
      </c>
      <c r="O11" s="14">
        <f>=固定资产折旧!Q9</f>
        <v>372.301506525121</v>
      </c>
    </row>
    <row r="12" spans="1:15" s="178" customFormat="true" ht="15" customHeight="true">
      <c r="A12" s="33">
        <v>10</v>
      </c>
      <c r="B12" s="10" t="s">
        <v>224</v>
      </c>
      <c r="C12" s="16" t="s"/>
      <c r="D12" s="14" t="s"/>
      <c r="E12" s="165" t="s"/>
      <c r="F12" s="165" t="s"/>
      <c r="G12" s="165" t="s"/>
      <c r="H12" s="165" t="s"/>
      <c r="I12" s="165" t="s"/>
      <c r="J12" s="165" t="s"/>
      <c r="K12" s="165" t="s"/>
      <c r="L12" s="165" t="s"/>
      <c r="M12" s="165" t="s"/>
      <c r="N12" s="165" t="s"/>
      <c r="O12" s="165" t="s"/>
    </row>
    <row r="13" spans="1:15" s="179" customFormat="true" ht="15" customHeight="true">
      <c r="A13" s="153">
        <v>11</v>
      </c>
      <c r="B13" s="40" t="s">
        <v>193</v>
      </c>
      <c r="C13" s="16">
        <f>=SUM(D13:O13)</f>
        <v>2154.6</v>
      </c>
      <c r="D13" s="16">
        <f>=还本付息表!E9</f>
        <v>171.36</v>
      </c>
      <c r="E13" s="16">
        <f>=还本付息表!F9</f>
        <v>325.08</v>
      </c>
      <c r="F13" s="16">
        <f>=还本付息表!G9</f>
        <v>299.88</v>
      </c>
      <c r="G13" s="16">
        <f>=还本付息表!H9</f>
        <v>273.42</v>
      </c>
      <c r="H13" s="16">
        <f>=还本付息表!I9</f>
        <v>245.7</v>
      </c>
      <c r="I13" s="16">
        <f>=还本付息表!J9</f>
        <v>216.72</v>
      </c>
      <c r="J13" s="16">
        <f>=还本付息表!K9</f>
        <v>186.48</v>
      </c>
      <c r="K13" s="16">
        <f>=还本付息表!L9</f>
        <v>154.98</v>
      </c>
      <c r="L13" s="16">
        <f>=还本付息表!M9</f>
        <v>122.22</v>
      </c>
      <c r="M13" s="16">
        <f>=还本付息表!N9</f>
        <v>79.38</v>
      </c>
      <c r="N13" s="16">
        <f>=还本付息表!O9</f>
        <v>52.92</v>
      </c>
      <c r="O13" s="16">
        <f>=还本付息表!P9</f>
        <v>26.46</v>
      </c>
    </row>
    <row r="14" spans="1:15" s="178" customFormat="true" ht="18.95" customHeight="true">
      <c r="A14" s="33">
        <v>12</v>
      </c>
      <c r="B14" s="10" t="s">
        <v>225</v>
      </c>
      <c r="C14" s="16">
        <f>=SUM(D14:O14)</f>
        <v>8511.23336750976</v>
      </c>
      <c r="D14" s="165">
        <f>=SUM(D10:D13)</f>
        <v>443.662013782561</v>
      </c>
      <c r="E14" s="165">
        <f>=SUM(E10:E13)</f>
        <v>869.861624959921</v>
      </c>
      <c r="F14" s="165">
        <f>=SUM(F10:F13)</f>
        <v>844.491776867747</v>
      </c>
      <c r="G14" s="165">
        <f>=SUM(G10:G13)</f>
        <v>822.334478016034</v>
      </c>
      <c r="H14" s="165">
        <f>=SUM(H10:H13)</f>
        <v>794.456723158579</v>
      </c>
      <c r="I14" s="165">
        <f>=SUM(I10:I13)</f>
        <v>765.970007075412</v>
      </c>
      <c r="J14" s="165">
        <f>=SUM(J10:J13)</f>
        <v>740.269399572661</v>
      </c>
      <c r="K14" s="165">
        <f>=SUM(K10:K13)</f>
        <v>708.614745482423</v>
      </c>
      <c r="L14" s="165">
        <f>=SUM(L10:L13)</f>
        <v>675.701114662636</v>
      </c>
      <c r="M14" s="165">
        <f>=SUM(M10:M13)</f>
        <v>636.966001996949</v>
      </c>
      <c r="N14" s="165">
        <f>=SUM(N10:N13)</f>
        <v>615.45977739459</v>
      </c>
      <c r="O14" s="165">
        <f>=SUM(O10:O13)</f>
        <v>593.445704540243</v>
      </c>
    </row>
    <row r="15" spans="1:15" s="178" customFormat="true" ht="15" customHeight="true">
      <c r="A15" s="166">
        <v>12.1</v>
      </c>
      <c r="B15" s="10" t="s">
        <v>226</v>
      </c>
      <c r="C15" s="16">
        <f>=SUM(D15:O15)</f>
        <v>6591.48232503889</v>
      </c>
      <c r="D15" s="165">
        <f>=D8+D11+D12+D13</f>
        <v>364.010753262561</v>
      </c>
      <c r="E15" s="165">
        <f>=E8+E11+E12+E13</f>
        <v>710.381506525121</v>
      </c>
      <c r="F15" s="165">
        <f>=F8+F11+F12+F13</f>
        <v>685.181506525121</v>
      </c>
      <c r="G15" s="165">
        <f>=G8+G11+G12+G13</f>
        <v>658.721506525121</v>
      </c>
      <c r="H15" s="165">
        <f>=H8+H11+H12+H13</f>
        <v>631.001506525121</v>
      </c>
      <c r="I15" s="165">
        <f>=I8+I11+I12+I13</f>
        <v>602.671506525121</v>
      </c>
      <c r="J15" s="165">
        <f>=J8+J11+J12+J13</f>
        <v>572.431506525121</v>
      </c>
      <c r="K15" s="165">
        <f>=K8+K11+K12+K13</f>
        <v>540.931506525121</v>
      </c>
      <c r="L15" s="165">
        <f>=L8+L11+L12+L13</f>
        <v>508.171506525121</v>
      </c>
      <c r="M15" s="165">
        <f>=M8+M11+M12+M13</f>
        <v>465.331506525121</v>
      </c>
      <c r="N15" s="165">
        <f>=N8+N11+N12+N13</f>
        <v>439.554006525121</v>
      </c>
      <c r="O15" s="165">
        <f>=O8+O11+O12+O13</f>
        <v>413.094006525121</v>
      </c>
    </row>
    <row r="16" spans="1:15" s="178" customFormat="true" ht="15" customHeight="true">
      <c r="A16" s="166">
        <v>12.2</v>
      </c>
      <c r="B16" s="10" t="s">
        <v>227</v>
      </c>
      <c r="C16" s="16">
        <f>=SUM(D16:O16)</f>
        <v>1081.40626875</v>
      </c>
      <c r="D16" s="14">
        <f>=D5+D6</f>
        <v>43.846</v>
      </c>
      <c r="E16" s="14">
        <f>=E5+E6</f>
        <v>88.0805</v>
      </c>
      <c r="F16" s="14">
        <f>=F5+F6</f>
        <v>88.1205</v>
      </c>
      <c r="G16" s="14">
        <f>=G5+G6</f>
        <v>91.1605</v>
      </c>
      <c r="H16" s="14">
        <f>=H5+H6</f>
        <v>91.2105</v>
      </c>
      <c r="I16" s="14">
        <f>=I5+I6</f>
        <v>91.2605</v>
      </c>
      <c r="J16" s="14">
        <f>=J5+J6</f>
        <v>94.4605</v>
      </c>
      <c r="K16" s="14">
        <f>=K5+K6</f>
        <v>94.5105</v>
      </c>
      <c r="L16" s="14">
        <f>=L5+L6</f>
        <v>94.5605</v>
      </c>
      <c r="M16" s="14">
        <f>=M5+M6</f>
        <v>97.868</v>
      </c>
      <c r="N16" s="14">
        <f>=N5+N6</f>
        <v>101.340875</v>
      </c>
      <c r="O16" s="14">
        <f>=O5+O6</f>
        <v>104.98739375</v>
      </c>
    </row>
  </sheetData>
  <mergeCells count="5">
    <mergeCell ref="A1:M1"/>
    <mergeCell ref="A3:A4"/>
    <mergeCell ref="B3:B4"/>
    <mergeCell ref="C3:C4"/>
    <mergeCell ref="D3:O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>
  <sheetPr/>
  <dimension ref="O26"/>
  <sheetViews>
    <sheetView showGridLines="true" zoomScale="120" zoomScaleNormal="120" workbookViewId="0"/>
  </sheetViews>
  <sheetFormatPr defaultColWidth="9" defaultRowHeight="14"/>
  <cols>
    <col min="1" max="1" width="3.62727" customWidth="true"/>
    <col min="2" max="2" width="26.5091" customWidth="true"/>
    <col min="3" max="3" width="9.93636" style="170" customWidth="true"/>
    <col min="4" max="4" width="7.5" style="170" customWidth="true"/>
    <col min="5" max="13" width="8.23636" customWidth="true"/>
    <col min="14" max="14" width="11.5182" customWidth="true"/>
  </cols>
  <sheetData>
    <row r="1" spans="1:13" ht="27" customHeight="true">
      <c r="A1" s="4" t="s">
        <v>1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</row>
    <row r="2" spans="11:11">
      <c r="K2" t="s">
        <v>2</v>
      </c>
    </row>
    <row r="3" spans="1:15">
      <c r="A3" s="5" t="s">
        <v>3</v>
      </c>
      <c r="B3" s="6" t="s"/>
      <c r="C3" s="7" t="s"/>
      <c r="D3" s="8" t="s">
        <v>4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</row>
    <row r="4" spans="1:15">
      <c r="A4" s="5" t="s"/>
      <c r="B4" s="10" t="s">
        <v>5</v>
      </c>
      <c r="C4" s="10" t="s">
        <v>6</v>
      </c>
      <c r="D4" s="11">
        <v>0.5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</row>
    <row r="5" spans="1:15" ht="12" customHeight="true">
      <c r="A5" s="13">
        <v>1</v>
      </c>
      <c r="B5" s="10" t="s">
        <v>7</v>
      </c>
      <c r="C5" s="14">
        <f>=SUM(D5:O5)</f>
        <v>14274.1130213947</v>
      </c>
      <c r="D5" s="14">
        <f>=营业收入及税金表!D5</f>
        <v>621.10243152</v>
      </c>
      <c r="E5" s="14">
        <f>=营业收入及税金表!E5</f>
        <v>1243.0444387248</v>
      </c>
      <c r="F5" s="14">
        <f>=营业收入及税金表!F5</f>
        <v>1243.89385653118</v>
      </c>
      <c r="G5" s="14">
        <f>=营业收入及税金表!G5</f>
        <v>1244.75306724852</v>
      </c>
      <c r="H5" s="14">
        <f>=营业收入及税金表!H5</f>
        <v>1245.62202191228</v>
      </c>
      <c r="I5" s="14">
        <f>=营业收入及税金表!I5</f>
        <v>1245.09667180272</v>
      </c>
      <c r="J5" s="14">
        <f>=营业收入及税金表!J5</f>
        <v>1243.1769684437</v>
      </c>
      <c r="K5" s="14">
        <f>=营业收入及税金表!K5</f>
        <v>1241.26686360148</v>
      </c>
      <c r="L5" s="14">
        <f>=营业收入及税金表!L5</f>
        <v>1239.36630928348</v>
      </c>
      <c r="M5" s="14">
        <f>=营业收入及税金表!M5</f>
        <v>1237.47525773706</v>
      </c>
      <c r="N5" s="14">
        <f>=营业收入及税金表!N5</f>
        <v>1235.59366144837</v>
      </c>
      <c r="O5" s="14">
        <f>=营业收入及税金表!O5</f>
        <v>1233.72147314113</v>
      </c>
    </row>
    <row r="6" spans="1:15" ht="12" customHeight="true">
      <c r="A6" s="13">
        <v>2</v>
      </c>
      <c r="B6" s="10" t="s">
        <v>8</v>
      </c>
      <c r="C6" s="14">
        <f>=SUM(D6:O6)</f>
        <v>178.827876778131</v>
      </c>
      <c r="D6" s="15">
        <f>=营业收入及税金表!D22</f>
        <v>7.80775360976</v>
      </c>
      <c r="E6" s="15">
        <f>=营业收入及税金表!E22</f>
        <v>15.6101392034224</v>
      </c>
      <c r="F6" s="15">
        <f>=营业收入及税金表!F22</f>
        <v>15.6094296349053</v>
      </c>
      <c r="G6" s="15">
        <f>=营业收入及税金表!G22</f>
        <v>15.6088473742308</v>
      </c>
      <c r="H6" s="15">
        <f>=营业收入及税金表!H22</f>
        <v>15.6082617848596</v>
      </c>
      <c r="I6" s="15">
        <f>=营业收入及税金表!I22</f>
        <v>15.5893162334353</v>
      </c>
      <c r="J6" s="15">
        <f>=营业收入及税金表!J22</f>
        <v>15.5637100897681</v>
      </c>
      <c r="K6" s="15">
        <f>=营业收入及税金表!K22</f>
        <v>15.5382287268193</v>
      </c>
      <c r="L6" s="15">
        <f>=营业收入及税金表!L22</f>
        <v>15.5128715206852</v>
      </c>
      <c r="M6" s="15">
        <f>=营业收入及税金表!M22</f>
        <v>15.4882878505818</v>
      </c>
      <c r="N6" s="15">
        <f>=营业收入及税金表!N22</f>
        <v>15.4576845988289</v>
      </c>
      <c r="O6" s="15">
        <f>=营业收入及税金表!O22</f>
        <v>15.4333461508347</v>
      </c>
    </row>
    <row r="7" spans="1:15" ht="12" customHeight="true">
      <c r="A7" s="13">
        <v>3</v>
      </c>
      <c r="B7" s="10" t="s">
        <v>9</v>
      </c>
      <c r="C7" s="14">
        <f>=SUM(D7:O7)</f>
        <v>1788.27876778131</v>
      </c>
      <c r="D7" s="14">
        <f>=营业收入及税金表!D27</f>
        <v>78.0775360976</v>
      </c>
      <c r="E7" s="14">
        <f>=营业收入及税金表!E27</f>
        <v>156.101392034224</v>
      </c>
      <c r="F7" s="14">
        <f>=营业收入及税金表!F27</f>
        <v>156.094296349053</v>
      </c>
      <c r="G7" s="14">
        <f>=营业收入及税金表!G27</f>
        <v>156.088473742308</v>
      </c>
      <c r="H7" s="14">
        <f>=营业收入及税金表!H27</f>
        <v>156.082617848596</v>
      </c>
      <c r="I7" s="14">
        <f>=营业收入及税金表!I27</f>
        <v>155.893162334353</v>
      </c>
      <c r="J7" s="14">
        <f>=营业收入及税金表!J27</f>
        <v>155.637100897681</v>
      </c>
      <c r="K7" s="14">
        <f>=营业收入及税金表!K27</f>
        <v>155.382287268193</v>
      </c>
      <c r="L7" s="14">
        <f>=营业收入及税金表!L27</f>
        <v>155.128715206852</v>
      </c>
      <c r="M7" s="14">
        <f>=营业收入及税金表!M27</f>
        <v>154.882878505818</v>
      </c>
      <c r="N7" s="14">
        <f>=营业收入及税金表!N27</f>
        <v>154.576845988289</v>
      </c>
      <c r="O7" s="14">
        <f>=营业收入及税金表!O27</f>
        <v>154.333461508347</v>
      </c>
    </row>
    <row r="8" spans="1:15" ht="12" customHeight="true">
      <c r="A8" s="13">
        <v>4</v>
      </c>
      <c r="B8" s="10" t="s">
        <v>10</v>
      </c>
      <c r="C8" s="14">
        <f>=SUM(D8:O8)</f>
        <v>8511.23336750976</v>
      </c>
      <c r="D8" s="14">
        <f>=总成本费用表!D14</f>
        <v>443.662013782561</v>
      </c>
      <c r="E8" s="14">
        <f>=总成本费用表!E14</f>
        <v>869.861624959921</v>
      </c>
      <c r="F8" s="14">
        <f>=总成本费用表!F14</f>
        <v>844.491776867747</v>
      </c>
      <c r="G8" s="14">
        <f>=总成本费用表!G14</f>
        <v>822.334478016034</v>
      </c>
      <c r="H8" s="14">
        <f>=总成本费用表!H14</f>
        <v>794.456723158579</v>
      </c>
      <c r="I8" s="14">
        <f>=总成本费用表!I14</f>
        <v>765.970007075412</v>
      </c>
      <c r="J8" s="14">
        <f>=总成本费用表!J14</f>
        <v>740.269399572661</v>
      </c>
      <c r="K8" s="14">
        <f>=总成本费用表!K14</f>
        <v>708.614745482423</v>
      </c>
      <c r="L8" s="14">
        <f>=总成本费用表!L14</f>
        <v>675.701114662636</v>
      </c>
      <c r="M8" s="14">
        <f>=总成本费用表!M14</f>
        <v>636.966001996949</v>
      </c>
      <c r="N8" s="14">
        <f>=总成本费用表!N14</f>
        <v>615.45977739459</v>
      </c>
      <c r="O8" s="14">
        <f>=总成本费用表!O14</f>
        <v>593.445704540243</v>
      </c>
    </row>
    <row r="9" spans="1:15" ht="12" customHeight="true">
      <c r="A9" s="13">
        <v>5</v>
      </c>
      <c r="B9" s="10" t="s">
        <v>11</v>
      </c>
      <c r="C9" s="14" t="s"/>
      <c r="D9" s="14" t="s"/>
      <c r="E9" s="14" t="s"/>
      <c r="F9" s="14" t="s"/>
      <c r="G9" s="14" t="s"/>
      <c r="H9" s="14" t="s"/>
      <c r="I9" s="14" t="s"/>
      <c r="J9" s="14" t="s"/>
      <c r="K9" s="14" t="s"/>
      <c r="L9" s="14" t="s"/>
      <c r="M9" s="14" t="s"/>
      <c r="N9" s="14" t="s"/>
      <c r="O9" s="14" t="s"/>
    </row>
    <row r="10" spans="1:15" ht="12" customHeight="true">
      <c r="A10" s="13">
        <v>6</v>
      </c>
      <c r="B10" s="5" t="s">
        <v>12</v>
      </c>
      <c r="C10" s="14">
        <f>=SUM(D10:O10)</f>
        <v>3795.77300932552</v>
      </c>
      <c r="D10" s="16">
        <f>=D5-D6-D7-D8+D9</f>
        <v>91.5551280300795</v>
      </c>
      <c r="E10" s="16">
        <f>=E5-E6-E7-E8+E9</f>
        <v>201.471282527233</v>
      </c>
      <c r="F10" s="16">
        <f>=F5-F6-F7-F8+F9</f>
        <v>227.698353679471</v>
      </c>
      <c r="G10" s="14">
        <f>=G5-G6-G7-G8+G9</f>
        <v>250.721268115948</v>
      </c>
      <c r="H10" s="14">
        <f>=H5-H6-H7-H8+H9</f>
        <v>279.474419120242</v>
      </c>
      <c r="I10" s="14">
        <f>=I5-I6-I7-I8+I9</f>
        <v>307.644186159516</v>
      </c>
      <c r="J10" s="14">
        <f>=J5-J6-J7-J8+J9</f>
        <v>331.706757883593</v>
      </c>
      <c r="K10" s="14">
        <f>=K5-K6-K7-K8+K9</f>
        <v>361.731602124049</v>
      </c>
      <c r="L10" s="14">
        <f>=L5-L6-L7-L8+L9</f>
        <v>393.023607893303</v>
      </c>
      <c r="M10" s="14">
        <f>=M5-M6-M7-M8+M9</f>
        <v>430.138089383711</v>
      </c>
      <c r="N10" s="14">
        <f>=N5-N6-N7-N8+N9</f>
        <v>450.099353466667</v>
      </c>
      <c r="O10" s="14">
        <f>=O5-O6-O7-O8+O9</f>
        <v>470.508960941708</v>
      </c>
    </row>
    <row r="11" spans="1:15" ht="12" customHeight="true">
      <c r="A11" s="13">
        <v>7</v>
      </c>
      <c r="B11" s="5" t="s">
        <v>13</v>
      </c>
      <c r="C11" s="14" t="s"/>
      <c r="D11" s="16" t="s"/>
      <c r="E11" s="16" t="s"/>
      <c r="F11" s="16" t="s"/>
      <c r="G11" s="14" t="s"/>
      <c r="H11" s="14" t="s"/>
      <c r="I11" s="14" t="s"/>
      <c r="J11" s="14" t="s"/>
      <c r="K11" s="14" t="s"/>
      <c r="L11" s="14" t="s"/>
      <c r="M11" s="14" t="s"/>
      <c r="N11" s="14" t="s"/>
      <c r="O11" s="14" t="s"/>
    </row>
    <row r="12" spans="1:15" ht="12" customHeight="true">
      <c r="A12" s="13">
        <v>8</v>
      </c>
      <c r="B12" s="5" t="s">
        <v>14</v>
      </c>
      <c r="C12" s="14">
        <f>=SUM(D12:O12)</f>
        <v>3795.77300932552</v>
      </c>
      <c r="D12" s="17">
        <f>=D10-D11</f>
        <v>91.5551280300795</v>
      </c>
      <c r="E12" s="16">
        <f>=E10-E11</f>
        <v>201.471282527233</v>
      </c>
      <c r="F12" s="16">
        <f>=F10-F11</f>
        <v>227.698353679471</v>
      </c>
      <c r="G12" s="16">
        <f>=G10-G11</f>
        <v>250.721268115948</v>
      </c>
      <c r="H12" s="16">
        <f>=H10-H11</f>
        <v>279.474419120242</v>
      </c>
      <c r="I12" s="14">
        <f>=I10-I11</f>
        <v>307.644186159516</v>
      </c>
      <c r="J12" s="14">
        <f>=J10-J11</f>
        <v>331.706757883593</v>
      </c>
      <c r="K12" s="14">
        <f>=K10-K11</f>
        <v>361.731602124049</v>
      </c>
      <c r="L12" s="14">
        <f>=L10-L11</f>
        <v>393.023607893303</v>
      </c>
      <c r="M12" s="14">
        <f>=M10-M11</f>
        <v>430.138089383711</v>
      </c>
      <c r="N12" s="14">
        <f>=N10-N11</f>
        <v>450.099353466667</v>
      </c>
      <c r="O12" s="14">
        <f>=O10-O11</f>
        <v>470.508960941708</v>
      </c>
    </row>
    <row r="13" spans="1:15" ht="12" customHeight="true">
      <c r="A13" s="13">
        <v>9</v>
      </c>
      <c r="B13" s="10" t="s">
        <v>15</v>
      </c>
      <c r="C13" s="14">
        <f>=SUM(D13:O13)</f>
        <v>948.94325233138</v>
      </c>
      <c r="D13" s="16">
        <f>=D12*0.25</f>
        <v>22.8887820075199</v>
      </c>
      <c r="E13" s="16">
        <f>=E12*0.25</f>
        <v>50.3678206318082</v>
      </c>
      <c r="F13" s="16">
        <f>=F12*0.25</f>
        <v>56.9245884198677</v>
      </c>
      <c r="G13" s="16">
        <f>=G12*0.25</f>
        <v>62.680317028987</v>
      </c>
      <c r="H13" s="16">
        <f>=H12*0.25</f>
        <v>69.8686047800606</v>
      </c>
      <c r="I13" s="14">
        <f>=I12*0.25</f>
        <v>76.911046539879</v>
      </c>
      <c r="J13" s="14">
        <f>=J12*0.25</f>
        <v>82.9266894708982</v>
      </c>
      <c r="K13" s="14">
        <f>=K12*0.25</f>
        <v>90.4329005310122</v>
      </c>
      <c r="L13" s="14">
        <f>=L12*0.25</f>
        <v>98.2559019733258</v>
      </c>
      <c r="M13" s="14">
        <f>=M12*0.25</f>
        <v>107.534522345928</v>
      </c>
      <c r="N13" s="14">
        <f>=N12*0.25</f>
        <v>112.524838366667</v>
      </c>
      <c r="O13" s="14">
        <f>=O12*0.25</f>
        <v>117.627240235427</v>
      </c>
    </row>
    <row r="14" spans="1:15" ht="12" customHeight="true">
      <c r="A14" s="13">
        <v>10</v>
      </c>
      <c r="B14" s="5" t="s">
        <v>16</v>
      </c>
      <c r="C14" s="14">
        <f>=SUM(D14:O14)</f>
        <v>2846.82975699414</v>
      </c>
      <c r="D14" s="16">
        <f>=D10-D11-D13</f>
        <v>68.6663460225596</v>
      </c>
      <c r="E14" s="16">
        <f>=E10-E11-E13</f>
        <v>151.103461895425</v>
      </c>
      <c r="F14" s="16">
        <f>=F10-F11-F13</f>
        <v>170.773765259603</v>
      </c>
      <c r="G14" s="16">
        <f>=G10-G11-G13</f>
        <v>188.040951086961</v>
      </c>
      <c r="H14" s="16">
        <f>=H10-H11-H13</f>
        <v>209.605814340182</v>
      </c>
      <c r="I14" s="16">
        <f>=I10-I11-I13</f>
        <v>230.733139619637</v>
      </c>
      <c r="J14" s="16">
        <f>=J10-J11-J13</f>
        <v>248.780068412694</v>
      </c>
      <c r="K14" s="16">
        <f>=K10-K11-K13</f>
        <v>271.298701593037</v>
      </c>
      <c r="L14" s="16">
        <f>=L10-L11-L13</f>
        <v>294.767705919977</v>
      </c>
      <c r="M14" s="16">
        <f>=M10-M11-M13</f>
        <v>322.603567037783</v>
      </c>
      <c r="N14" s="16">
        <f>=N10-N11-N13</f>
        <v>337.5745151</v>
      </c>
      <c r="O14" s="16">
        <f>=O10-O11-O13</f>
        <v>352.881720706281</v>
      </c>
    </row>
    <row r="15" spans="1:15" ht="12" customHeight="true">
      <c r="A15" s="13">
        <v>11</v>
      </c>
      <c r="B15" s="5" t="s">
        <v>17</v>
      </c>
      <c r="C15" s="14">
        <f>=SUM(D15:O15)</f>
        <v>11119.9278372343</v>
      </c>
      <c r="D15" s="16">
        <v>0</v>
      </c>
      <c r="E15" s="16">
        <f>=D24</f>
        <v>61.7997114203037</v>
      </c>
      <c r="F15" s="16">
        <f>=E24</f>
        <v>197.792827126186</v>
      </c>
      <c r="G15" s="16">
        <f>=F24</f>
        <v>351.489215859829</v>
      </c>
      <c r="H15" s="16">
        <f>=G24</f>
        <v>520.726071838094</v>
      </c>
      <c r="I15" s="16">
        <f>=H24</f>
        <v>709.371304744257</v>
      </c>
      <c r="J15" s="16">
        <f>=I24</f>
        <v>917.03113040193</v>
      </c>
      <c r="K15" s="16">
        <f>=J24</f>
        <v>1140.93319197336</v>
      </c>
      <c r="L15" s="16">
        <f>=K24</f>
        <v>1385.10202340709</v>
      </c>
      <c r="M15" s="16">
        <f>=L24</f>
        <v>1650.39295873507</v>
      </c>
      <c r="N15" s="16">
        <f>=M24</f>
        <v>1940.73616906907</v>
      </c>
      <c r="O15" s="16">
        <f>=N24</f>
        <v>2244.55323265907</v>
      </c>
    </row>
    <row r="16" spans="1:15" ht="12" customHeight="true">
      <c r="A16" s="13">
        <v>12</v>
      </c>
      <c r="B16" s="5" t="s">
        <v>18</v>
      </c>
      <c r="C16" s="14">
        <f>=SUM(D16:O16)</f>
        <v>13966.7575942284</v>
      </c>
      <c r="D16" s="16">
        <f>=D14+D15+D11</f>
        <v>68.6663460225596</v>
      </c>
      <c r="E16" s="16">
        <f>=E14+E15+E11</f>
        <v>212.903173315728</v>
      </c>
      <c r="F16" s="16">
        <f>=F14+F15+F11</f>
        <v>368.566592385789</v>
      </c>
      <c r="G16" s="16">
        <f>=G14+G15+G11</f>
        <v>539.53016694679</v>
      </c>
      <c r="H16" s="16">
        <f>=H14+H15+H11</f>
        <v>730.331886178275</v>
      </c>
      <c r="I16" s="16">
        <f>=I14+I15+I11</f>
        <v>940.104444363894</v>
      </c>
      <c r="J16" s="16">
        <f>=J14+J15+J11</f>
        <v>1165.81119881463</v>
      </c>
      <c r="K16" s="16">
        <f>=K14+K15+K11</f>
        <v>1412.23189356639</v>
      </c>
      <c r="L16" s="16">
        <f>=L14+L15+L11</f>
        <v>1679.86972932707</v>
      </c>
      <c r="M16" s="16">
        <f>=M14+M15+M11</f>
        <v>1972.99652577285</v>
      </c>
      <c r="N16" s="16">
        <f>=N14+N15+N11</f>
        <v>2278.31068416907</v>
      </c>
      <c r="O16" s="16">
        <f>=O14+O15+O11</f>
        <v>2597.43495336535</v>
      </c>
    </row>
    <row r="17" spans="1:15" ht="12" customHeight="true">
      <c r="A17" s="13">
        <v>13</v>
      </c>
      <c r="B17" s="5" t="s">
        <v>19</v>
      </c>
      <c r="C17" s="14">
        <f>=SUM(D17:O17)</f>
        <v>284.682975699414</v>
      </c>
      <c r="D17" s="16">
        <f>=D14*0.1</f>
        <v>6.86663460225596</v>
      </c>
      <c r="E17" s="16">
        <f>=E14*0.1</f>
        <v>15.1103461895425</v>
      </c>
      <c r="F17" s="16">
        <f>=F14*0.1</f>
        <v>17.0773765259603</v>
      </c>
      <c r="G17" s="16">
        <f>=G14*0.1</f>
        <v>18.8040951086961</v>
      </c>
      <c r="H17" s="16">
        <f>=H14*0.1</f>
        <v>20.9605814340182</v>
      </c>
      <c r="I17" s="16">
        <f>=I14*0.1</f>
        <v>23.0733139619637</v>
      </c>
      <c r="J17" s="16">
        <f>=J14*0.1</f>
        <v>24.8780068412694</v>
      </c>
      <c r="K17" s="16">
        <f>=K14*0.1</f>
        <v>27.1298701593037</v>
      </c>
      <c r="L17" s="16">
        <f>=L14*0.1</f>
        <v>29.4767705919977</v>
      </c>
      <c r="M17" s="16">
        <f>=M14*0.1</f>
        <v>32.2603567037783</v>
      </c>
      <c r="N17" s="16">
        <f>=N14*0.1</f>
        <v>33.75745151</v>
      </c>
      <c r="O17" s="16">
        <f>=O14*0.1</f>
        <v>35.2881720706281</v>
      </c>
    </row>
    <row r="18" spans="1:15" ht="12" customHeight="true">
      <c r="A18" s="13">
        <v>14</v>
      </c>
      <c r="B18" s="10" t="s">
        <v>20</v>
      </c>
      <c r="C18" s="14">
        <f>=SUM(D18:O18)</f>
        <v>13682.074618529</v>
      </c>
      <c r="D18" s="14">
        <f>=D16-D17</f>
        <v>61.7997114203037</v>
      </c>
      <c r="E18" s="14">
        <f>=E16-E17</f>
        <v>197.792827126186</v>
      </c>
      <c r="F18" s="14">
        <f>=F16-F17</f>
        <v>351.489215859829</v>
      </c>
      <c r="G18" s="14">
        <f>=G16-G17</f>
        <v>520.726071838094</v>
      </c>
      <c r="H18" s="14">
        <f>=H16-H17</f>
        <v>709.371304744257</v>
      </c>
      <c r="I18" s="14">
        <f>=I16-I17</f>
        <v>917.03113040193</v>
      </c>
      <c r="J18" s="14">
        <f>=J16-J17</f>
        <v>1140.93319197336</v>
      </c>
      <c r="K18" s="14">
        <f>=K16-K17</f>
        <v>1385.10202340709</v>
      </c>
      <c r="L18" s="14">
        <f>=L16-L17</f>
        <v>1650.39295873507</v>
      </c>
      <c r="M18" s="14">
        <f>=M16-M17</f>
        <v>1940.73616906907</v>
      </c>
      <c r="N18" s="14">
        <f>=N16-N17</f>
        <v>2244.55323265907</v>
      </c>
      <c r="O18" s="14">
        <f>=O16-O17</f>
        <v>2562.14678129473</v>
      </c>
    </row>
    <row r="19" spans="1:15" ht="12" customHeight="true">
      <c r="A19" s="13">
        <v>15</v>
      </c>
      <c r="B19" s="5" t="s">
        <v>21</v>
      </c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</row>
    <row r="20" spans="1:15" ht="12" customHeight="true">
      <c r="A20" s="13">
        <v>16</v>
      </c>
      <c r="B20" s="5" t="s">
        <v>22</v>
      </c>
      <c r="C20" s="14" t="s"/>
      <c r="D20" s="14" t="s"/>
      <c r="E20" s="14" t="s"/>
      <c r="F20" s="14" t="s"/>
      <c r="G20" s="14" t="s"/>
      <c r="H20" s="14" t="s"/>
      <c r="I20" s="14" t="s"/>
      <c r="J20" s="14" t="s"/>
      <c r="K20" s="14" t="s"/>
      <c r="L20" s="14" t="s"/>
      <c r="M20" s="14" t="s"/>
      <c r="N20" s="14" t="s"/>
      <c r="O20" s="14" t="s"/>
    </row>
    <row r="21" spans="1:15" ht="12" customHeight="true">
      <c r="A21" s="13">
        <v>17</v>
      </c>
      <c r="B21" s="5" t="s">
        <v>23</v>
      </c>
      <c r="C21" s="14" t="s"/>
      <c r="D21" s="14" t="s"/>
      <c r="E21" s="14" t="s"/>
      <c r="F21" s="14" t="s"/>
      <c r="G21" s="14" t="s"/>
      <c r="H21" s="14" t="s"/>
      <c r="I21" s="14" t="s"/>
      <c r="J21" s="14" t="s"/>
      <c r="K21" s="14" t="s"/>
      <c r="L21" s="14" t="s"/>
      <c r="M21" s="14" t="s"/>
      <c r="N21" s="14" t="s"/>
      <c r="O21" s="14" t="s"/>
    </row>
    <row r="22" spans="1:15" ht="12" customHeight="true">
      <c r="A22" s="13">
        <v>18</v>
      </c>
      <c r="B22" s="5" t="s">
        <v>24</v>
      </c>
      <c r="C22" s="14" t="s"/>
      <c r="D22" s="14" t="s"/>
      <c r="E22" s="14" t="s"/>
      <c r="F22" s="14" t="s"/>
      <c r="G22" s="14" t="s"/>
      <c r="H22" s="14" t="s"/>
      <c r="I22" s="14" t="s"/>
      <c r="J22" s="14" t="s"/>
      <c r="K22" s="14" t="s"/>
      <c r="L22" s="14" t="s"/>
      <c r="M22" s="14" t="s"/>
      <c r="N22" s="14" t="s"/>
      <c r="O22" s="14" t="s"/>
    </row>
    <row r="23" spans="1:15" ht="12" customHeight="true">
      <c r="A23" s="13" t="s"/>
      <c r="B23" s="5" t="s">
        <v>25</v>
      </c>
      <c r="C23" s="14" t="s"/>
      <c r="D23" s="14" t="s"/>
      <c r="E23" s="14" t="s"/>
      <c r="F23" s="14" t="s"/>
      <c r="G23" s="14" t="s"/>
      <c r="H23" s="14" t="s"/>
      <c r="I23" s="14" t="s"/>
      <c r="J23" s="14" t="s"/>
      <c r="K23" s="14" t="s"/>
      <c r="L23" s="14" t="s"/>
      <c r="M23" s="14" t="s"/>
      <c r="N23" s="14" t="s"/>
      <c r="O23" s="14" t="s"/>
    </row>
    <row r="24" spans="1:15" ht="12" customHeight="true">
      <c r="A24" s="13">
        <v>19</v>
      </c>
      <c r="B24" s="10" t="s">
        <v>26</v>
      </c>
      <c r="C24" s="14">
        <f>=SUM(D24:O24)</f>
        <v>13682.074618529</v>
      </c>
      <c r="D24" s="14">
        <f>=D18-D19-D20-D21-D22</f>
        <v>61.7997114203037</v>
      </c>
      <c r="E24" s="14">
        <f>=E18-E19-E20-E21-E22</f>
        <v>197.792827126186</v>
      </c>
      <c r="F24" s="14">
        <f>=F18-F19-F20-F21-F22</f>
        <v>351.489215859829</v>
      </c>
      <c r="G24" s="14">
        <f>=G18-G19-G20-G21-G22</f>
        <v>520.726071838094</v>
      </c>
      <c r="H24" s="14">
        <f>=H18-H19-H20-H21-H22</f>
        <v>709.371304744257</v>
      </c>
      <c r="I24" s="14">
        <f>=I18-I19-I20-I21-I22</f>
        <v>917.03113040193</v>
      </c>
      <c r="J24" s="14">
        <f>=J18-J19-J20-J21-J22</f>
        <v>1140.93319197336</v>
      </c>
      <c r="K24" s="14">
        <f>=K18-K19-K20-K21-K22</f>
        <v>1385.10202340709</v>
      </c>
      <c r="L24" s="14">
        <f>=L18-L19-L20-L21-L22</f>
        <v>1650.39295873507</v>
      </c>
      <c r="M24" s="14">
        <f>=M18-M19-M20-M21-M22</f>
        <v>1940.73616906907</v>
      </c>
      <c r="N24" s="14">
        <f>=N18-N19-N20-N21-N22</f>
        <v>2244.55323265907</v>
      </c>
      <c r="O24" s="14">
        <f>=O18-O19-O20-O21-O22</f>
        <v>2562.14678129473</v>
      </c>
    </row>
    <row r="25" spans="1:15" ht="12" customHeight="true">
      <c r="A25" s="13">
        <v>20</v>
      </c>
      <c r="B25" s="10" t="s">
        <v>27</v>
      </c>
      <c r="C25" s="14">
        <f>=SUM(D25:O25)</f>
        <v>5950.37300932552</v>
      </c>
      <c r="D25" s="14">
        <f>=D10+总成本费用表!D13</f>
        <v>262.91512803008</v>
      </c>
      <c r="E25" s="14">
        <f>=E10+总成本费用表!E13</f>
        <v>526.551282527233</v>
      </c>
      <c r="F25" s="14">
        <f>=F10+总成本费用表!F13</f>
        <v>527.578353679471</v>
      </c>
      <c r="G25" s="14">
        <f>=G10+总成本费用表!G13</f>
        <v>524.141268115948</v>
      </c>
      <c r="H25" s="14">
        <f>=H10+总成本费用表!H13</f>
        <v>525.174419120243</v>
      </c>
      <c r="I25" s="14">
        <f>=I10+总成本费用表!I13</f>
        <v>524.364186159516</v>
      </c>
      <c r="J25" s="14">
        <f>=J10+总成本费用表!J13</f>
        <v>518.186757883593</v>
      </c>
      <c r="K25" s="14">
        <f>=K10+总成本费用表!K13</f>
        <v>516.711602124049</v>
      </c>
      <c r="L25" s="14">
        <f>=L10+总成本费用表!L13</f>
        <v>515.243607893303</v>
      </c>
      <c r="M25" s="14">
        <f>=M10+总成本费用表!M13</f>
        <v>509.518089383711</v>
      </c>
      <c r="N25" s="14">
        <f>=N10+总成本费用表!N13</f>
        <v>503.019353466667</v>
      </c>
      <c r="O25" s="14">
        <f>=O10+总成本费用表!O13</f>
        <v>496.968960941708</v>
      </c>
    </row>
    <row r="26" spans="1:15" ht="18" customHeight="true">
      <c r="A26" s="13">
        <v>21</v>
      </c>
      <c r="B26" s="10" t="s">
        <v>28</v>
      </c>
      <c r="C26" s="14">
        <f>=SUM(D26:O26)</f>
        <v>10231.8403343644</v>
      </c>
      <c r="D26" s="14">
        <f>=D25+总成本费用表!D11+总成本费用表!D12</f>
        <v>449.06588129264</v>
      </c>
      <c r="E26" s="14">
        <f>=E25+总成本费用表!E11+总成本费用表!E12</f>
        <v>898.852789052354</v>
      </c>
      <c r="F26" s="14">
        <f>=F25+总成本费用表!F11+总成本费用表!F12</f>
        <v>899.879860204592</v>
      </c>
      <c r="G26" s="14">
        <f>=G25+总成本费用表!G11+总成本费用表!G12</f>
        <v>896.442774641069</v>
      </c>
      <c r="H26" s="14">
        <f>=H25+总成本费用表!H11+总成本费用表!H12</f>
        <v>897.475925645363</v>
      </c>
      <c r="I26" s="14">
        <f>=I25+总成本费用表!I11+总成本费用表!I12</f>
        <v>896.665692684637</v>
      </c>
      <c r="J26" s="14">
        <f>=J25+总成本费用表!J11+总成本费用表!J12</f>
        <v>890.488264408714</v>
      </c>
      <c r="K26" s="14">
        <f>=K25+总成本费用表!K11+总成本费用表!K12</f>
        <v>889.01310864917</v>
      </c>
      <c r="L26" s="14">
        <f>=L25+总成本费用表!L11+总成本费用表!L12</f>
        <v>887.545114418424</v>
      </c>
      <c r="M26" s="14">
        <f>=M25+总成本费用表!M11+总成本费用表!M12</f>
        <v>881.819595908832</v>
      </c>
      <c r="N26" s="14">
        <f>=N25+总成本费用表!N11+总成本费用表!N12</f>
        <v>875.320859991788</v>
      </c>
      <c r="O26" s="14">
        <f>=O25+总成本费用表!O11+总成本费用表!O12</f>
        <v>869.270467466829</v>
      </c>
    </row>
  </sheetData>
  <mergeCells count="3">
    <mergeCell ref="A1:M1"/>
    <mergeCell ref="A3:A4"/>
    <mergeCell ref="D3:O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sheetPr/>
  <dimension ref="N30"/>
  <sheetViews>
    <sheetView showGridLines="true" workbookViewId="0"/>
  </sheetViews>
  <sheetFormatPr defaultColWidth="9" defaultRowHeight="14"/>
  <cols>
    <col min="1" max="1" width="4.12727" customWidth="true"/>
    <col min="2" max="2" width="17.5545" customWidth="true"/>
    <col min="3" max="3" width="9.62727" customWidth="true"/>
    <col min="4" max="13" width="11.5545" customWidth="true"/>
  </cols>
  <sheetData>
    <row r="1" spans="1:13" ht="17.85" customHeight="true">
      <c r="A1" s="4" t="s">
        <v>201</v>
      </c>
      <c r="B1" s="122" t="s"/>
      <c r="C1" s="122" t="s"/>
      <c r="D1" s="122" t="s"/>
      <c r="E1" s="122" t="s"/>
      <c r="F1" s="122" t="s"/>
      <c r="G1" s="122" t="s"/>
      <c r="H1" s="122" t="s"/>
      <c r="I1" s="122" t="s"/>
      <c r="J1" s="122" t="s"/>
      <c r="K1" s="122" t="s"/>
      <c r="L1" s="122" t="s"/>
      <c r="M1" s="122" t="s"/>
    </row>
    <row r="2" spans="13:13">
      <c r="M2" t="s">
        <v>2</v>
      </c>
    </row>
    <row r="3" spans="1:15" s="178" customFormat="true" ht="15" customHeight="true">
      <c r="A3" s="146" t="s">
        <v>3</v>
      </c>
      <c r="B3" s="21" t="s">
        <v>228</v>
      </c>
      <c r="C3" s="147" t="s">
        <v>6</v>
      </c>
      <c r="D3" s="23" t="s">
        <v>68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</row>
    <row r="4" spans="1:15" s="178" customFormat="true" ht="15" customHeight="true">
      <c r="A4" s="146" t="s"/>
      <c r="B4" s="148" t="s"/>
      <c r="C4" s="149" t="s"/>
      <c r="D4" s="150">
        <v>1</v>
      </c>
      <c r="E4" s="150">
        <v>2</v>
      </c>
      <c r="F4" s="150">
        <v>3</v>
      </c>
      <c r="G4" s="150">
        <v>4</v>
      </c>
      <c r="H4" s="150">
        <v>5</v>
      </c>
      <c r="I4" s="150">
        <v>6</v>
      </c>
      <c r="J4" s="150">
        <v>7</v>
      </c>
      <c r="K4" s="150">
        <v>8</v>
      </c>
      <c r="L4" s="150">
        <v>9</v>
      </c>
      <c r="M4" s="150">
        <v>10</v>
      </c>
      <c r="N4" s="150">
        <v>11</v>
      </c>
      <c r="O4" s="150">
        <v>12</v>
      </c>
    </row>
    <row r="5" spans="1:15" s="178" customFormat="true" ht="15" customHeight="true">
      <c r="A5" s="33">
        <v>1</v>
      </c>
      <c r="B5" s="10" t="s">
        <v>171</v>
      </c>
      <c r="C5" s="151">
        <f>=SUM(D5:O5)</f>
        <v>18605.7516888398</v>
      </c>
      <c r="D5" s="152">
        <f>=D6+D7+D8+D9</f>
        <v>1396.28197084356</v>
      </c>
      <c r="E5" s="152">
        <f>=E6+E7+E8+E9</f>
        <v>1243.0444387248</v>
      </c>
      <c r="F5" s="152">
        <f>=F6+F7+F8+F9</f>
        <v>1243.89385653118</v>
      </c>
      <c r="G5" s="152">
        <f>=G6+G7+G8+G9</f>
        <v>1244.75306724852</v>
      </c>
      <c r="H5" s="152">
        <f>=H6+H7+H8+H9</f>
        <v>1245.62202191228</v>
      </c>
      <c r="I5" s="152">
        <f>=I6+I7+I8+I9</f>
        <v>1245.09667180272</v>
      </c>
      <c r="J5" s="152">
        <f>=J6+J7+J8+J9</f>
        <v>1243.1769684437</v>
      </c>
      <c r="K5" s="152">
        <f>=K6+K7+K8+K9</f>
        <v>1241.26686360148</v>
      </c>
      <c r="L5" s="152">
        <f>=L6+L7+L8+L9</f>
        <v>1239.36630928348</v>
      </c>
      <c r="M5" s="152">
        <f>=M6+M7+M8+M9</f>
        <v>1237.47525773706</v>
      </c>
      <c r="N5" s="152">
        <f>=N6+N7+N8+N9</f>
        <v>1235.59366144837</v>
      </c>
      <c r="O5" s="152">
        <f>=O6+O7+O8+O9</f>
        <v>4790.18060126268</v>
      </c>
    </row>
    <row r="6" spans="1:15" s="178" customFormat="true" ht="15" customHeight="true">
      <c r="A6" s="33">
        <v>1.1</v>
      </c>
      <c r="B6" s="10" t="s">
        <v>7</v>
      </c>
      <c r="C6" s="151">
        <f>=SUM(D6:O6)</f>
        <v>14274.1130213947</v>
      </c>
      <c r="D6" s="152">
        <f>=营业收入及税金表!D5</f>
        <v>621.10243152</v>
      </c>
      <c r="E6" s="152">
        <f>=营业收入及税金表!E5</f>
        <v>1243.0444387248</v>
      </c>
      <c r="F6" s="152">
        <f>=营业收入及税金表!F5</f>
        <v>1243.89385653118</v>
      </c>
      <c r="G6" s="152">
        <f>=营业收入及税金表!G5</f>
        <v>1244.75306724852</v>
      </c>
      <c r="H6" s="152">
        <f>=营业收入及税金表!H5</f>
        <v>1245.62202191228</v>
      </c>
      <c r="I6" s="152">
        <f>=营业收入及税金表!I5</f>
        <v>1245.09667180272</v>
      </c>
      <c r="J6" s="152">
        <f>=营业收入及税金表!J5</f>
        <v>1243.1769684437</v>
      </c>
      <c r="K6" s="152">
        <f>=营业收入及税金表!K5</f>
        <v>1241.26686360148</v>
      </c>
      <c r="L6" s="152">
        <f>=营业收入及税金表!L5</f>
        <v>1239.36630928348</v>
      </c>
      <c r="M6" s="152">
        <f>=营业收入及税金表!M5</f>
        <v>1237.47525773706</v>
      </c>
      <c r="N6" s="152">
        <f>=营业收入及税金表!N5</f>
        <v>1235.59366144837</v>
      </c>
      <c r="O6" s="152">
        <f>=营业收入及税金表!O5</f>
        <v>1233.72147314113</v>
      </c>
    </row>
    <row r="7" spans="1:15" s="179" customFormat="true" ht="15" customHeight="true">
      <c r="A7" s="153">
        <v>1.2</v>
      </c>
      <c r="B7" s="40" t="s">
        <v>202</v>
      </c>
      <c r="C7" s="151" t="s"/>
      <c r="D7" s="154">
        <f>=D11*0.09</f>
        <v>775.17953932356</v>
      </c>
      <c r="E7" s="154" t="s"/>
      <c r="F7" s="155" t="s"/>
      <c r="G7" s="154" t="s"/>
      <c r="H7" s="154" t="s"/>
      <c r="I7" s="154" t="s"/>
      <c r="J7" s="154" t="s"/>
      <c r="K7" s="154" t="s"/>
      <c r="L7" s="154" t="s"/>
      <c r="M7" s="154" t="s"/>
      <c r="N7" s="154" t="s"/>
      <c r="O7" s="154" t="s"/>
    </row>
    <row r="8" spans="1:15" s="178" customFormat="true" ht="15" customHeight="true">
      <c r="A8" s="33">
        <v>1.3</v>
      </c>
      <c r="B8" s="10" t="s">
        <v>203</v>
      </c>
      <c r="C8" s="151">
        <f>=SUM(D8:O8)</f>
        <v>3556.45912812155</v>
      </c>
      <c r="D8" s="152" t="s"/>
      <c r="E8" s="152" t="s"/>
      <c r="F8" s="152" t="s"/>
      <c r="G8" s="152" t="s"/>
      <c r="H8" s="152" t="s"/>
      <c r="I8" s="152" t="s"/>
      <c r="J8" s="152" t="s"/>
      <c r="K8" s="152" t="s"/>
      <c r="L8" s="152" t="s"/>
      <c r="M8" s="152" t="s"/>
      <c r="N8" s="152" t="s"/>
      <c r="O8" s="152">
        <f>=固定资产折旧!Q8</f>
        <v>3556.45912812155</v>
      </c>
    </row>
    <row r="9" spans="1:15" s="178" customFormat="true" ht="15" customHeight="true">
      <c r="A9" s="33">
        <v>1.4</v>
      </c>
      <c r="B9" s="10" t="s">
        <v>204</v>
      </c>
      <c r="C9" s="151" t="s"/>
      <c r="D9" s="152" t="s"/>
      <c r="E9" s="152" t="s"/>
      <c r="F9" s="152" t="s"/>
      <c r="G9" s="152" t="s"/>
      <c r="H9" s="152" t="s"/>
      <c r="I9" s="152" t="s"/>
      <c r="J9" s="152" t="s"/>
      <c r="K9" s="152" t="s"/>
      <c r="L9" s="152" t="s"/>
      <c r="M9" s="152" t="s"/>
      <c r="N9" s="152" t="s"/>
      <c r="O9" s="152" t="s"/>
    </row>
    <row r="10" spans="1:15" s="178" customFormat="true" ht="15" customHeight="true">
      <c r="A10" s="33">
        <v>2</v>
      </c>
      <c r="B10" s="10" t="s">
        <v>173</v>
      </c>
      <c r="C10" s="151">
        <f>=SUM(D10:O10)</f>
        <v>12655.3786795143</v>
      </c>
      <c r="D10" s="152">
        <f>=D11+D12+D13+D14+D15+D16</f>
        <v>8785.14254271137</v>
      </c>
      <c r="E10" s="152">
        <f>=E11+E12+E13+E14+E15+E16</f>
        <v>344.191649672446</v>
      </c>
      <c r="F10" s="152">
        <f>=F11+F12+F13+F14+F15+F16</f>
        <v>344.013996326584</v>
      </c>
      <c r="G10" s="152">
        <f>=G11+G12+G13+G14+G15+G16</f>
        <v>348.310292607451</v>
      </c>
      <c r="H10" s="152">
        <f>=H11+H12+H13+H14+H15+H16</f>
        <v>348.146096266914</v>
      </c>
      <c r="I10" s="152">
        <f>=I11+I12+I13+I14+I15+I16</f>
        <v>348.430979118079</v>
      </c>
      <c r="J10" s="152">
        <f>=J11+J12+J13+J14+J15+J16</f>
        <v>352.688704034989</v>
      </c>
      <c r="K10" s="152">
        <f>=K11+K12+K13+K14+K15+K16</f>
        <v>352.253754952314</v>
      </c>
      <c r="L10" s="152">
        <f>=L11+L12+L13+L14+L15+L16</f>
        <v>351.821194865053</v>
      </c>
      <c r="M10" s="152">
        <f>=M11+M12+M13+M14+M15+M16</f>
        <v>355.655661828227</v>
      </c>
      <c r="N10" s="152">
        <f>=N11+N12+N13+N14+N15+N16</f>
        <v>360.272801456586</v>
      </c>
      <c r="O10" s="152">
        <f>=O11+O12+O13+O14+O15+O16</f>
        <v>364.451005674303</v>
      </c>
    </row>
    <row r="11" spans="1:15" s="178" customFormat="true" ht="15" customHeight="true">
      <c r="A11" s="33">
        <v>2.1</v>
      </c>
      <c r="B11" s="10" t="s">
        <v>181</v>
      </c>
      <c r="C11" s="151">
        <f>=SUM(D11:O11)</f>
        <v>8613.105992484</v>
      </c>
      <c r="D11" s="152">
        <f>=总投资!G51</f>
        <v>8613.105992484</v>
      </c>
      <c r="E11" s="152" t="s"/>
      <c r="F11" s="152" t="s"/>
      <c r="G11" s="152" t="s"/>
      <c r="H11" s="152" t="s"/>
      <c r="I11" s="152" t="s"/>
      <c r="J11" s="152" t="s"/>
      <c r="K11" s="152" t="s"/>
      <c r="L11" s="152" t="s"/>
      <c r="M11" s="152" t="s"/>
      <c r="N11" s="152" t="s"/>
      <c r="O11" s="152" t="s"/>
    </row>
    <row r="12" spans="1:15" s="178" customFormat="true" ht="15" customHeight="true">
      <c r="A12" s="33">
        <v>2.2</v>
      </c>
      <c r="B12" s="10" t="s">
        <v>185</v>
      </c>
      <c r="C12" s="151" t="s"/>
      <c r="D12" s="152" t="s"/>
      <c r="E12" s="152" t="s"/>
      <c r="F12" s="152" t="s"/>
      <c r="G12" s="152" t="s"/>
      <c r="H12" s="152" t="s"/>
      <c r="I12" s="152" t="s"/>
      <c r="J12" s="152" t="s"/>
      <c r="K12" s="152" t="s"/>
      <c r="L12" s="152" t="s"/>
      <c r="M12" s="152" t="s"/>
      <c r="N12" s="152" t="s"/>
      <c r="O12" s="152" t="s"/>
    </row>
    <row r="13" spans="1:15" s="178" customFormat="true" ht="15" customHeight="true">
      <c r="A13" s="33">
        <v>2.3</v>
      </c>
      <c r="B13" s="10" t="s">
        <v>174</v>
      </c>
      <c r="C13" s="151">
        <f>=SUM(D13:O13)</f>
        <v>2075.16604247086</v>
      </c>
      <c r="D13" s="152">
        <f>=总成本费用表!D10</f>
        <v>86.15126052</v>
      </c>
      <c r="E13" s="152">
        <f>=总成本费用表!E10</f>
        <v>172.4801184348</v>
      </c>
      <c r="F13" s="152">
        <f>=总成本费用表!F10</f>
        <v>172.310270342626</v>
      </c>
      <c r="G13" s="152">
        <f>=总成本费用表!G10</f>
        <v>176.612971490913</v>
      </c>
      <c r="H13" s="152">
        <f>=总成本费用表!H10</f>
        <v>176.455216633458</v>
      </c>
      <c r="I13" s="152">
        <f>=总成本费用表!I10</f>
        <v>176.948500550291</v>
      </c>
      <c r="J13" s="152">
        <f>=总成本费用表!J10</f>
        <v>181.48789304754</v>
      </c>
      <c r="K13" s="152">
        <f>=总成本费用表!K10</f>
        <v>181.333238957302</v>
      </c>
      <c r="L13" s="152">
        <f>=总成本费用表!L10</f>
        <v>181.179608137515</v>
      </c>
      <c r="M13" s="152">
        <f>=总成本费用表!M10</f>
        <v>185.284495471828</v>
      </c>
      <c r="N13" s="152">
        <f>=总成本费用表!N10</f>
        <v>190.238270869469</v>
      </c>
      <c r="O13" s="152">
        <f>=总成本费用表!O10</f>
        <v>194.684198015121</v>
      </c>
    </row>
    <row r="14" spans="1:15" s="178" customFormat="true" ht="15" customHeight="true">
      <c r="A14" s="33">
        <v>2.4</v>
      </c>
      <c r="B14" s="10" t="s">
        <v>8</v>
      </c>
      <c r="C14" s="151">
        <f>=SUM(D14:O14)</f>
        <v>178.827876778131</v>
      </c>
      <c r="D14" s="152">
        <f>=营业收入及税金表!D22</f>
        <v>7.80775360976</v>
      </c>
      <c r="E14" s="152">
        <f>=营业收入及税金表!E22</f>
        <v>15.6101392034224</v>
      </c>
      <c r="F14" s="152">
        <f>=营业收入及税金表!F22</f>
        <v>15.6094296349053</v>
      </c>
      <c r="G14" s="152">
        <f>=营业收入及税金表!G22</f>
        <v>15.6088473742308</v>
      </c>
      <c r="H14" s="152">
        <f>=营业收入及税金表!H22</f>
        <v>15.6082617848596</v>
      </c>
      <c r="I14" s="152">
        <f>=营业收入及税金表!I22</f>
        <v>15.5893162334353</v>
      </c>
      <c r="J14" s="152">
        <f>=营业收入及税金表!J22</f>
        <v>15.5637100897681</v>
      </c>
      <c r="K14" s="152">
        <f>=营业收入及税金表!K22</f>
        <v>15.5382287268193</v>
      </c>
      <c r="L14" s="152">
        <f>=营业收入及税金表!L22</f>
        <v>15.5128715206852</v>
      </c>
      <c r="M14" s="152">
        <f>=营业收入及税金表!M22</f>
        <v>15.4882878505818</v>
      </c>
      <c r="N14" s="152">
        <f>=营业收入及税金表!N22</f>
        <v>15.4576845988289</v>
      </c>
      <c r="O14" s="152">
        <f>=营业收入及税金表!O22</f>
        <v>15.4333461508347</v>
      </c>
    </row>
    <row r="15" spans="1:15" s="178" customFormat="true" ht="15" customHeight="true">
      <c r="A15" s="33">
        <v>2.5</v>
      </c>
      <c r="B15" s="10" t="s">
        <v>9</v>
      </c>
      <c r="C15" s="151">
        <f>=SUM(D15:O15)</f>
        <v>1788.27876778131</v>
      </c>
      <c r="D15" s="152">
        <f>=利润及利润分配表!D7</f>
        <v>78.0775360976</v>
      </c>
      <c r="E15" s="152">
        <f>=利润及利润分配表!E7</f>
        <v>156.101392034224</v>
      </c>
      <c r="F15" s="152">
        <f>=利润及利润分配表!F7</f>
        <v>156.094296349053</v>
      </c>
      <c r="G15" s="152">
        <f>=利润及利润分配表!G7</f>
        <v>156.088473742308</v>
      </c>
      <c r="H15" s="152">
        <f>=利润及利润分配表!H7</f>
        <v>156.082617848596</v>
      </c>
      <c r="I15" s="152">
        <f>=利润及利润分配表!I7</f>
        <v>155.893162334353</v>
      </c>
      <c r="J15" s="152">
        <f>=利润及利润分配表!J7</f>
        <v>155.637100897681</v>
      </c>
      <c r="K15" s="152">
        <f>=利润及利润分配表!K7</f>
        <v>155.382287268193</v>
      </c>
      <c r="L15" s="152">
        <f>=利润及利润分配表!L7</f>
        <v>155.128715206852</v>
      </c>
      <c r="M15" s="152">
        <f>=利润及利润分配表!M7</f>
        <v>154.882878505818</v>
      </c>
      <c r="N15" s="152">
        <f>=利润及利润分配表!N7</f>
        <v>154.576845988289</v>
      </c>
      <c r="O15" s="152">
        <f>=利润及利润分配表!O7</f>
        <v>154.333461508347</v>
      </c>
    </row>
    <row r="16" spans="1:15" s="178" customFormat="true" ht="15" customHeight="true">
      <c r="A16" s="33">
        <v>2.6</v>
      </c>
      <c r="B16" s="10" t="s">
        <v>183</v>
      </c>
      <c r="C16" s="151" t="s"/>
      <c r="D16" s="152" t="s"/>
      <c r="E16" s="152" t="s"/>
      <c r="F16" s="152" t="s"/>
      <c r="G16" s="152" t="s"/>
      <c r="H16" s="152" t="s"/>
      <c r="I16" s="152" t="s"/>
      <c r="J16" s="152" t="s"/>
      <c r="K16" s="152" t="s"/>
      <c r="L16" s="152" t="s"/>
      <c r="M16" s="152" t="s"/>
      <c r="N16" s="152" t="s"/>
      <c r="O16" s="152" t="s"/>
    </row>
    <row r="17" spans="1:15" s="178" customFormat="true" ht="22" customHeight="true">
      <c r="A17" s="33">
        <v>3</v>
      </c>
      <c r="B17" s="5" t="s">
        <v>205</v>
      </c>
      <c r="C17" s="151">
        <f>=SUM(D17:O17)</f>
        <v>5950.37300932552</v>
      </c>
      <c r="D17" s="152">
        <f>=D5-D10</f>
        <v>-7388.8605718678</v>
      </c>
      <c r="E17" s="152">
        <f>=E5-E10</f>
        <v>898.852789052354</v>
      </c>
      <c r="F17" s="152">
        <f>=F5-F10</f>
        <v>899.879860204592</v>
      </c>
      <c r="G17" s="152">
        <f>=G5-G10</f>
        <v>896.442774641069</v>
      </c>
      <c r="H17" s="152">
        <f>=H5-H10</f>
        <v>897.475925645364</v>
      </c>
      <c r="I17" s="152">
        <f>=I5-I10</f>
        <v>896.665692684637</v>
      </c>
      <c r="J17" s="152">
        <f>=J5-J10</f>
        <v>890.488264408714</v>
      </c>
      <c r="K17" s="152">
        <f>=K5-K10</f>
        <v>889.01310864917</v>
      </c>
      <c r="L17" s="152">
        <f>=L5-L10</f>
        <v>887.545114418424</v>
      </c>
      <c r="M17" s="152">
        <f>=M5-M10</f>
        <v>881.819595908832</v>
      </c>
      <c r="N17" s="152">
        <f>=N5-N10</f>
        <v>875.320859991788</v>
      </c>
      <c r="O17" s="152">
        <f>=O5-O10</f>
        <v>4425.72959558838</v>
      </c>
    </row>
    <row r="18" spans="1:15" s="178" customFormat="true" ht="22" customHeight="true">
      <c r="A18" s="33">
        <v>4</v>
      </c>
      <c r="B18" s="5" t="s">
        <v>206</v>
      </c>
      <c r="C18" s="151" t="s"/>
      <c r="D18" s="152">
        <f>=D17</f>
        <v>-7388.8605718678</v>
      </c>
      <c r="E18" s="152">
        <f>=D18+E17</f>
        <v>-6490.00778281545</v>
      </c>
      <c r="F18" s="152">
        <f>=E18+F17</f>
        <v>-5590.12792261086</v>
      </c>
      <c r="G18" s="152">
        <f>=F18+G17</f>
        <v>-4693.68514796979</v>
      </c>
      <c r="H18" s="152">
        <f>=G18+H17</f>
        <v>-3796.20922232443</v>
      </c>
      <c r="I18" s="152">
        <f>=H18+I17</f>
        <v>-2899.54352963979</v>
      </c>
      <c r="J18" s="152">
        <f>=I18+J17</f>
        <v>-2009.05526523107</v>
      </c>
      <c r="K18" s="152">
        <f>=J18+K17</f>
        <v>-1120.0421565819</v>
      </c>
      <c r="L18" s="152">
        <f>=K18+L17</f>
        <v>-232.49704216348</v>
      </c>
      <c r="M18" s="152">
        <f>=L18+M17</f>
        <v>649.322553745352</v>
      </c>
      <c r="N18" s="152">
        <f>=M18+N17</f>
        <v>1524.64341373714</v>
      </c>
      <c r="O18" s="152">
        <f>=N18+O17</f>
        <v>5950.37300932552</v>
      </c>
    </row>
    <row r="19" spans="1:15" s="178" customFormat="true" ht="22" customHeight="true">
      <c r="A19" s="33">
        <v>5</v>
      </c>
      <c r="B19" s="5" t="s">
        <v>207</v>
      </c>
      <c r="C19" s="151">
        <f>=SUM(D19:O19)</f>
        <v>2741.43288923332</v>
      </c>
      <c r="D19" s="152">
        <f>=D17/POWER(1.042,1)</f>
        <v>-7091.0370171476</v>
      </c>
      <c r="E19" s="152">
        <f>=E17/POWER(1.042,2)</f>
        <v>827.85281981384</v>
      </c>
      <c r="F19" s="152">
        <f>=F17/POWER(1.042,3)</f>
        <v>795.392287031845</v>
      </c>
      <c r="G19" s="152">
        <f>=G17/POWER(1.042,4)</f>
        <v>760.416786092298</v>
      </c>
      <c r="H19" s="152">
        <f>=H17/POWER(1.042,5)</f>
        <v>730.607645909389</v>
      </c>
      <c r="I19" s="152">
        <f>=I17/POWER(1.042,6)</f>
        <v>700.525969373766</v>
      </c>
      <c r="J19" s="152">
        <f>=J17/POWER(1.042,7)</f>
        <v>667.658169776444</v>
      </c>
      <c r="K19" s="152">
        <f>=K17/POWER(1.042,8)</f>
        <v>639.685362351745</v>
      </c>
      <c r="L19" s="152">
        <f>=L17/POWER(1.042,9)</f>
        <v>612.887786699664</v>
      </c>
      <c r="M19" s="152">
        <f>=M17/POWER(1.042,10)</f>
        <v>584.389704196642</v>
      </c>
      <c r="N19" s="152">
        <f>=N17/POWER(1.042,10)</f>
        <v>580.082933993492</v>
      </c>
      <c r="O19" s="152">
        <f>=O17/POWER(1.042,10)</f>
        <v>2932.9704411418</v>
      </c>
    </row>
    <row r="20" spans="1:15" s="178" customFormat="true" ht="22" customHeight="true">
      <c r="A20" s="33">
        <v>6</v>
      </c>
      <c r="B20" s="5" t="s">
        <v>208</v>
      </c>
      <c r="C20" s="151" t="s"/>
      <c r="D20" s="152">
        <f>=D19</f>
        <v>-7091.0370171476</v>
      </c>
      <c r="E20" s="152">
        <f>=D20+E19</f>
        <v>-6263.18419733377</v>
      </c>
      <c r="F20" s="152">
        <f>=E20+F19</f>
        <v>-5467.79191030192</v>
      </c>
      <c r="G20" s="152">
        <f>=F20+G19</f>
        <v>-4707.37512420962</v>
      </c>
      <c r="H20" s="152">
        <f>=G20+H19</f>
        <v>-3976.76747830023</v>
      </c>
      <c r="I20" s="152">
        <f>=H20+I19</f>
        <v>-3276.24150892647</v>
      </c>
      <c r="J20" s="152">
        <f>=I20+J19</f>
        <v>-2608.58333915002</v>
      </c>
      <c r="K20" s="152">
        <f>=J20+K19</f>
        <v>-1968.89797679828</v>
      </c>
      <c r="L20" s="152">
        <f>=K20+L19</f>
        <v>-1356.01019009862</v>
      </c>
      <c r="M20" s="152">
        <f>=L20+M19</f>
        <v>-771.620485901974</v>
      </c>
      <c r="N20" s="152">
        <f>=M20+N19</f>
        <v>-191.537551908482</v>
      </c>
      <c r="O20" s="152">
        <f>=N20+O19</f>
        <v>2741.43288923332</v>
      </c>
    </row>
    <row r="21" spans="1:15" s="178" customFormat="true" ht="22" customHeight="true">
      <c r="A21" s="33">
        <v>7</v>
      </c>
      <c r="B21" s="5" t="s">
        <v>209</v>
      </c>
      <c r="C21" s="151">
        <f>=SUM(D21:O21)</f>
        <v>926.05447032386</v>
      </c>
      <c r="D21" s="152" t="s"/>
      <c r="E21" s="152">
        <f>=利润及利润分配表!E13</f>
        <v>50.3678206318082</v>
      </c>
      <c r="F21" s="152">
        <f>=利润及利润分配表!F13</f>
        <v>56.9245884198677</v>
      </c>
      <c r="G21" s="152">
        <f>=利润及利润分配表!G13</f>
        <v>62.680317028987</v>
      </c>
      <c r="H21" s="152">
        <f>=利润及利润分配表!H13</f>
        <v>69.8686047800606</v>
      </c>
      <c r="I21" s="152">
        <f>=利润及利润分配表!I13</f>
        <v>76.911046539879</v>
      </c>
      <c r="J21" s="152">
        <f>=利润及利润分配表!J13</f>
        <v>82.9266894708982</v>
      </c>
      <c r="K21" s="152">
        <f>=利润及利润分配表!K13</f>
        <v>90.4329005310122</v>
      </c>
      <c r="L21" s="152">
        <f>=利润及利润分配表!L13</f>
        <v>98.2559019733258</v>
      </c>
      <c r="M21" s="152">
        <f>=利润及利润分配表!M13</f>
        <v>107.534522345928</v>
      </c>
      <c r="N21" s="152">
        <f>=利润及利润分配表!N13</f>
        <v>112.524838366667</v>
      </c>
      <c r="O21" s="152">
        <f>=利润及利润分配表!O13</f>
        <v>117.627240235427</v>
      </c>
    </row>
    <row r="22" spans="1:15" s="178" customFormat="true" ht="22" customHeight="true">
      <c r="A22" s="33">
        <v>8</v>
      </c>
      <c r="B22" s="5" t="s">
        <v>210</v>
      </c>
      <c r="C22" s="151">
        <f>=SUM(D22:O22)</f>
        <v>5024.31853900166</v>
      </c>
      <c r="D22" s="152">
        <f>=D17-D21</f>
        <v>-7388.8605718678</v>
      </c>
      <c r="E22" s="152">
        <f>=E17-E21</f>
        <v>848.484968420546</v>
      </c>
      <c r="F22" s="152">
        <f>=F17-F21</f>
        <v>842.955271784724</v>
      </c>
      <c r="G22" s="152">
        <f>=G17-G21</f>
        <v>833.762457612082</v>
      </c>
      <c r="H22" s="152">
        <f>=H17-H21</f>
        <v>827.607320865303</v>
      </c>
      <c r="I22" s="152">
        <f>=I17-I21</f>
        <v>819.754646144758</v>
      </c>
      <c r="J22" s="152">
        <f>=J17-J21</f>
        <v>807.561574937816</v>
      </c>
      <c r="K22" s="152">
        <f>=K17-K21</f>
        <v>798.580208118158</v>
      </c>
      <c r="L22" s="152">
        <f>=L17-L21</f>
        <v>789.289212445098</v>
      </c>
      <c r="M22" s="152">
        <f>=M17-M21</f>
        <v>774.285073562904</v>
      </c>
      <c r="N22" s="152">
        <f>=N17-N21</f>
        <v>762.796021625121</v>
      </c>
      <c r="O22" s="152">
        <f>=O17-O21</f>
        <v>4308.10235535295</v>
      </c>
    </row>
    <row r="23" spans="1:15" s="178" customFormat="true" ht="22" customHeight="true">
      <c r="A23" s="33">
        <v>9</v>
      </c>
      <c r="B23" s="5" t="s">
        <v>211</v>
      </c>
      <c r="C23" s="151" t="s"/>
      <c r="D23" s="152">
        <f>=D22</f>
        <v>-7388.8605718678</v>
      </c>
      <c r="E23" s="152">
        <f>=D23+E22</f>
        <v>-6540.37560344726</v>
      </c>
      <c r="F23" s="152">
        <f>=E23+F22</f>
        <v>-5697.42033166254</v>
      </c>
      <c r="G23" s="152">
        <f>=F23+G22</f>
        <v>-4863.65787405045</v>
      </c>
      <c r="H23" s="152">
        <f>=G23+H22</f>
        <v>-4036.05055318515</v>
      </c>
      <c r="I23" s="152">
        <f>=H23+I22</f>
        <v>-3216.29590704039</v>
      </c>
      <c r="J23" s="152">
        <f>=I23+J22</f>
        <v>-2408.73433210258</v>
      </c>
      <c r="K23" s="152">
        <f>=J23+K22</f>
        <v>-1610.15412398442</v>
      </c>
      <c r="L23" s="152">
        <f>=K23+L22</f>
        <v>-820.86491153932</v>
      </c>
      <c r="M23" s="152">
        <f>=L23+M22</f>
        <v>-46.5798379764159</v>
      </c>
      <c r="N23" s="152">
        <f>=M23+N22</f>
        <v>716.216183648705</v>
      </c>
      <c r="O23" s="152">
        <f>=N23+O22</f>
        <v>5024.31853900166</v>
      </c>
    </row>
    <row r="24" spans="1:15" s="178" customFormat="true" ht="22" customHeight="true">
      <c r="A24" s="33">
        <v>10</v>
      </c>
      <c r="B24" s="5" t="s">
        <v>212</v>
      </c>
      <c r="C24" s="151">
        <f>=SUM(D24:O24)</f>
        <v>2053.5092090147</v>
      </c>
      <c r="D24" s="152">
        <f>=D22/POWER(1.042,1)</f>
        <v>-7091.0370171476</v>
      </c>
      <c r="E24" s="152">
        <f>=E22/POWER(1.042,2)</f>
        <v>781.463530215172</v>
      </c>
      <c r="F24" s="152">
        <f>=F22/POWER(1.042,3)</f>
        <v>745.077372148284</v>
      </c>
      <c r="G24" s="152">
        <f>=G22/POWER(1.042,4)</f>
        <v>707.247563722792</v>
      </c>
      <c r="H24" s="152">
        <f>=H22/POWER(1.042,5)</f>
        <v>673.729756037717</v>
      </c>
      <c r="I24" s="152">
        <f>=I22/POWER(1.042,6)</f>
        <v>640.438708455388</v>
      </c>
      <c r="J24" s="152">
        <f>=J22/POWER(1.042,7)</f>
        <v>605.482525323091</v>
      </c>
      <c r="K24" s="152">
        <f>=K22/POWER(1.0425,8)</f>
        <v>572.413718239945</v>
      </c>
      <c r="L24" s="152">
        <f>=L22/POWER(1.042,9)</f>
        <v>545.037892297315</v>
      </c>
      <c r="M24" s="152">
        <f>=M22/POWER(1.042,10)</f>
        <v>513.125617986472</v>
      </c>
      <c r="N24" s="152">
        <f>=N22/POWER(1.042,10)</f>
        <v>505.511720887144</v>
      </c>
      <c r="O24" s="152">
        <f>=O22/POWER(1.042,10)</f>
        <v>2855.01782084898</v>
      </c>
    </row>
    <row r="25" spans="1:15" s="178" customFormat="true" ht="22" customHeight="true">
      <c r="A25" s="33">
        <v>11</v>
      </c>
      <c r="B25" s="5" t="s">
        <v>213</v>
      </c>
      <c r="C25" s="151" t="s"/>
      <c r="D25" s="152">
        <f>=D24</f>
        <v>-7091.0370171476</v>
      </c>
      <c r="E25" s="152">
        <f>=D25+E24</f>
        <v>-6309.57348693243</v>
      </c>
      <c r="F25" s="152">
        <f>=E25+F24</f>
        <v>-5564.49611478415</v>
      </c>
      <c r="G25" s="152">
        <f>=F25+G24</f>
        <v>-4857.24855106136</v>
      </c>
      <c r="H25" s="152">
        <f>=G25+H24</f>
        <v>-4183.51879502364</v>
      </c>
      <c r="I25" s="152">
        <f>=H25+I24</f>
        <v>-3543.08008656825</v>
      </c>
      <c r="J25" s="152">
        <f>=I25+J24</f>
        <v>-2937.59756124516</v>
      </c>
      <c r="K25" s="152">
        <f>=J25+K24</f>
        <v>-2365.18384300522</v>
      </c>
      <c r="L25" s="152">
        <f>=K25+L24</f>
        <v>-1820.1459507079</v>
      </c>
      <c r="M25" s="152">
        <f>=L25+M24</f>
        <v>-1307.02033272143</v>
      </c>
      <c r="N25" s="152">
        <f>=M25+N24</f>
        <v>-801.508611834286</v>
      </c>
      <c r="O25" s="152">
        <f>=N25+O24</f>
        <v>2053.5092090147</v>
      </c>
    </row>
    <row r="26" spans="2:2">
      <c r="B26" s="156" t="s">
        <v>214</v>
      </c>
    </row>
    <row r="27" spans="2:12">
      <c r="B27" s="157" t="s">
        <v>230</v>
      </c>
      <c r="C27" s="157" t="s"/>
      <c r="D27" s="157" t="s"/>
      <c r="E27" s="157" t="s"/>
      <c r="F27" s="158">
        <f>=IRR(D17:O17)</f>
        <v>0.091364696243652</v>
      </c>
      <c r="G27" s="157" t="s"/>
      <c r="H27" s="156" t="s">
        <v>231</v>
      </c>
      <c r="L27" s="158">
        <f>=IRR(D22:O22,4.2%)</f>
        <v>0.078550672816262</v>
      </c>
    </row>
    <row r="28" spans="2:12">
      <c r="B28" s="157" t="s">
        <v>232</v>
      </c>
      <c r="C28" s="157" t="s"/>
      <c r="D28" s="157" t="s"/>
      <c r="E28" s="157" t="s"/>
      <c r="F28" s="159">
        <f>=O20</f>
        <v>2741.43288923332</v>
      </c>
      <c r="H28" s="156" t="s">
        <v>233</v>
      </c>
      <c r="L28" s="159">
        <f>=O25</f>
        <v>2053.5092090147</v>
      </c>
    </row>
    <row r="29" spans="2:12">
      <c r="B29" s="157" t="s">
        <v>215</v>
      </c>
      <c r="C29" s="157" t="s"/>
      <c r="D29" s="157" t="s"/>
      <c r="E29" s="157" t="s"/>
      <c r="F29" s="159">
        <f>=12-1+ABS(N20)/O19</f>
        <v>11.0653049717862</v>
      </c>
      <c r="H29" s="156" t="s">
        <v>216</v>
      </c>
      <c r="L29" s="159">
        <f>=12-1+ABS(N25/O24)</f>
        <v>11.2807368157149</v>
      </c>
    </row>
    <row r="30" spans="6:6">
      <c r="F30" s="159" t="s"/>
    </row>
  </sheetData>
  <mergeCells count="5">
    <mergeCell ref="A1:M1"/>
    <mergeCell ref="A3:A4"/>
    <mergeCell ref="B3:B4"/>
    <mergeCell ref="C3:C4"/>
    <mergeCell ref="D3:O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>
  <sheetPr/>
  <dimension ref="AA13"/>
  <sheetViews>
    <sheetView showGridLines="true" zoomScale="120" zoomScaleNormal="120" workbookViewId="0"/>
  </sheetViews>
  <sheetFormatPr defaultColWidth="8.62727" defaultRowHeight="14"/>
  <cols>
    <col min="1" max="1" width="4.12727" style="180" customWidth="true"/>
    <col min="2" max="2" width="9.62727" style="180" customWidth="true"/>
    <col min="3" max="3" width="9.37273" style="180"/>
    <col min="4" max="4" width="7.5" style="181" customWidth="true"/>
    <col min="5" max="5" width="8.60909" style="181" customWidth="true"/>
    <col min="6" max="6" width="8.7" style="181" customWidth="true"/>
    <col min="7" max="14" width="8.7" style="180" customWidth="true"/>
    <col min="15" max="15" width="10.8364" style="180" customWidth="true"/>
    <col min="16" max="26" width="8.62727" style="180"/>
  </cols>
  <sheetData>
    <row r="1" spans="1:14" ht="17.5">
      <c r="A1" s="18" t="s">
        <v>67</v>
      </c>
      <c r="B1" s="18" t="s"/>
      <c r="C1" s="18" t="s"/>
      <c r="D1" s="55" t="s"/>
      <c r="E1" s="55" t="s"/>
      <c r="F1" s="55" t="s"/>
      <c r="G1" s="18" t="s"/>
      <c r="H1" s="18" t="s"/>
      <c r="I1" s="18" t="s"/>
      <c r="J1" s="18" t="s"/>
      <c r="K1" s="18" t="s"/>
      <c r="L1" s="18" t="s"/>
      <c r="M1" s="18" t="s"/>
      <c r="N1" s="18" t="s"/>
    </row>
    <row r="2" spans="14:14" ht="16.15" customHeight="true">
      <c r="N2" s="56" t="s">
        <v>2</v>
      </c>
    </row>
    <row r="3" spans="1:16">
      <c r="A3" s="57" t="s">
        <v>3</v>
      </c>
      <c r="B3" s="58" t="s"/>
      <c r="C3" s="59" t="s"/>
      <c r="D3" s="60" t="s">
        <v>68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  <c r="P3" s="9" t="s"/>
    </row>
    <row r="4" spans="1:16" ht="19">
      <c r="A4" s="57" t="s"/>
      <c r="B4" s="57" t="s">
        <v>228</v>
      </c>
      <c r="C4" s="57" t="s">
        <v>6</v>
      </c>
      <c r="D4" s="61" t="s">
        <v>69</v>
      </c>
      <c r="E4" s="62">
        <v>0.5</v>
      </c>
      <c r="F4" s="61">
        <v>2</v>
      </c>
      <c r="G4" s="61">
        <v>3</v>
      </c>
      <c r="H4" s="61">
        <v>4</v>
      </c>
      <c r="I4" s="61">
        <v>5</v>
      </c>
      <c r="J4" s="61">
        <v>6</v>
      </c>
      <c r="K4" s="61">
        <v>7</v>
      </c>
      <c r="L4" s="61">
        <v>8</v>
      </c>
      <c r="M4" s="61">
        <v>9</v>
      </c>
      <c r="N4" s="61">
        <v>10</v>
      </c>
      <c r="O4" s="61">
        <v>11</v>
      </c>
      <c r="P4" s="61">
        <v>12</v>
      </c>
    </row>
    <row r="5" spans="1:16" ht="12.95" customHeight="true">
      <c r="A5" s="63">
        <v>1</v>
      </c>
      <c r="B5" s="32" t="s">
        <v>70</v>
      </c>
      <c r="C5" s="51">
        <f>=SUM(D5:N5)</f>
        <v>6900</v>
      </c>
      <c r="D5" s="54">
        <f>=6900</f>
        <v>6900</v>
      </c>
      <c r="E5" s="54" t="s"/>
      <c r="F5" s="54" t="s"/>
      <c r="G5" s="54" t="s"/>
      <c r="H5" s="54" t="s"/>
      <c r="I5" s="54" t="s"/>
      <c r="J5" s="54" t="s"/>
      <c r="K5" s="54" t="s"/>
      <c r="L5" s="54" t="s"/>
      <c r="M5" s="54" t="s"/>
      <c r="N5" s="54" t="s"/>
      <c r="O5" s="54" t="s"/>
      <c r="P5" s="54" t="s"/>
    </row>
    <row r="6" spans="1:16">
      <c r="A6" s="64">
        <v>1.1</v>
      </c>
      <c r="B6" s="32" t="s">
        <v>71</v>
      </c>
      <c r="C6" s="51" t="s"/>
      <c r="D6" s="54" t="s"/>
      <c r="E6" s="54">
        <f>=D10</f>
        <v>6900</v>
      </c>
      <c r="F6" s="54">
        <f>=E10</f>
        <v>6700</v>
      </c>
      <c r="G6" s="54">
        <f>=F10</f>
        <v>6200</v>
      </c>
      <c r="H6" s="54">
        <f>=G10</f>
        <v>5700</v>
      </c>
      <c r="I6" s="54">
        <f>=H10</f>
        <v>5150</v>
      </c>
      <c r="J6" s="54">
        <f>=I10</f>
        <v>4600</v>
      </c>
      <c r="K6" s="54">
        <f>=J10</f>
        <v>4000</v>
      </c>
      <c r="L6" s="54">
        <f>=K10</f>
        <v>3400</v>
      </c>
      <c r="M6" s="54">
        <f>=L10</f>
        <v>2750</v>
      </c>
      <c r="N6" s="54">
        <f>=M10</f>
        <v>2100</v>
      </c>
      <c r="O6" s="54">
        <f>=N10</f>
        <v>1400</v>
      </c>
      <c r="P6" s="54">
        <f>=O10</f>
        <v>700</v>
      </c>
    </row>
    <row r="7" spans="1:16" ht="12.95" customHeight="true">
      <c r="A7" s="64">
        <v>1.2</v>
      </c>
      <c r="B7" s="32" t="s">
        <v>72</v>
      </c>
      <c r="C7" s="51">
        <f>=SUM(D7:P7)</f>
        <v>9141.54</v>
      </c>
      <c r="D7" s="54">
        <f>=D8+D9</f>
        <v>86.94</v>
      </c>
      <c r="E7" s="54">
        <f>=E8+E9</f>
        <v>371.36</v>
      </c>
      <c r="F7" s="54">
        <f>=F8+F9</f>
        <v>825.08</v>
      </c>
      <c r="G7" s="54">
        <f>=G8+G9</f>
        <v>799.88</v>
      </c>
      <c r="H7" s="54">
        <f>=H8+H9</f>
        <v>823.42</v>
      </c>
      <c r="I7" s="54">
        <f>=I8+I9</f>
        <v>795.7</v>
      </c>
      <c r="J7" s="54">
        <f>=J8+J9</f>
        <v>816.72</v>
      </c>
      <c r="K7" s="54">
        <f>=K8+K9</f>
        <v>786.48</v>
      </c>
      <c r="L7" s="54">
        <f>=L8+L9</f>
        <v>804.98</v>
      </c>
      <c r="M7" s="54">
        <f>=M8+M9</f>
        <v>772.22</v>
      </c>
      <c r="N7" s="54">
        <f>=N8+N9</f>
        <v>779.38</v>
      </c>
      <c r="O7" s="54">
        <f>=O8+O9</f>
        <v>752.92</v>
      </c>
      <c r="P7" s="54">
        <f>=P8+P9</f>
        <v>726.46</v>
      </c>
    </row>
    <row r="8" spans="1:16" ht="14.1" customHeight="true">
      <c r="A8" s="64" t="s"/>
      <c r="B8" s="51" t="s">
        <v>73</v>
      </c>
      <c r="C8" s="51">
        <f>=SUM(D8:P8)</f>
        <v>6900</v>
      </c>
      <c r="D8" s="54" t="s"/>
      <c r="E8" s="54">
        <v>200</v>
      </c>
      <c r="F8" s="54">
        <v>500</v>
      </c>
      <c r="G8" s="54">
        <v>500</v>
      </c>
      <c r="H8" s="54">
        <v>550</v>
      </c>
      <c r="I8" s="54">
        <f>=550</f>
        <v>550</v>
      </c>
      <c r="J8" s="54">
        <v>600</v>
      </c>
      <c r="K8" s="54">
        <f>=600</f>
        <v>600</v>
      </c>
      <c r="L8" s="54">
        <v>650</v>
      </c>
      <c r="M8" s="54">
        <v>650</v>
      </c>
      <c r="N8" s="54">
        <f>=700</f>
        <v>700</v>
      </c>
      <c r="O8" s="54">
        <f>=700</f>
        <v>700</v>
      </c>
      <c r="P8" s="54">
        <f>=700</f>
        <v>700</v>
      </c>
    </row>
    <row r="9" spans="1:16">
      <c r="A9" s="64" t="s"/>
      <c r="B9" s="65" t="s">
        <v>74</v>
      </c>
      <c r="C9" s="51">
        <f>=SUM(D9:P9)</f>
        <v>2241.54</v>
      </c>
      <c r="D9" s="54">
        <f>=D5*0.0504*0.25</f>
        <v>86.94</v>
      </c>
      <c r="E9" s="54">
        <f>=(E6+F6)/2*0.0504*0.5</f>
        <v>171.36</v>
      </c>
      <c r="F9" s="54">
        <f>=(F6+G6)/2*0.0504</f>
        <v>325.08</v>
      </c>
      <c r="G9" s="54">
        <f>=(G6+H6)/2*0.0504</f>
        <v>299.88</v>
      </c>
      <c r="H9" s="54">
        <f>=(H6+I6)/2*0.0504</f>
        <v>273.42</v>
      </c>
      <c r="I9" s="54">
        <f>=(I6+J6)/2*0.0504</f>
        <v>245.7</v>
      </c>
      <c r="J9" s="54">
        <f>=(J6+K6)/2*0.0504</f>
        <v>216.72</v>
      </c>
      <c r="K9" s="54">
        <f>=(K6+L6)/2*0.0504</f>
        <v>186.48</v>
      </c>
      <c r="L9" s="54">
        <f>=(L6+M6)/2*0.0504</f>
        <v>154.98</v>
      </c>
      <c r="M9" s="54">
        <f>=(M6+N6)/2*0.0504</f>
        <v>122.22</v>
      </c>
      <c r="N9" s="54">
        <f>=(N6+N6/2)/2*0.0504</f>
        <v>79.38</v>
      </c>
      <c r="O9" s="54">
        <f>=(O6+O6/2)/2*0.0504</f>
        <v>52.92</v>
      </c>
      <c r="P9" s="54">
        <f>=(P6+P6/2)/2*0.0504</f>
        <v>26.46</v>
      </c>
    </row>
    <row r="10" spans="1:16">
      <c r="A10" s="64">
        <v>1.3</v>
      </c>
      <c r="B10" s="32" t="s">
        <v>75</v>
      </c>
      <c r="C10" s="51">
        <f>=SUM(D10:P10)</f>
        <v>49600</v>
      </c>
      <c r="D10" s="54">
        <f>=D5</f>
        <v>6900</v>
      </c>
      <c r="E10" s="54">
        <f>=E6-E8</f>
        <v>6700</v>
      </c>
      <c r="F10" s="54">
        <f>=F6-F8</f>
        <v>6200</v>
      </c>
      <c r="G10" s="54">
        <f>=G6-G8</f>
        <v>5700</v>
      </c>
      <c r="H10" s="54">
        <f>=H6-H8</f>
        <v>5150</v>
      </c>
      <c r="I10" s="54">
        <f>=I6-I8</f>
        <v>4600</v>
      </c>
      <c r="J10" s="54">
        <f>=J6-J8</f>
        <v>4000</v>
      </c>
      <c r="K10" s="54">
        <f>=K6-K8</f>
        <v>3400</v>
      </c>
      <c r="L10" s="54">
        <f>=L6-L8</f>
        <v>2750</v>
      </c>
      <c r="M10" s="54">
        <f>=M6-M8</f>
        <v>2100</v>
      </c>
      <c r="N10" s="54">
        <f>=N6-N8</f>
        <v>1400</v>
      </c>
      <c r="O10" s="54">
        <f>=O6-O8</f>
        <v>700</v>
      </c>
      <c r="P10" s="54">
        <f>=P6-P8</f>
        <v>0</v>
      </c>
    </row>
    <row r="11" spans="1:16" ht="19.9" customHeight="true">
      <c r="A11" s="63">
        <v>4</v>
      </c>
      <c r="B11" s="51" t="s">
        <v>76</v>
      </c>
      <c r="C11" s="51">
        <f>=SUM(D11:P11)</f>
        <v>10231.8403343644</v>
      </c>
      <c r="D11" s="54" t="s"/>
      <c r="E11" s="54">
        <f>=利润及利润分配表!D26</f>
        <v>449.06588129264</v>
      </c>
      <c r="F11" s="54">
        <f>=利润及利润分配表!E26</f>
        <v>898.852789052354</v>
      </c>
      <c r="G11" s="54">
        <f>=利润及利润分配表!F26</f>
        <v>899.879860204592</v>
      </c>
      <c r="H11" s="54">
        <f>=利润及利润分配表!G26</f>
        <v>896.442774641069</v>
      </c>
      <c r="I11" s="54">
        <f>=利润及利润分配表!H26</f>
        <v>897.475925645363</v>
      </c>
      <c r="J11" s="54">
        <f>=利润及利润分配表!I26</f>
        <v>896.665692684637</v>
      </c>
      <c r="K11" s="54">
        <f>=利润及利润分配表!J26</f>
        <v>890.488264408714</v>
      </c>
      <c r="L11" s="54">
        <f>=利润及利润分配表!K26</f>
        <v>889.01310864917</v>
      </c>
      <c r="M11" s="54">
        <f>=利润及利润分配表!L26</f>
        <v>887.545114418424</v>
      </c>
      <c r="N11" s="54">
        <f>=利润及利润分配表!M26</f>
        <v>881.819595908832</v>
      </c>
      <c r="O11" s="54">
        <f>=利润及利润分配表!N26</f>
        <v>875.320859991788</v>
      </c>
      <c r="P11" s="54">
        <f>=利润及利润分配表!O26</f>
        <v>869.270467466829</v>
      </c>
    </row>
    <row r="12" spans="1:16">
      <c r="A12" s="66" t="s">
        <v>77</v>
      </c>
      <c r="B12" s="51" t="s">
        <v>78</v>
      </c>
      <c r="C12" s="46">
        <f>=C11/C9</f>
        <v>4.5646476682836</v>
      </c>
      <c r="D12" s="54" t="s"/>
      <c r="E12" s="54">
        <f>=E11/E9</f>
        <v>2.62059921389262</v>
      </c>
      <c r="F12" s="54">
        <f>=F11/F9</f>
        <v>2.76502026901795</v>
      </c>
      <c r="G12" s="54">
        <f>=G11/G9</f>
        <v>3.00079985395689</v>
      </c>
      <c r="H12" s="54">
        <f>=H11/H9</f>
        <v>3.27862912237974</v>
      </c>
      <c r="I12" s="54">
        <f>=I11/I9</f>
        <v>3.6527306701073</v>
      </c>
      <c r="J12" s="54">
        <f>=J11/J9</f>
        <v>4.13743859673605</v>
      </c>
      <c r="K12" s="54">
        <f>=K11/K9</f>
        <v>4.77524809313982</v>
      </c>
      <c r="L12" s="54">
        <f>=L11/L9</f>
        <v>5.736308611751</v>
      </c>
      <c r="M12" s="54">
        <f>=M11/M9</f>
        <v>7.2618647882378</v>
      </c>
      <c r="N12" s="54">
        <f>=N11/N9</f>
        <v>11.1088384468233</v>
      </c>
      <c r="O12" s="54">
        <f>=O11/O9</f>
        <v>16.5404546483709</v>
      </c>
      <c r="P12" s="54">
        <f>=P11/P9</f>
        <v>32.852247447726</v>
      </c>
    </row>
    <row r="13" spans="1:16">
      <c r="A13" s="66" t="s"/>
      <c r="B13" s="51" t="s">
        <v>79</v>
      </c>
      <c r="C13" s="46">
        <f>=C11/C7</f>
        <v>1.1192687812299</v>
      </c>
      <c r="D13" s="54" t="s"/>
      <c r="E13" s="54">
        <f>=E11/E7</f>
        <v>1.20924677211504</v>
      </c>
      <c r="F13" s="54">
        <f>=F11/F7</f>
        <v>1.08941289214664</v>
      </c>
      <c r="G13" s="54">
        <f>=G11/G7</f>
        <v>1.12501857804245</v>
      </c>
      <c r="H13" s="54">
        <f>=H11/H7</f>
        <v>1.08868229414038</v>
      </c>
      <c r="I13" s="54">
        <f>=I11/I7</f>
        <v>1.12790740938213</v>
      </c>
      <c r="J13" s="54">
        <f>=J11/J7</f>
        <v>1.09788629234577</v>
      </c>
      <c r="K13" s="54">
        <f>=K11/K7</f>
        <v>1.13224527566971</v>
      </c>
      <c r="L13" s="54">
        <f>=L11/L7</f>
        <v>1.10439154842253</v>
      </c>
      <c r="M13" s="54">
        <f>=M11/M7</f>
        <v>1.14934230454848</v>
      </c>
      <c r="N13" s="54">
        <f>=N11/N7</f>
        <v>1.13143729106319</v>
      </c>
      <c r="O13" s="54">
        <f>=O11/O7</f>
        <v>1.16256821440762</v>
      </c>
      <c r="P13" s="54">
        <f>=P11/P7</f>
        <v>1.19658407547123</v>
      </c>
    </row>
  </sheetData>
  <mergeCells count="4">
    <mergeCell ref="A1:N1"/>
    <mergeCell ref="A3:A4"/>
    <mergeCell ref="A12:A13"/>
    <mergeCell ref="D3:P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>
  <sheetPr/>
  <dimension ref="N33"/>
  <sheetViews>
    <sheetView showGridLines="true" tabSelected="false" workbookViewId="0"/>
  </sheetViews>
  <sheetFormatPr defaultColWidth="8.89091" defaultRowHeight="14"/>
  <cols>
    <col min="1" max="1" width="7.21818" customWidth="true"/>
    <col min="2" max="2" width="17.6636" customWidth="true"/>
    <col min="3" max="13" width="10.5545" customWidth="true"/>
  </cols>
  <sheetData>
    <row r="1" spans="1:13" ht="26" customHeight="true">
      <c r="A1" s="19" t="s">
        <v>168</v>
      </c>
      <c r="B1" s="19" t="s"/>
      <c r="C1" s="19" t="s"/>
      <c r="D1" s="19" t="s"/>
      <c r="E1" s="19" t="s"/>
      <c r="F1" s="19" t="s"/>
      <c r="G1" s="19" t="s"/>
      <c r="H1" s="19" t="s"/>
      <c r="I1" s="19" t="s"/>
      <c r="J1" s="19" t="s"/>
      <c r="K1" s="19" t="s"/>
      <c r="L1" s="19" t="s"/>
      <c r="M1" s="19" t="s"/>
    </row>
    <row r="2" spans="1:19" ht="15.9" customHeight="true">
      <c r="A2" s="137" t="s">
        <v>3</v>
      </c>
      <c r="B2" s="138" t="s">
        <v>30</v>
      </c>
      <c r="C2" s="139" t="s">
        <v>169</v>
      </c>
      <c r="D2" s="9" t="s"/>
      <c r="E2" s="9" t="s"/>
      <c r="F2" s="9" t="s"/>
      <c r="G2" s="9" t="s"/>
      <c r="H2" s="9" t="s"/>
      <c r="I2" s="9" t="s"/>
      <c r="J2" s="9" t="s"/>
      <c r="K2" s="9" t="s"/>
      <c r="L2" s="9" t="s"/>
      <c r="M2" s="9" t="s"/>
      <c r="N2" s="9" t="s"/>
      <c r="O2" s="140" t="s"/>
      <c r="P2" s="140" t="s"/>
      <c r="Q2" s="140" t="s"/>
      <c r="R2" s="140" t="s"/>
      <c r="S2" s="140" t="s"/>
    </row>
    <row r="3" spans="1:19">
      <c r="A3" s="137" t="s"/>
      <c r="B3" s="138" t="s"/>
      <c r="C3" s="141">
        <v>1</v>
      </c>
      <c r="D3" s="141">
        <v>2</v>
      </c>
      <c r="E3" s="141">
        <v>3</v>
      </c>
      <c r="F3" s="141">
        <v>4</v>
      </c>
      <c r="G3" s="141">
        <v>5</v>
      </c>
      <c r="H3" s="141">
        <v>6</v>
      </c>
      <c r="I3" s="141">
        <v>7</v>
      </c>
      <c r="J3" s="141">
        <v>8</v>
      </c>
      <c r="K3" s="141">
        <v>9</v>
      </c>
      <c r="L3" s="141">
        <v>10</v>
      </c>
      <c r="M3" s="141">
        <v>11</v>
      </c>
      <c r="N3" s="141">
        <v>12</v>
      </c>
      <c r="O3" s="142" t="s"/>
      <c r="P3" s="142" t="s"/>
      <c r="Q3" s="142" t="s"/>
      <c r="R3" s="142" t="s"/>
      <c r="S3" s="142" t="s"/>
    </row>
    <row r="4" spans="1:19">
      <c r="A4" s="137">
        <v>1</v>
      </c>
      <c r="B4" s="143" t="s">
        <v>170</v>
      </c>
      <c r="C4" s="144">
        <f>=C5-C9</f>
        <v>1201.35663860868</v>
      </c>
      <c r="D4" s="144">
        <f>=D5-D9</f>
        <v>848.484968420546</v>
      </c>
      <c r="E4" s="144">
        <f>=E5-E9</f>
        <v>842.955271784724</v>
      </c>
      <c r="F4" s="144">
        <f>=F5-F9</f>
        <v>833.762457612082</v>
      </c>
      <c r="G4" s="144">
        <f>=G5-G9</f>
        <v>827.607320865303</v>
      </c>
      <c r="H4" s="144">
        <f>=H5-H9</f>
        <v>819.754646144758</v>
      </c>
      <c r="I4" s="144">
        <f>=I5-I9</f>
        <v>807.561574937816</v>
      </c>
      <c r="J4" s="144">
        <f>=J5-J9</f>
        <v>798.580208118158</v>
      </c>
      <c r="K4" s="144">
        <f>=K5-K9</f>
        <v>789.289212445098</v>
      </c>
      <c r="L4" s="144">
        <f>=L5-L9</f>
        <v>774.285073562904</v>
      </c>
      <c r="M4" s="144">
        <f>=M5-M9</f>
        <v>762.796021625121</v>
      </c>
      <c r="N4" s="144">
        <f>=N5-N9</f>
        <v>751.643227231402</v>
      </c>
      <c r="O4" s="142" t="s"/>
      <c r="P4" s="142" t="s"/>
      <c r="Q4" s="142" t="s"/>
      <c r="R4" s="142" t="s"/>
      <c r="S4" s="142" t="s"/>
    </row>
    <row r="5" spans="1:19">
      <c r="A5" s="137">
        <v>1.1</v>
      </c>
      <c r="B5" s="143" t="s">
        <v>171</v>
      </c>
      <c r="C5" s="144">
        <f>=SUM(C6:C8)</f>
        <v>1396.28197084356</v>
      </c>
      <c r="D5" s="144">
        <f>=SUM(D6:D8)</f>
        <v>1243.0444387248</v>
      </c>
      <c r="E5" s="144">
        <f>=SUM(E6:E8)</f>
        <v>1243.89385653118</v>
      </c>
      <c r="F5" s="144">
        <f>=SUM(F6:F8)</f>
        <v>1244.75306724852</v>
      </c>
      <c r="G5" s="144">
        <f>=SUM(G6:G8)</f>
        <v>1245.62202191228</v>
      </c>
      <c r="H5" s="144">
        <f>=SUM(H6:H8)</f>
        <v>1245.09667180272</v>
      </c>
      <c r="I5" s="144">
        <f>=SUM(I6:I8)</f>
        <v>1243.1769684437</v>
      </c>
      <c r="J5" s="144">
        <f>=SUM(J6:J8)</f>
        <v>1241.26686360148</v>
      </c>
      <c r="K5" s="144">
        <f>=SUM(K6:K8)</f>
        <v>1239.36630928348</v>
      </c>
      <c r="L5" s="144">
        <f>=SUM(L6:L8)</f>
        <v>1237.47525773706</v>
      </c>
      <c r="M5" s="144">
        <f>=SUM(M6:M8)</f>
        <v>1235.59366144837</v>
      </c>
      <c r="N5" s="144">
        <f>=SUM(N6:N8)</f>
        <v>1233.72147314113</v>
      </c>
      <c r="O5" s="142" t="s"/>
      <c r="P5" s="142" t="s"/>
      <c r="Q5" s="142" t="s"/>
      <c r="R5" s="142" t="s"/>
      <c r="S5" s="142" t="s"/>
    </row>
    <row r="6" spans="1:19">
      <c r="A6" s="137" t="s">
        <v>32</v>
      </c>
      <c r="B6" s="143" t="s">
        <v>7</v>
      </c>
      <c r="C6" s="144">
        <f>=营业收入及税金表!D5</f>
        <v>621.10243152</v>
      </c>
      <c r="D6" s="144">
        <f>=营业收入及税金表!E5</f>
        <v>1243.0444387248</v>
      </c>
      <c r="E6" s="144">
        <f>=营业收入及税金表!F5</f>
        <v>1243.89385653118</v>
      </c>
      <c r="F6" s="144">
        <f>=营业收入及税金表!G5</f>
        <v>1244.75306724852</v>
      </c>
      <c r="G6" s="144">
        <f>=营业收入及税金表!H5</f>
        <v>1245.62202191228</v>
      </c>
      <c r="H6" s="144">
        <f>=营业收入及税金表!I5</f>
        <v>1245.09667180272</v>
      </c>
      <c r="I6" s="144">
        <f>=营业收入及税金表!J5</f>
        <v>1243.1769684437</v>
      </c>
      <c r="J6" s="144">
        <f>=营业收入及税金表!K5</f>
        <v>1241.26686360148</v>
      </c>
      <c r="K6" s="144">
        <f>=营业收入及税金表!L5</f>
        <v>1239.36630928348</v>
      </c>
      <c r="L6" s="144">
        <f>=营业收入及税金表!M5</f>
        <v>1237.47525773706</v>
      </c>
      <c r="M6" s="144">
        <f>=营业收入及税金表!N5</f>
        <v>1235.59366144837</v>
      </c>
      <c r="N6" s="144">
        <f>=营业收入及税金表!O5</f>
        <v>1233.72147314113</v>
      </c>
      <c r="O6" s="142" t="s"/>
      <c r="P6" s="142" t="s"/>
      <c r="Q6" s="142" t="s"/>
      <c r="R6" s="142" t="s"/>
      <c r="S6" s="142" t="s"/>
    </row>
    <row r="7" spans="1:19">
      <c r="A7" s="137" t="s">
        <v>34</v>
      </c>
      <c r="B7" s="143" t="s">
        <v>11</v>
      </c>
      <c r="C7" s="144">
        <f>=项目投资现金流量表!D7</f>
        <v>775.17953932356</v>
      </c>
      <c r="D7" s="144" t="s"/>
      <c r="E7" s="144" t="s"/>
      <c r="F7" s="144" t="s"/>
      <c r="G7" s="144" t="s"/>
      <c r="H7" s="144" t="s"/>
      <c r="I7" s="144" t="s"/>
      <c r="J7" s="144" t="s"/>
      <c r="K7" s="144" t="s"/>
      <c r="L7" s="144" t="s"/>
      <c r="M7" s="144" t="s"/>
      <c r="N7" s="144" t="s"/>
      <c r="O7" s="142" t="s"/>
      <c r="P7" s="142" t="s"/>
      <c r="Q7" s="142" t="s"/>
      <c r="R7" s="142" t="s"/>
      <c r="S7" s="142" t="s"/>
    </row>
    <row r="8" spans="1:19">
      <c r="A8" s="137" t="s">
        <v>36</v>
      </c>
      <c r="B8" s="143" t="s">
        <v>172</v>
      </c>
      <c r="C8" s="144" t="s"/>
      <c r="D8" s="144" t="s"/>
      <c r="E8" s="144" t="s"/>
      <c r="F8" s="144" t="s"/>
      <c r="G8" s="144" t="s"/>
      <c r="H8" s="144" t="s"/>
      <c r="I8" s="144" t="s"/>
      <c r="J8" s="144" t="s"/>
      <c r="K8" s="144" t="s"/>
      <c r="L8" s="144" t="s"/>
      <c r="M8" s="144" t="s"/>
      <c r="N8" s="144" t="s"/>
      <c r="O8" s="142" t="s"/>
      <c r="P8" s="142" t="s"/>
      <c r="Q8" s="142" t="s"/>
      <c r="R8" s="142" t="s"/>
      <c r="S8" s="142" t="s"/>
    </row>
    <row r="9" spans="1:19">
      <c r="A9" s="137">
        <v>1.2</v>
      </c>
      <c r="B9" s="143" t="s">
        <v>173</v>
      </c>
      <c r="C9" s="144">
        <f>=SUM(C10:C13)</f>
        <v>194.92533223488</v>
      </c>
      <c r="D9" s="144">
        <f>=SUM(D10:D13)</f>
        <v>394.559470304255</v>
      </c>
      <c r="E9" s="144">
        <f>=SUM(E10:E13)</f>
        <v>400.938584746452</v>
      </c>
      <c r="F9" s="144">
        <f>=SUM(F10:F13)</f>
        <v>410.990609636438</v>
      </c>
      <c r="G9" s="144">
        <f>=SUM(G10:G13)</f>
        <v>418.014701046975</v>
      </c>
      <c r="H9" s="144">
        <f>=SUM(H10:H13)</f>
        <v>425.342025657958</v>
      </c>
      <c r="I9" s="144">
        <f>=SUM(I10:I13)</f>
        <v>435.615393505887</v>
      </c>
      <c r="J9" s="144">
        <f>=SUM(J10:J13)</f>
        <v>442.686655483326</v>
      </c>
      <c r="K9" s="144">
        <f>=SUM(K10:K13)</f>
        <v>450.077096838378</v>
      </c>
      <c r="L9" s="144">
        <f>=SUM(L10:L13)</f>
        <v>463.190184174155</v>
      </c>
      <c r="M9" s="144">
        <f>=SUM(M10:M13)</f>
        <v>472.797639823253</v>
      </c>
      <c r="N9" s="144">
        <f>=SUM(N10:N13)</f>
        <v>482.07824590973</v>
      </c>
      <c r="O9" s="142" t="s"/>
      <c r="P9" s="142" t="s"/>
      <c r="Q9" s="142" t="s"/>
      <c r="R9" s="142" t="s"/>
      <c r="S9" s="142" t="s"/>
    </row>
    <row r="10" spans="1:19">
      <c r="A10" s="137" t="s">
        <v>43</v>
      </c>
      <c r="B10" s="143" t="s">
        <v>174</v>
      </c>
      <c r="C10" s="144">
        <f>=总成本费用表!D10</f>
        <v>86.15126052</v>
      </c>
      <c r="D10" s="144">
        <f>=总成本费用表!E10</f>
        <v>172.4801184348</v>
      </c>
      <c r="E10" s="144">
        <f>=总成本费用表!F10</f>
        <v>172.310270342626</v>
      </c>
      <c r="F10" s="144">
        <f>=总成本费用表!G10</f>
        <v>176.612971490913</v>
      </c>
      <c r="G10" s="144">
        <f>=总成本费用表!H10</f>
        <v>176.455216633458</v>
      </c>
      <c r="H10" s="144">
        <f>=总成本费用表!I10</f>
        <v>176.948500550291</v>
      </c>
      <c r="I10" s="144">
        <f>=总成本费用表!J10</f>
        <v>181.48789304754</v>
      </c>
      <c r="J10" s="144">
        <f>=总成本费用表!K10</f>
        <v>181.333238957302</v>
      </c>
      <c r="K10" s="144">
        <f>=总成本费用表!L10</f>
        <v>181.179608137515</v>
      </c>
      <c r="L10" s="144">
        <f>=总成本费用表!M10</f>
        <v>185.284495471828</v>
      </c>
      <c r="M10" s="144">
        <f>=总成本费用表!N10</f>
        <v>190.238270869469</v>
      </c>
      <c r="N10" s="144">
        <f>=总成本费用表!O10</f>
        <v>194.684198015121</v>
      </c>
      <c r="O10" s="142" t="s"/>
      <c r="P10" s="142" t="s"/>
      <c r="Q10" s="142" t="s"/>
      <c r="R10" s="142" t="s"/>
      <c r="S10" s="142" t="s"/>
    </row>
    <row r="11" spans="1:19">
      <c r="A11" s="137" t="s">
        <v>45</v>
      </c>
      <c r="B11" s="143" t="s">
        <v>175</v>
      </c>
      <c r="C11" s="144">
        <f>=利润及利润分配表!D6+利润及利润分配表!D7</f>
        <v>85.88528970736</v>
      </c>
      <c r="D11" s="144">
        <f>=利润及利润分配表!E6+利润及利润分配表!E7</f>
        <v>171.711531237646</v>
      </c>
      <c r="E11" s="144">
        <f>=利润及利润分配表!F6+利润及利润分配表!F7</f>
        <v>171.703725983958</v>
      </c>
      <c r="F11" s="144">
        <f>=利润及利润分配表!G6+利润及利润分配表!G7</f>
        <v>171.697321116538</v>
      </c>
      <c r="G11" s="144">
        <f>=利润及利润分配表!H6+利润及利润分配表!H7</f>
        <v>171.690879633456</v>
      </c>
      <c r="H11" s="144">
        <f>=利润及利润分配表!I6+利润及利润分配表!I7</f>
        <v>171.482478567788</v>
      </c>
      <c r="I11" s="144">
        <f>=利润及利润分配表!J6+利润及利润分配表!J7</f>
        <v>171.20081098745</v>
      </c>
      <c r="J11" s="144">
        <f>=利润及利润分配表!K6+利润及利润分配表!K7</f>
        <v>170.920515995012</v>
      </c>
      <c r="K11" s="144">
        <f>=利润及利润分配表!L6+利润及利润分配表!L7</f>
        <v>170.641586727537</v>
      </c>
      <c r="L11" s="144">
        <f>=利润及利润分配表!M6+利润及利润分配表!M7</f>
        <v>170.3711663564</v>
      </c>
      <c r="M11" s="144">
        <f>=利润及利润分配表!N6+利润及利润分配表!N7</f>
        <v>170.034530587117</v>
      </c>
      <c r="N11" s="144">
        <f>=利润及利润分配表!O6+利润及利润分配表!O7</f>
        <v>169.766807659182</v>
      </c>
      <c r="O11" s="142" t="s"/>
      <c r="P11" s="142" t="s"/>
      <c r="Q11" s="142" t="s"/>
      <c r="R11" s="142" t="s"/>
      <c r="S11" s="142" t="s"/>
    </row>
    <row r="12" spans="1:19">
      <c r="A12" s="137" t="s">
        <v>176</v>
      </c>
      <c r="B12" s="143" t="s">
        <v>15</v>
      </c>
      <c r="C12" s="144">
        <f>=利润及利润分配表!D13</f>
        <v>22.8887820075199</v>
      </c>
      <c r="D12" s="144">
        <f>=利润及利润分配表!E13</f>
        <v>50.3678206318082</v>
      </c>
      <c r="E12" s="144">
        <f>=利润及利润分配表!F13</f>
        <v>56.9245884198677</v>
      </c>
      <c r="F12" s="144">
        <f>=利润及利润分配表!G13</f>
        <v>62.680317028987</v>
      </c>
      <c r="G12" s="144">
        <f>=利润及利润分配表!H13</f>
        <v>69.8686047800606</v>
      </c>
      <c r="H12" s="144">
        <f>=利润及利润分配表!I13</f>
        <v>76.911046539879</v>
      </c>
      <c r="I12" s="144">
        <f>=利润及利润分配表!J13</f>
        <v>82.9266894708982</v>
      </c>
      <c r="J12" s="144">
        <f>=利润及利润分配表!K13</f>
        <v>90.4329005310122</v>
      </c>
      <c r="K12" s="144">
        <f>=利润及利润分配表!L13</f>
        <v>98.2559019733258</v>
      </c>
      <c r="L12" s="144">
        <f>=利润及利润分配表!M13</f>
        <v>107.534522345928</v>
      </c>
      <c r="M12" s="144">
        <f>=利润及利润分配表!N13</f>
        <v>112.524838366667</v>
      </c>
      <c r="N12" s="144">
        <f>=利润及利润分配表!O13</f>
        <v>117.627240235427</v>
      </c>
      <c r="O12" s="142" t="s"/>
      <c r="P12" s="142" t="s"/>
      <c r="Q12" s="142" t="s"/>
      <c r="R12" s="142" t="s"/>
      <c r="S12" s="142" t="s"/>
    </row>
    <row r="13" spans="1:19">
      <c r="A13" s="137" t="s">
        <v>177</v>
      </c>
      <c r="B13" s="143" t="s">
        <v>178</v>
      </c>
      <c r="C13" s="144" t="s"/>
      <c r="D13" s="144" t="s"/>
      <c r="E13" s="144" t="s"/>
      <c r="F13" s="144" t="s"/>
      <c r="G13" s="144" t="s"/>
      <c r="H13" s="144" t="s"/>
      <c r="I13" s="144" t="s"/>
      <c r="J13" s="144" t="s"/>
      <c r="K13" s="144" t="s"/>
      <c r="L13" s="144" t="s"/>
      <c r="M13" s="144" t="s"/>
      <c r="N13" s="144" t="s"/>
      <c r="O13" s="142" t="s"/>
      <c r="P13" s="142" t="s"/>
      <c r="Q13" s="142" t="s"/>
      <c r="R13" s="142" t="s"/>
      <c r="S13" s="142" t="s"/>
    </row>
    <row r="14" spans="1:19">
      <c r="A14" s="137">
        <v>2</v>
      </c>
      <c r="B14" s="143" t="s">
        <v>179</v>
      </c>
      <c r="C14" s="144">
        <f>=C15-C16</f>
        <v>-8700.045992484</v>
      </c>
      <c r="D14" s="144" t="s"/>
      <c r="E14" s="144" t="s"/>
      <c r="F14" s="144" t="s"/>
      <c r="G14" s="144" t="s"/>
      <c r="H14" s="144" t="s"/>
      <c r="I14" s="144" t="s"/>
      <c r="J14" s="144" t="s"/>
      <c r="K14" s="144" t="s"/>
      <c r="L14" s="144" t="s"/>
      <c r="M14" s="144" t="s"/>
      <c r="N14" s="144" t="s"/>
      <c r="O14" s="142" t="s"/>
      <c r="P14" s="142" t="s"/>
      <c r="Q14" s="142" t="s"/>
      <c r="R14" s="142" t="s"/>
      <c r="S14" s="142" t="s"/>
    </row>
    <row r="15" spans="1:19">
      <c r="A15" s="137">
        <v>2.1</v>
      </c>
      <c r="B15" s="143" t="s">
        <v>171</v>
      </c>
      <c r="C15" s="144">
        <v>0</v>
      </c>
      <c r="D15" s="144" t="s"/>
      <c r="E15" s="144" t="s"/>
      <c r="F15" s="144" t="s"/>
      <c r="G15" s="144" t="s"/>
      <c r="H15" s="144" t="s"/>
      <c r="I15" s="144" t="s"/>
      <c r="J15" s="144" t="s"/>
      <c r="K15" s="144" t="s"/>
      <c r="L15" s="144" t="s"/>
      <c r="M15" s="144" t="s"/>
      <c r="N15" s="144" t="s"/>
      <c r="O15" s="142" t="s"/>
      <c r="P15" s="142" t="s"/>
      <c r="Q15" s="142" t="s"/>
      <c r="R15" s="142" t="s"/>
      <c r="S15" s="142" t="s"/>
    </row>
    <row r="16" spans="1:19">
      <c r="A16" s="137">
        <v>2.2</v>
      </c>
      <c r="B16" s="143" t="s">
        <v>173</v>
      </c>
      <c r="C16" s="144">
        <f>=SUM(C17:C20)</f>
        <v>8700.045992484</v>
      </c>
      <c r="D16" s="144" t="s"/>
      <c r="E16" s="144" t="s"/>
      <c r="F16" s="144" t="s"/>
      <c r="G16" s="144" t="s"/>
      <c r="H16" s="144" t="s"/>
      <c r="I16" s="144" t="s"/>
      <c r="J16" s="144" t="s"/>
      <c r="K16" s="144" t="s"/>
      <c r="L16" s="144" t="s"/>
      <c r="M16" s="144" t="s"/>
      <c r="N16" s="144" t="s"/>
      <c r="O16" s="142" t="s"/>
      <c r="P16" s="142" t="s"/>
      <c r="Q16" s="142" t="s"/>
      <c r="R16" s="142" t="s"/>
      <c r="S16" s="142" t="s"/>
    </row>
    <row r="17" spans="1:19">
      <c r="A17" s="137" t="s">
        <v>180</v>
      </c>
      <c r="B17" s="143" t="s">
        <v>181</v>
      </c>
      <c r="C17" s="144">
        <f>=总投资!G55</f>
        <v>8700.045992484</v>
      </c>
      <c r="D17" s="144" t="s"/>
      <c r="E17" s="144" t="s"/>
      <c r="F17" s="144" t="s"/>
      <c r="G17" s="144" t="s"/>
      <c r="H17" s="144" t="s"/>
      <c r="I17" s="144" t="s"/>
      <c r="J17" s="144" t="s"/>
      <c r="K17" s="144" t="s"/>
      <c r="L17" s="144" t="s"/>
      <c r="M17" s="144" t="s"/>
      <c r="N17" s="144" t="s"/>
      <c r="O17" s="142" t="s"/>
      <c r="P17" s="142" t="s"/>
      <c r="Q17" s="142" t="s"/>
      <c r="R17" s="142" t="s"/>
      <c r="S17" s="142" t="s"/>
    </row>
    <row r="18" spans="1:19">
      <c r="A18" s="137" t="s">
        <v>182</v>
      </c>
      <c r="B18" s="143" t="s">
        <v>183</v>
      </c>
      <c r="C18" s="144" t="s"/>
      <c r="D18" s="144" t="s"/>
      <c r="E18" s="144" t="s"/>
      <c r="F18" s="144" t="s"/>
      <c r="G18" s="144" t="s"/>
      <c r="H18" s="144" t="s"/>
      <c r="I18" s="144" t="s"/>
      <c r="J18" s="144" t="s"/>
      <c r="K18" s="144" t="s"/>
      <c r="L18" s="144" t="s"/>
      <c r="M18" s="144" t="s"/>
      <c r="N18" s="144" t="s"/>
      <c r="O18" s="142" t="s"/>
      <c r="P18" s="142" t="s"/>
      <c r="Q18" s="142" t="s"/>
      <c r="R18" s="142" t="s"/>
      <c r="S18" s="142" t="s"/>
    </row>
    <row r="19" spans="1:19">
      <c r="A19" s="137" t="s">
        <v>184</v>
      </c>
      <c r="B19" s="143" t="s">
        <v>185</v>
      </c>
      <c r="C19" s="144" t="s"/>
      <c r="D19" s="144" t="s"/>
      <c r="E19" s="144" t="s"/>
      <c r="F19" s="144" t="s"/>
      <c r="G19" s="144" t="s"/>
      <c r="H19" s="144" t="s"/>
      <c r="I19" s="144" t="s"/>
      <c r="J19" s="144" t="s"/>
      <c r="K19" s="144" t="s"/>
      <c r="L19" s="144" t="s"/>
      <c r="M19" s="144" t="s"/>
      <c r="N19" s="144" t="s"/>
      <c r="O19" s="142" t="s"/>
      <c r="P19" s="142" t="s"/>
      <c r="Q19" s="142" t="s"/>
      <c r="R19" s="142" t="s"/>
      <c r="S19" s="142" t="s"/>
    </row>
    <row r="20" spans="1:19">
      <c r="A20" s="137" t="s">
        <v>186</v>
      </c>
      <c r="B20" s="143" t="s">
        <v>178</v>
      </c>
      <c r="C20" s="144" t="s"/>
      <c r="D20" s="144" t="s"/>
      <c r="E20" s="144" t="s"/>
      <c r="F20" s="144" t="s"/>
      <c r="G20" s="144" t="s"/>
      <c r="H20" s="144" t="s"/>
      <c r="I20" s="144" t="s"/>
      <c r="J20" s="144" t="s"/>
      <c r="K20" s="144" t="s"/>
      <c r="L20" s="144" t="s"/>
      <c r="M20" s="144" t="s"/>
      <c r="N20" s="144" t="s"/>
      <c r="O20" s="142" t="s"/>
      <c r="P20" s="142" t="s"/>
      <c r="Q20" s="142" t="s"/>
      <c r="R20" s="142" t="s"/>
      <c r="S20" s="142" t="s"/>
    </row>
    <row r="21" spans="1:19">
      <c r="A21" s="137">
        <v>3</v>
      </c>
      <c r="B21" s="143" t="s">
        <v>187</v>
      </c>
      <c r="C21" s="144">
        <f>=C22-C26</f>
        <v>12361.42</v>
      </c>
      <c r="D21" s="144">
        <f>=D22-D26</f>
        <v>-671.36</v>
      </c>
      <c r="E21" s="144">
        <f>=E22-E26</f>
        <v>-825.08</v>
      </c>
      <c r="F21" s="144">
        <f>=F22-F26</f>
        <v>-849.88</v>
      </c>
      <c r="G21" s="144">
        <f>=G22-G26</f>
        <v>-823.42</v>
      </c>
      <c r="H21" s="144">
        <f>=H22-H26</f>
        <v>-845.7</v>
      </c>
      <c r="I21" s="144">
        <f>=I22-I26</f>
        <v>-816.72</v>
      </c>
      <c r="J21" s="144">
        <f>=J22-J26</f>
        <v>-836.48</v>
      </c>
      <c r="K21" s="144">
        <f>=K22-K26</f>
        <v>-804.98</v>
      </c>
      <c r="L21" s="144">
        <f>=L22-L26</f>
        <v>-822.22</v>
      </c>
      <c r="M21" s="144">
        <f>=M22-M26</f>
        <v>-779.38</v>
      </c>
      <c r="N21" s="144">
        <f>=N22-N26</f>
        <v>-752.92</v>
      </c>
      <c r="O21" s="145" t="s"/>
      <c r="P21" s="145" t="s"/>
      <c r="Q21" s="145" t="s"/>
      <c r="R21" s="145" t="s"/>
      <c r="S21" s="145" t="s"/>
    </row>
    <row r="22" spans="1:19">
      <c r="A22" s="137">
        <v>3.1</v>
      </c>
      <c r="B22" s="143" t="s">
        <v>171</v>
      </c>
      <c r="C22" s="144">
        <f>=SUM(C23:C25)</f>
        <v>12648.36</v>
      </c>
      <c r="D22" s="144" t="s"/>
      <c r="E22" s="144" t="s"/>
      <c r="F22" s="144" t="s"/>
      <c r="G22" s="144" t="s"/>
      <c r="H22" s="144" t="s"/>
      <c r="I22" s="144" t="s"/>
      <c r="J22" s="144" t="s"/>
      <c r="K22" s="144" t="s"/>
      <c r="L22" s="144" t="s"/>
      <c r="M22" s="144" t="s"/>
      <c r="N22" s="144" t="s"/>
      <c r="O22" s="142" t="s"/>
      <c r="P22" s="142" t="s"/>
      <c r="Q22" s="142" t="s"/>
      <c r="R22" s="142" t="s"/>
      <c r="S22" s="142" t="s"/>
    </row>
    <row r="23" spans="1:19">
      <c r="A23" s="137" t="s">
        <v>188</v>
      </c>
      <c r="B23" s="143" t="s">
        <v>189</v>
      </c>
      <c r="C23" s="144">
        <v>2648.36</v>
      </c>
      <c r="D23" s="144" t="s"/>
      <c r="E23" s="144" t="s"/>
      <c r="F23" s="144" t="s"/>
      <c r="G23" s="144" t="s"/>
      <c r="H23" s="144" t="s"/>
      <c r="I23" s="144" t="s"/>
      <c r="J23" s="144" t="s"/>
      <c r="K23" s="144" t="s"/>
      <c r="L23" s="144" t="s"/>
      <c r="M23" s="144" t="s"/>
      <c r="N23" s="144" t="s"/>
      <c r="O23" s="142" t="s"/>
      <c r="P23" s="142" t="s"/>
      <c r="Q23" s="142" t="s"/>
      <c r="R23" s="142" t="s"/>
      <c r="S23" s="142" t="s"/>
    </row>
    <row r="24" spans="1:19">
      <c r="A24" s="137" t="s">
        <v>190</v>
      </c>
      <c r="B24" s="143" t="s">
        <v>70</v>
      </c>
      <c r="C24" s="144">
        <v>10000</v>
      </c>
      <c r="D24" s="144" t="s"/>
      <c r="E24" s="144" t="s"/>
      <c r="F24" s="144" t="s"/>
      <c r="G24" s="144" t="s"/>
      <c r="H24" s="144" t="s"/>
      <c r="I24" s="144" t="s"/>
      <c r="J24" s="144" t="s"/>
      <c r="K24" s="144" t="s"/>
      <c r="L24" s="144" t="s"/>
      <c r="M24" s="144" t="s"/>
      <c r="N24" s="144" t="s"/>
      <c r="O24" s="142" t="s"/>
      <c r="P24" s="142" t="s"/>
      <c r="Q24" s="142" t="s"/>
      <c r="R24" s="142" t="s"/>
      <c r="S24" s="142" t="s"/>
    </row>
    <row r="25" spans="1:19">
      <c r="A25" s="137" t="s">
        <v>191</v>
      </c>
      <c r="B25" s="143" t="s">
        <v>172</v>
      </c>
      <c r="C25" s="144" t="s"/>
      <c r="D25" s="144" t="s"/>
      <c r="E25" s="144" t="s"/>
      <c r="F25" s="144" t="s"/>
      <c r="G25" s="144" t="s"/>
      <c r="H25" s="144" t="s"/>
      <c r="I25" s="144" t="s"/>
      <c r="J25" s="144" t="s"/>
      <c r="K25" s="144" t="s"/>
      <c r="L25" s="144" t="s"/>
      <c r="M25" s="144" t="s"/>
      <c r="N25" s="144" t="s"/>
      <c r="O25" s="142" t="s"/>
      <c r="P25" s="142" t="s"/>
      <c r="Q25" s="142" t="s"/>
      <c r="R25" s="142" t="s"/>
      <c r="S25" s="142" t="s"/>
    </row>
    <row r="26" spans="1:19">
      <c r="A26" s="137">
        <v>3.2</v>
      </c>
      <c r="B26" s="143" t="s">
        <v>173</v>
      </c>
      <c r="C26" s="144">
        <f>=SUM(C27:C30)</f>
        <v>286.94</v>
      </c>
      <c r="D26" s="144">
        <f>=SUM(D27:D30)</f>
        <v>671.36</v>
      </c>
      <c r="E26" s="144">
        <f>=SUM(E27:E30)</f>
        <v>825.08</v>
      </c>
      <c r="F26" s="144">
        <f>=SUM(F27:F30)</f>
        <v>849.88</v>
      </c>
      <c r="G26" s="144">
        <f>=SUM(G27:G30)</f>
        <v>823.42</v>
      </c>
      <c r="H26" s="144">
        <f>=SUM(H27:H30)</f>
        <v>845.7</v>
      </c>
      <c r="I26" s="144">
        <f>=SUM(I27:I30)</f>
        <v>816.72</v>
      </c>
      <c r="J26" s="144">
        <f>=SUM(J27:J30)</f>
        <v>836.48</v>
      </c>
      <c r="K26" s="144">
        <f>=SUM(K27:K30)</f>
        <v>804.98</v>
      </c>
      <c r="L26" s="144">
        <f>=SUM(L27:L30)</f>
        <v>822.22</v>
      </c>
      <c r="M26" s="144">
        <f>=SUM(M27:M30)</f>
        <v>779.38</v>
      </c>
      <c r="N26" s="144">
        <f>=SUM(N27:N30)</f>
        <v>752.92</v>
      </c>
      <c r="O26" s="142" t="s"/>
      <c r="P26" s="142" t="s"/>
      <c r="Q26" s="142" t="s"/>
      <c r="R26" s="142" t="s"/>
      <c r="S26" s="142" t="s"/>
    </row>
    <row r="27" spans="1:19">
      <c r="A27" s="137" t="s">
        <v>192</v>
      </c>
      <c r="B27" s="143" t="s">
        <v>193</v>
      </c>
      <c r="C27" s="144">
        <f>=还本付息表!D9</f>
        <v>86.94</v>
      </c>
      <c r="D27" s="144">
        <f>=还本付息表!E9</f>
        <v>171.36</v>
      </c>
      <c r="E27" s="144">
        <f>=还本付息表!F9</f>
        <v>325.08</v>
      </c>
      <c r="F27" s="144">
        <f>=还本付息表!G9</f>
        <v>299.88</v>
      </c>
      <c r="G27" s="144">
        <f>=还本付息表!H9</f>
        <v>273.42</v>
      </c>
      <c r="H27" s="144">
        <f>=还本付息表!I9</f>
        <v>245.7</v>
      </c>
      <c r="I27" s="144">
        <f>=还本付息表!J9</f>
        <v>216.72</v>
      </c>
      <c r="J27" s="144">
        <f>=还本付息表!K9</f>
        <v>186.48</v>
      </c>
      <c r="K27" s="144">
        <f>=还本付息表!L9</f>
        <v>154.98</v>
      </c>
      <c r="L27" s="144">
        <f>=还本付息表!M9</f>
        <v>122.22</v>
      </c>
      <c r="M27" s="144">
        <f>=还本付息表!N9</f>
        <v>79.38</v>
      </c>
      <c r="N27" s="144">
        <f>=还本付息表!O9</f>
        <v>52.92</v>
      </c>
      <c r="O27" s="142" t="s"/>
      <c r="P27" s="142" t="s"/>
      <c r="Q27" s="142" t="s"/>
      <c r="R27" s="142" t="s"/>
      <c r="S27" s="142" t="s"/>
    </row>
    <row r="28" spans="1:19">
      <c r="A28" s="137" t="s">
        <v>194</v>
      </c>
      <c r="B28" s="143" t="s">
        <v>195</v>
      </c>
      <c r="C28" s="144">
        <f>=还本付息表!E8</f>
        <v>200</v>
      </c>
      <c r="D28" s="144">
        <f>=还本付息表!F8</f>
        <v>500</v>
      </c>
      <c r="E28" s="144">
        <f>=还本付息表!G8</f>
        <v>500</v>
      </c>
      <c r="F28" s="144">
        <f>=还本付息表!H8</f>
        <v>550</v>
      </c>
      <c r="G28" s="144">
        <f>=还本付息表!I8</f>
        <v>550</v>
      </c>
      <c r="H28" s="144">
        <f>=还本付息表!J8</f>
        <v>600</v>
      </c>
      <c r="I28" s="144">
        <f>=还本付息表!K8</f>
        <v>600</v>
      </c>
      <c r="J28" s="144">
        <f>=还本付息表!L8</f>
        <v>650</v>
      </c>
      <c r="K28" s="144">
        <f>=还本付息表!M8</f>
        <v>650</v>
      </c>
      <c r="L28" s="144">
        <f>=还本付息表!N8</f>
        <v>700</v>
      </c>
      <c r="M28" s="144">
        <f>=还本付息表!O8</f>
        <v>700</v>
      </c>
      <c r="N28" s="144">
        <f>=还本付息表!P8</f>
        <v>700</v>
      </c>
      <c r="O28" s="142" t="s"/>
      <c r="P28" s="142" t="s"/>
      <c r="Q28" s="142" t="s"/>
      <c r="R28" s="142" t="s"/>
      <c r="S28" s="142" t="s"/>
    </row>
    <row r="29" spans="1:19">
      <c r="A29" s="137" t="s">
        <v>196</v>
      </c>
      <c r="B29" s="143" t="s">
        <v>197</v>
      </c>
      <c r="C29" s="144" t="s"/>
      <c r="D29" s="144" t="s"/>
      <c r="E29" s="144" t="s"/>
      <c r="F29" s="144" t="s"/>
      <c r="G29" s="144" t="s"/>
      <c r="H29" s="144" t="s"/>
      <c r="I29" s="144" t="s"/>
      <c r="J29" s="144" t="s"/>
      <c r="K29" s="144" t="s"/>
      <c r="L29" s="144" t="s"/>
      <c r="M29" s="144" t="s"/>
      <c r="N29" s="144" t="s"/>
      <c r="O29" s="142" t="s"/>
      <c r="P29" s="142" t="s"/>
      <c r="Q29" s="142" t="s"/>
      <c r="R29" s="142" t="s"/>
      <c r="S29" s="142" t="s"/>
    </row>
    <row r="30" spans="1:19">
      <c r="A30" s="137" t="s">
        <v>198</v>
      </c>
      <c r="B30" s="143" t="s">
        <v>178</v>
      </c>
      <c r="C30" s="144" t="s"/>
      <c r="D30" s="144" t="s"/>
      <c r="E30" s="144" t="s"/>
      <c r="F30" s="144" t="s"/>
      <c r="G30" s="144" t="s"/>
      <c r="H30" s="144" t="s"/>
      <c r="I30" s="144" t="s"/>
      <c r="J30" s="144" t="s"/>
      <c r="K30" s="144" t="s"/>
      <c r="L30" s="144" t="s"/>
      <c r="M30" s="144" t="s"/>
      <c r="N30" s="144" t="s"/>
      <c r="O30" s="142" t="s"/>
      <c r="P30" s="142" t="s"/>
      <c r="Q30" s="142" t="s"/>
      <c r="R30" s="142" t="s"/>
      <c r="S30" s="142" t="s"/>
    </row>
    <row r="31" spans="1:19">
      <c r="A31" s="137" t="s">
        <v>150</v>
      </c>
      <c r="B31" s="143" t="s">
        <v>199</v>
      </c>
      <c r="C31" s="144">
        <f>=C21+C14+C4</f>
        <v>4862.73064612468</v>
      </c>
      <c r="D31" s="144">
        <f>=D21+D14+D4</f>
        <v>177.124968420546</v>
      </c>
      <c r="E31" s="144">
        <f>=E21+E14+E4</f>
        <v>17.8752717847242</v>
      </c>
      <c r="F31" s="144">
        <f>=F21+F14+F4</f>
        <v>-16.117542387918</v>
      </c>
      <c r="G31" s="144">
        <f>=G21+G14+G4</f>
        <v>4.18732086530281</v>
      </c>
      <c r="H31" s="144">
        <f>=H21+H14+H4</f>
        <v>-25.9453538552423</v>
      </c>
      <c r="I31" s="144">
        <f>=I21+I14+I4</f>
        <v>-9.15842506218462</v>
      </c>
      <c r="J31" s="144">
        <f>=J21+J14+J4</f>
        <v>-37.8997918818424</v>
      </c>
      <c r="K31" s="144">
        <f>=K21+K14+K4</f>
        <v>-15.6907875549018</v>
      </c>
      <c r="L31" s="144">
        <f>=L21+L14+L4</f>
        <v>-47.9349264370959</v>
      </c>
      <c r="M31" s="144">
        <f>=M21+M14+M4</f>
        <v>-16.5839783748789</v>
      </c>
      <c r="N31" s="144">
        <f>=N21+N14+N4</f>
        <v>-1.27677276859811</v>
      </c>
      <c r="O31" s="145" t="s"/>
      <c r="P31" s="145" t="s"/>
      <c r="Q31" s="145" t="s"/>
      <c r="R31" s="145" t="s"/>
      <c r="S31" s="145" t="s"/>
    </row>
    <row r="32" spans="1:19">
      <c r="A32" s="137" t="s">
        <v>153</v>
      </c>
      <c r="B32" s="143" t="s">
        <v>200</v>
      </c>
      <c r="C32" s="144">
        <f>=C31</f>
        <v>4862.73064612468</v>
      </c>
      <c r="D32" s="144">
        <f>=D31+C32</f>
        <v>5039.85561454523</v>
      </c>
      <c r="E32" s="144">
        <f>=E31+D32</f>
        <v>5057.73088632995</v>
      </c>
      <c r="F32" s="144">
        <f>=F31+E32</f>
        <v>5041.61334394203</v>
      </c>
      <c r="G32" s="144">
        <f>=G31+F32</f>
        <v>5045.80066480734</v>
      </c>
      <c r="H32" s="144">
        <f>=H31+G32</f>
        <v>5019.85531095209</v>
      </c>
      <c r="I32" s="144">
        <f>=I31+H32</f>
        <v>5010.69688588991</v>
      </c>
      <c r="J32" s="144">
        <f>=J31+I32</f>
        <v>4972.79709400807</v>
      </c>
      <c r="K32" s="144">
        <f>=K31+J32</f>
        <v>4957.10630645317</v>
      </c>
      <c r="L32" s="144">
        <f>=L31+K32</f>
        <v>4909.17138001607</v>
      </c>
      <c r="M32" s="144">
        <f>=M31+L32</f>
        <v>4892.58740164119</v>
      </c>
      <c r="N32" s="144">
        <f>=N31+M32</f>
        <v>4891.31062887259</v>
      </c>
      <c r="O32" s="145" t="s"/>
      <c r="P32" s="145" t="s"/>
      <c r="Q32" s="145" t="s"/>
      <c r="R32" s="145" t="s"/>
      <c r="S32" s="145" t="s"/>
    </row>
    <row r="33" spans="13:13">
      <c r="M33" s="107" t="s"/>
    </row>
  </sheetData>
  <mergeCells count="4">
    <mergeCell ref="A1:M1"/>
    <mergeCell ref="A2:A3"/>
    <mergeCell ref="B2:B3"/>
    <mergeCell ref="C2:N2"/>
  </mergeCells>
  <pageMargins left="0.75" right="0.75" top="1" bottom="1" header="0.5" footer="0.5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2025-05-27T15:34:29Z</dcterms:created>
  <dcterms:modified xsi:type="dcterms:W3CDTF">2025-05-27T15:34:29Z</dcterms:modified>
</cp:coreProperties>
</file>