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xl/comments13.xml" ContentType="application/vnd.openxmlformats-officedocument.spreadsheetml.comments+xml"/>
  <Override PartName="/xl/threadedComments/threadedComment13.xml" ContentType="application/vnd.ms-excel.threadedcomments+xml"/>
  <Override PartName="/xl/comments9.xml" ContentType="application/vnd.openxmlformats-officedocument.spreadsheetml.comments+xml"/>
  <Override PartName="/xl/comments10.xml" ContentType="application/vnd.openxmlformats-officedocument.spreadsheetml.comments+xml"/>
  <Override PartName="/xl/comments4.xml" ContentType="application/vnd.openxmlformats-officedocument.spreadsheetml.comments+xml"/>
  <Override PartName="/xl/threadedComments/threadedComment10.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3.xml" ContentType="application/vnd.openxmlformats-officedocument.spreadsheetml.comments+xml"/>
  <Override PartName="/xl/worksheets/sheet26.xml" ContentType="application/vnd.openxmlformats-officedocument.spreadsheetml.worksheet+xml"/>
  <Override PartName="/xl/worksheets/sheet16.xml" ContentType="application/vnd.openxmlformats-officedocument.spreadsheetml.worksheet+xml"/>
  <Override PartName="/xl/worksheets/sheet23.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9.xml" ContentType="application/vnd.openxmlformats-officedocument.spreadsheetml.worksheet+xml"/>
  <Override PartName="/xl/worksheets/sheet18.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43.xml" ContentType="application/vnd.openxmlformats-officedocument.spreadsheetml.worksheet+xml"/>
  <Override PartName="/xl/worksheets/sheet19.xml" ContentType="application/vnd.openxmlformats-officedocument.spreadsheetml.worksheet+xml"/>
  <Override PartName="/xl/comments6.xml" ContentType="application/vnd.openxmlformats-officedocument.spreadsheetml.comments+xml"/>
  <Override PartName="/xl/worksheets/sheet39.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worksheets/sheet2.xml" ContentType="application/vnd.openxmlformats-officedocument.spreadsheetml.worksheet+xml"/>
  <Override PartName="/xl/worksheets/sheet3.xml" ContentType="application/vnd.openxmlformats-officedocument.spreadsheetml.worksheet+xml"/>
  <Override PartName="/xl/comments15.xml" ContentType="application/vnd.openxmlformats-officedocument.spreadsheetml.comments+xml"/>
  <Override PartName="/xl/worksheets/sheet31.xml" ContentType="application/vnd.openxmlformats-officedocument.spreadsheetml.worksheet+xml"/>
  <Override PartName="/xl/worksheets/sheet41.xml" ContentType="application/vnd.openxmlformats-officedocument.spreadsheetml.worksheet+xml"/>
  <Override PartName="/xl/comments17.xml" ContentType="application/vnd.openxmlformats-officedocument.spreadsheetml.comments+xml"/>
  <Override PartName="/xl/worksheets/sheet38.xml" ContentType="application/vnd.openxmlformats-officedocument.spreadsheetml.worksheet+xml"/>
  <Override PartName="/xl/worksheets/sheet17.xml" ContentType="application/vnd.openxmlformats-officedocument.spreadsheetml.worksheet+xml"/>
  <Override PartName="/xl/threadedComments/threadedComment17.xml" ContentType="application/vnd.ms-excel.threadedcomments+xml"/>
  <Override PartName="/xl/comments2.xml" ContentType="application/vnd.openxmlformats-officedocument.spreadsheetml.comments+xml"/>
  <Override PartName="/xl/worksheets/sheet5.xml" ContentType="application/vnd.openxmlformats-officedocument.spreadsheetml.worksheet+xml"/>
  <Override PartName="/xl/comments19.xml" ContentType="application/vnd.openxmlformats-officedocument.spreadsheetml.comments+xml"/>
  <Override PartName="/xl/worksheets/sheet22.xml" ContentType="application/vnd.openxmlformats-officedocument.spreadsheetml.worksheet+xml"/>
  <Override PartName="/xl/threadedComments/threadedComment14.xml" ContentType="application/vnd.ms-excel.threadedcomments+xml"/>
  <Override PartName="/xl/comments5.xml" ContentType="application/vnd.openxmlformats-officedocument.spreadsheetml.comments+xml"/>
  <Override PartName="/xl/comments16.xml" ContentType="application/vnd.openxmlformats-officedocument.spreadsheetml.comments+xml"/>
  <Override PartName="/xl/threadedComments/threadedComment4.xml" ContentType="application/vnd.ms-excel.threadedcomments+xml"/>
  <Override PartName="/xl/threadedComments/threadedComment16.xml" ContentType="application/vnd.ms-excel.threadedcomments+xml"/>
  <Override PartName="/xl/worksheets/sheet20.xml" ContentType="application/vnd.openxmlformats-officedocument.spreadsheetml.worksheet+xml"/>
  <Override PartName="/xl/worksheets/sheet37.xml" ContentType="application/vnd.openxmlformats-officedocument.spreadsheetml.worksheet+xml"/>
  <Override PartName="/xl/worksheets/sheet25.xml" ContentType="application/vnd.openxmlformats-officedocument.spreadsheetml.worksheet+xml"/>
  <Override PartName="/xl/comments11.xml" ContentType="application/vnd.openxmlformats-officedocument.spreadsheetml.comments+xml"/>
  <Override PartName="/xl/comments14.xml" ContentType="application/vnd.openxmlformats-officedocument.spreadsheetml.comments+xml"/>
  <Override PartName="/xl/worksheets/sheet28.xml" ContentType="application/vnd.openxmlformats-officedocument.spreadsheetml.worksheet+xml"/>
  <Override PartName="/xl/worksheets/sheet42.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threadedComments/threadedComment15.xml" ContentType="application/vnd.ms-excel.threadedcomments+xml"/>
  <Override PartName="/xl/threadedComments/threadedComment9.xml" ContentType="application/vnd.ms-excel.threadedcomments+xml"/>
  <Override PartName="/xl/worksheets/sheet33.xml" ContentType="application/vnd.openxmlformats-officedocument.spreadsheetml.worksheet+xml"/>
  <Override PartName="/xl/charts/chart1.xml" ContentType="application/vnd.openxmlformats-officedocument.drawingml.chart+xml"/>
  <Override PartName="/xl/threadedComments/threadedComment5.xml" ContentType="application/vnd.ms-excel.threadedcomments+xml"/>
  <Override PartName="/xl/worksheets/sheet14.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xl/threadedComments/threadedComment18.xml" ContentType="application/vnd.ms-excel.threadedcomments+xml"/>
  <Override PartName="/xl/threadedComments/threadedComment2.xml" ContentType="application/vnd.ms-excel.threadedcomments+xml"/>
  <Override PartName="/xl/threadedComments/threadedComment19.xml" ContentType="application/vnd.ms-excel.threadedcomments+xml"/>
  <Override PartName="/xl/worksheets/sheet27.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21.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24.xml" ContentType="application/vnd.openxmlformats-officedocument.spreadsheetml.worksheet+xml"/>
  <Override PartName="/xl/worksheets/sheet1.xml" ContentType="application/vnd.openxmlformats-officedocument.spreadsheetml.worksheet+xml"/>
  <Override PartName="/xl/worksheets/sheet40.xml" ContentType="application/vnd.openxmlformats-officedocument.spreadsheetml.worksheet+xml"/>
  <Override PartName="/xl/worksheets/sheet6.xml" ContentType="application/vnd.openxmlformats-officedocument.spreadsheetml.worksheet+xml"/>
  <Override PartName="/xl/persons/person.xml" ContentType="application/vnd.ms-excel.person+xml"/>
  <Override PartName="/xl/worksheets/sheet13.xml" ContentType="application/vnd.openxmlformats-officedocument.spreadsheetml.worksheet+xml"/>
  <Override PartName="/xl/worksheets/sheet32.xml" ContentType="application/vnd.openxmlformats-officedocument.spreadsheetml.worksheet+xml"/>
  <Override PartName="/xl/worksheets/sheet35.xml" ContentType="application/vnd.openxmlformats-officedocument.spreadsheetml.worksheet+xml"/>
  <Override PartName="/docProps/core.xml" ContentType="application/vnd.openxmlformats-package.core-properties+xml"/>
  <Override PartName="/xl/worksheets/sheet34.xml" ContentType="application/vnd.openxmlformats-officedocument.spreadsheetml.worksheet+xml"/>
  <Override PartName="/xl/worksheets/sheet36.xml" ContentType="application/vnd.openxmlformats-officedocument.spreadsheetml.worksheet+xml"/>
  <Override PartName="/xl/threadedComments/threadedComment1.xml" ContentType="application/vnd.ms-excel.threadedcomments+xml"/>
  <Override PartName="/xl/threadedComments/threadedComment6.xml" ContentType="application/vnd.ms-excel.threadedcomments+xml"/>
  <Override PartName="/xl/worksheets/sheet15.xml" ContentType="application/vnd.openxmlformats-officedocument.spreadsheetml.worksheet+xml"/>
  <Override PartName="/xl/threadedComments/threadedComment11.xml" ContentType="application/vnd.ms-excel.threadedcomments+xml"/>
  <Override PartName="/xl/workbook.xml" ContentType="application/vnd.openxmlformats-officedocument.spreadsheetml.sheet.main+xml"/>
  <Override PartName="/xl/threadedComments/threadedComment12.xml" ContentType="application/vnd.ms-excel.threadedcomments+xml"/>
  <Override PartName="/xl/drawings/drawing1.xml" ContentType="application/vnd.openxmlformats-officedocument.drawing+xml"/>
  <Override PartName="/xl/comments12.xml" ContentType="application/vnd.openxmlformats-officedocument.spreadsheetml.comments+xml"/>
  <Override PartName="/xl/comments18.xml" ContentType="application/vnd.openxmlformats-officedocument.spreadsheetml.comments+xml"/>
  <Override PartName="/xl/threadedComments/threadedComment3.xml" ContentType="application/vnd.ms-excel.threadedcomment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0" Type="http://schemas.openxmlformats.org/officeDocument/2006/relationships/officeDocument" Target="xl/workbook.xml" /><Relationship Id="rId1"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workbookPr/>
  <bookViews>
    <workbookView activeTab="0"/>
  </bookViews>
  <sheets>
    <sheet name="目录及说明" sheetId="1" r:id="rId4"/>
    <sheet name="评估表1固定资产投资估算表" sheetId="2" r:id="rId5"/>
    <sheet name="评估表2固定资产投资资产分类表" sheetId="3" r:id="rId6"/>
    <sheet name="评估表3投资计划与资金筹措表" sheetId="4" r:id="rId7"/>
    <sheet name="评估表4总成本费用表" sheetId="5" r:id="rId8"/>
    <sheet name="评估表5损益及利润分配表" sheetId="6" r:id="rId9"/>
    <sheet name="评估表6项目贷款偿还期计算表" sheetId="7" r:id="rId10"/>
    <sheet name="评估表7项目现金流量表" sheetId="8" r:id="rId11"/>
    <sheet name="评估表8项目偿债备付率计算表" sheetId="9" r:id="rId12"/>
    <sheet name="评估表9平均债务与息税折旧摊销前盈利比率计算表" sheetId="10" r:id="rId13"/>
    <sheet name="评估表10债务期内的债务偿付比率计算表" sheetId="11" r:id="rId14"/>
    <sheet name="pgb11" sheetId="12" state="hidden" r:id="rId15"/>
    <sheet name="辅助表1评估项目基础数据表" sheetId="13" r:id="rId16"/>
    <sheet name="辅助表2生产投入物估算表" sheetId="14" r:id="rId17"/>
    <sheet name="辅助表3资产折旧及摊销估算表" sheetId="15" r:id="rId18"/>
    <sheet name="辅助表4销售收入及税金估算表" sheetId="16" r:id="rId19"/>
    <sheet name="辅助表6.1经济评估基础数据及效益指标表" sheetId="17" r:id="rId20"/>
    <sheet name="辅助表6.2全部经济评价参数一览表" sheetId="18" r:id="rId21"/>
    <sheet name="辅助表7单因素敏感性分析表" sheetId="19" r:id="rId22"/>
    <sheet name="Sheet1" sheetId="20" r:id="rId23"/>
    <sheet name="Sheet2" sheetId="21" r:id="rId24"/>
    <sheet name="Sheet3" sheetId="22" r:id="rId25"/>
    <sheet name="Sheet4" sheetId="23" r:id="rId26"/>
    <sheet name="Sheet5" sheetId="24" r:id="rId27"/>
    <sheet name="Sheet6" sheetId="25" r:id="rId28"/>
    <sheet name="Sheet7" sheetId="26" r:id="rId29"/>
    <sheet name="Sheet8" sheetId="27" r:id="rId30"/>
    <sheet name="Sheet9" sheetId="28" r:id="rId31"/>
    <sheet name="Sheet10" sheetId="29" r:id="rId32"/>
    <sheet name="Sheet11" sheetId="30" r:id="rId33"/>
    <sheet name="fzb7.2" sheetId="31" state="hidden" r:id="rId34"/>
    <sheet name="pgtz" sheetId="32" state="hidden" r:id="rId35"/>
    <sheet name="pgpjtz" sheetId="33" state="hidden" r:id="rId36"/>
    <sheet name="hyfl" sheetId="34" state="hidden" r:id="rId37"/>
    <sheet name="项目评估信息表" sheetId="35" state="hidden" r:id="rId38"/>
    <sheet name="项目评估评级信息" sheetId="36" state="hidden" r:id="rId39"/>
    <sheet name="cfg" sheetId="37" state="hidden" r:id="rId40"/>
    <sheet name="define" sheetId="38" state="hidden" r:id="rId41"/>
    <sheet name="hidden" sheetId="39" state="hidden" r:id="rId42"/>
    <sheet name="oper" sheetId="40" state="hidden" r:id="rId43"/>
    <sheet name="work" sheetId="41" state="hidden" r:id="rId44"/>
    <sheet name="task" sheetId="42" state="hidden" r:id="rId45"/>
    <sheet name="no_sheet" sheetId="43" state="hidden" r:id="rId46"/>
  </sheets>
  <externalReferences>
    <externalReference r:id="rId47"/>
  </externalReferences>
  <definedNames>
    <definedName name="个人存款增量转移价格">[1]参数表!$D$20:$D$36</definedName>
    <definedName name="_xlnm.Print_Area" localSheetId="11">'pgb11'!$A$1:$U$36</definedName>
    <definedName name="个人存款存量转移价格">[1]参数表!$C$20:$C$36</definedName>
    <definedName name="_xlnm.Print_Area" localSheetId="2">评估表2固定资产投资资产分类表!$A$1:$C$32</definedName>
    <definedName name="准备金利率">[1]参数表!$B$3</definedName>
    <definedName name="风险系数">[1]参数表!$B$58:$B$82</definedName>
    <definedName name="税率">[1]参数表!$B$4</definedName>
    <definedName name="_xlnm.Print_Area" localSheetId="32">pgpjtz!$A$1:$K$29</definedName>
    <definedName name="个人存款利率">[1]参数表!$B$20:$B$36</definedName>
    <definedName name="_xlnm.Print_Area" localSheetId="31">pgtz!$A$1:$K$24</definedName>
    <definedName name="贷款利率">[1]参数表!$B$40:$B$44</definedName>
    <definedName name="_xlnm.Print_Titles" localSheetId="9">评估表9平均债务与息税折旧摊销前盈利比率计算表!$A:$B,评估表9平均债务与息税折旧摊销前盈利比率计算表!$1:$4</definedName>
    <definedName name="预期损失率">[1]参数表!$B$48:$B$54</definedName>
    <definedName name="_xlnm.Print_Area" localSheetId="9">评估表9平均债务与息税折旧摊销前盈利比率计算表!$A$1:$BM$33</definedName>
    <definedName name="_xlnm.Print_Titles" localSheetId="14">辅助表3资产折旧及摊销估算表!$A:$B,辅助表3资产折旧及摊销估算表!$1:$4</definedName>
    <definedName name="准备金率">[1]参数表!$B$2</definedName>
    <definedName name="区域调节系数">[1]参数表!$B$6</definedName>
    <definedName name="_xlnm.Print_Titles" localSheetId="6">评估表6项目贷款偿还期计算表!$A:$B,评估表6项目贷款偿还期计算表!$1:$4</definedName>
    <definedName name="特殊贷款项目">[1]参数表!$A$86:$A$104</definedName>
    <definedName name="公司存款期限">[1]参数表!$A$10:$A$16</definedName>
    <definedName name="_xlfn.SINGLE" hidden="true">#NAME?</definedName>
    <definedName name="贷款存量转移价格">[1]参数表!$C$40:$C$44</definedName>
    <definedName name="贷款项目">[1]参数表!$A$58:$A$82</definedName>
    <definedName name="_xlnm.Print_Titles" localSheetId="15">辅助表4销售收入及税金估算表!$A:$C,辅助表4销售收入及税金估算表!$1:$4</definedName>
    <definedName name="_xlnm.Print_Area" localSheetId="5">评估表5损益及利润分配表!$A$1:$BM$31</definedName>
    <definedName name="_xlnm.Print_Area" localSheetId="3">评估表3投资计划与资金筹措表!$A$1:$W$47</definedName>
    <definedName name="个人存款期限">[1]参数表!$A$20:$A$36</definedName>
    <definedName name="公司存款转移价格">[1]参数表!$C$10:$C$16</definedName>
    <definedName name="_xlnm.Print_Titles" localSheetId="4">评估表4总成本费用表!$A:$B,评估表4总成本费用表!$1:$4</definedName>
    <definedName name="_xlnm.Print_Area" localSheetId="14">辅助表3资产折旧及摊销估算表!$A$1:$BT$208</definedName>
    <definedName name="信用等级">[1]参数表!$A$48:$A$54</definedName>
    <definedName name="_xlnm.Print_Titles" localSheetId="5">评估表5损益及利润分配表!$A:$B,评估表5损益及利润分配表!$1:$4</definedName>
    <definedName name="_xlnm.Print_Titles" localSheetId="8">评估表8项目偿债备付率计算表!$A:$B,评估表8项目偿债备付率计算表!$1:$4</definedName>
    <definedName name="_xlnm.Print_Titles" localSheetId="3">评估表3投资计划与资金筹措表!$A:$D,评估表3投资计划与资金筹措表!$1:$4</definedName>
    <definedName name="_xlnm.Print_Titles" localSheetId="1">评估表1固定资产投资估算表!$A:$B,评估表1固定资产投资估算表!$1:$4</definedName>
    <definedName name="公司存款利率">[1]参数表!$B$10:$B$16</definedName>
    <definedName name="特殊贷款存量转移价格">[1]参数表!$B$86:$B$104</definedName>
    <definedName name="贷款期限">[1]参数表!$A$40:$A$44</definedName>
    <definedName name="回报率">[1]参数表!$B$5</definedName>
    <definedName name="_xlnm.Print_Titles" localSheetId="13">辅助表2生产投入物估算表!$A:$C,辅助表2生产投入物估算表!$1:$4</definedName>
    <definedName name="_xlnm._FilterDatabase" localSheetId="33" hidden="true">hyfl!$A$4:$I$1205</definedName>
    <definedName name="_xlnm.Print_Area" localSheetId="7">评估表7项目现金流量表!$A$1:$BL$33</definedName>
    <definedName name="_xlnm.Print_Titles" localSheetId="7">评估表7项目现金流量表!$A:$B,评估表7项目现金流量表!$1:$4</definedName>
    <definedName name="_xlnm.Print_Area" localSheetId="6">评估表6项目贷款偿还期计算表!$A$1:$BN$132</definedName>
    <definedName name="_xlnm.Print_Titles" localSheetId="10">评估表10债务期内的债务偿付比率计算表!$A:$B,评估表10债务期内的债务偿付比率计算表!$1:$4</definedName>
  </definedNames>
  <calcPr fullCalcOnLoad="true"/>
</workbook>
</file>

<file path=xl/comments1.xml><?xml version="1.0" encoding="utf-8"?>
<comments xmlns="http://schemas.openxmlformats.org/spreadsheetml/2006/main">
  <authors>
    <author>tc={A8B436D1-F6A0-4ACC-8F9C-63FD03A50859}</author>
    <author>tc={1FF687A2-0DF9-4B6C-861A-92326ECCBF45}</author>
    <author>tc={04D7E0C3-B3E9-42AB-976D-025092557AF4}</author>
    <author>tc={B3ADCD85-AA80-4BC0-940E-6FD614637F57}</author>
  </authors>
  <commentList>
    <comment ref="AQ3" authorId="0">
      <text>
        <r>
          <t>CCB:
选填项</t>
        </r>
      </text>
    </comment>
    <comment ref="AR2" authorId="1">
      <text>
        <r>
          <t>xingming:
每个环节的时间为提交日期减去接收日期，需要剔除补充材料等时间，要保留到小数点后一位。</t>
        </r>
      </text>
    </comment>
    <comment ref="J3" authorId="2">
      <text>
        <r>
          <t>xingming:
九大类额度，比如固贷、房贷。</t>
        </r>
      </text>
    </comment>
    <comment ref="K3" authorId="3">
      <text>
        <r>
          <t>xingming:
具体授信品种，比如基建、技改、房开贷、商用物业抵押、土地储备。</t>
        </r>
      </text>
    </comment>
  </commentList>
</comments>
</file>

<file path=xl/comments10.xml><?xml version="1.0" encoding="utf-8"?>
<comments xmlns="http://schemas.openxmlformats.org/spreadsheetml/2006/main">
  <authors>
    <author>tc={B030B673-C439-4EB8-A202-8F7DF39409A0}</author>
    <author>tc={7549E3FE-44E9-4CCA-B2ED-A177F7DD31D1}</author>
    <author>tc={B74AC8C7-2422-4DE2-97AC-EC33884A56E6}</author>
    <author>tc={D6B07A4B-24BD-4873-A00B-BE1F46D7D589}</author>
  </authors>
  <commentList>
    <comment ref="B6" authorId="0">
      <text>
        <r>
          <t>zyyh:即产能利用率
</t>
        </r>
      </text>
    </comment>
    <comment ref="B23" authorId="1">
      <text>
        <r>
          <t>zyyh:
此行如有请填写
</t>
        </r>
      </text>
    </comment>
    <comment ref="B21" authorId="2">
      <text>
        <r>
          <t>zyyh:
缺省设置为前一年的工资，评估人员可按照项目实际情况填写第1年的工资额度，并建立后续年度工资的增长公式。如为固定工资，可设公式关联辅助表1与辅助表6.1
</t>
        </r>
      </text>
    </comment>
    <comment ref="B48" authorId="3">
      <text>
        <r>
          <t>zyyh:
此行依据项目情况设公式或填数
</t>
        </r>
      </text>
    </comment>
  </commentList>
</comments>
</file>

<file path=xl/comments11.xml><?xml version="1.0" encoding="utf-8"?>
<comments xmlns="http://schemas.openxmlformats.org/spreadsheetml/2006/main">
  <authors>
    <author>tc={EA9F9F41-04AC-459E-B29C-E59264797936}</author>
    <author>tc={5F00107A-156B-406B-BF3C-7583830AD407}</author>
  </authors>
  <commentList>
    <comment ref="B25" authorId="0">
      <text>
        <r>
          <t>zyyh:
因评估评级系统需要输入整数月，因此向上取整。</t>
        </r>
      </text>
    </comment>
    <comment ref="B27" authorId="1">
      <text>
        <r>
          <t>zyyh:
因评估评级系统需要输入整数月，因此向上取整。</t>
        </r>
      </text>
    </comment>
  </commentList>
</comments>
</file>

<file path=xl/comments12.xml><?xml version="1.0" encoding="utf-8"?>
<comments xmlns="http://schemas.openxmlformats.org/spreadsheetml/2006/main">
  <authors>
    <author>tc={09AEA996-9811-42BB-9736-5E1F25D7DE49}</author>
    <author>tc={89CA2FEC-3BCC-452F-9065-C9D1C65E4ED2}</author>
    <author>tc={D957BC86-6E3D-4422-854E-1C4AEA2FC68F}</author>
    <author>tc={125809DE-B1C6-4808-9E21-786DC59D6952}</author>
    <author>tc={922F4887-EB91-4125-8572-0503B91F1183}</author>
    <author>tc={FA26BD29-3866-49D3-BF0D-32C5CA193194}</author>
    <author>tc={030030C7-17C3-4750-BAE8-59E58ECF085A}</author>
    <author>tc={475317A9-51B3-4C8B-8F35-FC51A643C072}</author>
    <author>tc={535EA1C5-16D2-467A-9C0D-5B98DE51E572}</author>
    <author>tc={ED69505C-6D9F-496E-BF4C-A582AB9D18F8}</author>
    <author>tc={51C0D523-5EFA-4086-B01D-FA4122B8C393}</author>
    <author>tc={9E453683-8B1A-42EB-953D-9090EA107155}</author>
    <author>tc={8429D6B6-20F4-4971-A22A-3BC0A4483DD9}</author>
    <author>tc={08489412-961E-41AA-AC06-A6BB849E7EF5}</author>
    <author>tc={ACF83BE3-1FBD-494B-9AFD-6DA3EEEA99D7}</author>
  </authors>
  <commentList>
    <comment ref="C66" authorId="0">
      <text>
        <r>
          <t>zyyh:分段投产是指分段建设，在总建设期内即有分段建成开始运营的项目。该项输入需从建设期第1年开始累计。缺省值为生产期第1年，如项目按整体建成投产考虑，请勿更改数值和公式。
</t>
        </r>
      </text>
    </comment>
    <comment ref="C55" authorId="1">
      <text>
        <r>
          <t>zyyh:分段投产是指分段建设，在总建设期内即有分段建成开始运营的项目。该项输入需从建设期第1年开始累计。缺省值为生产期第1年，如项目按整体建成投产考虑，请勿更改数值和公式。
</t>
        </r>
      </text>
    </comment>
    <comment ref="C35" authorId="2">
      <text>
        <r>
          <t>zyyh:分段投产是指分段建设，在总建设期内即有分段建成开始运营的项目。该项输入需从建设期第1年开始累计。缺省值为生产期第1年，如项目按整体建成投产考虑，请勿更改数值和公式。
</t>
        </r>
      </text>
    </comment>
    <comment ref="E128" authorId="3">
      <text>
        <r>
          <t>zyyh:
注：因考虑到更新投资未反映在贷款中，因此更新折旧不作为还款来源。该项折旧仅作为成本支出，影响到税收。</t>
        </r>
      </text>
    </comment>
    <comment ref="C139" authorId="4">
      <text>
        <r>
          <t>zyyh:
含协议借款、债券、融资租赁、补偿贸易</t>
        </r>
      </text>
    </comment>
    <comment ref="E133" authorId="5">
      <text>
        <r>
          <t>zyyh:
此处填建设期年份</t>
        </r>
      </text>
    </comment>
    <comment ref="D125" authorId="6">
      <text>
        <r>
          <t>zyyh:
该项适用于分期建成投产项目。在总建设期内先期投产项目产生偿还本金来源资金，“留存”是指该项资金累积，待生产期开始后归还贷款本金；“用于建设”是指该项资金用于后期项目建设；“归还贷款”是指该项资金直接归还已投产项目贷款。
</t>
        </r>
      </text>
    </comment>
    <comment ref="C15" authorId="7">
      <text>
        <r>
          <t>zyyh:分段投产是指分段建设，在总建设期内即有分段建成开始运营的项目。该项输入需从建设期第1年开始累计。缺省值为生产期第1年，如项目按整体建成投产考虑，请勿更改数值和公式。
</t>
        </r>
      </text>
    </comment>
    <comment ref="C45" authorId="8">
      <text>
        <r>
          <t>zyyh:分段投产是指分段建设，在总建设期内即有分段建成开始运营的项目。该项输入需从建设期第1年开始累计。缺省值为生产期第1年，如项目按整体建成投产考虑，请勿更改数值和公式。
</t>
        </r>
      </text>
    </comment>
    <comment ref="C76" authorId="9">
      <text>
        <r>
          <t>zyyh:分段投产是指分段建设，在总建设期内即有分段建成开始运营的项目。该项输入需从建设期第1年开始累计。缺省值为生产期第1年，如项目按整体建成投产考虑，请勿更改数值和公式。
</t>
        </r>
      </text>
    </comment>
    <comment ref="C106" authorId="10">
      <text>
        <r>
          <t>zyyh:分段投产是指分段建设，在总建设期内即有分段建成开始运营的项目。该项输入需从建设期第1年开始累计。缺省值为生产期第1年，如项目按整体建成投产考虑，请勿更改数值和公式。
</t>
        </r>
      </text>
    </comment>
    <comment ref="F133" authorId="11">
      <text>
        <r>
          <t>zyyh:
此处填建设期年份</t>
        </r>
      </text>
    </comment>
    <comment ref="C86" authorId="12">
      <text>
        <r>
          <t>zyyh:分段投产是指分段建设，在总建设期内即有分段建成开始运营的项目。该项输入需从建设期第1年开始累计。缺省值为生产期第1年，如项目按整体建成投产考虑，请勿更改数值和公式。
</t>
        </r>
      </text>
    </comment>
    <comment ref="C25" authorId="13">
      <text>
        <r>
          <t>zyyh:分段投产是指分段建设，在总建设期内即有分段建成开始运营的项目。该项输入需从建设期第1年开始累计。缺省值为生产期第1年，如项目按整体建成投产考虑，请勿更改数值和公式。
</t>
        </r>
      </text>
    </comment>
    <comment ref="C96" authorId="14">
      <text>
        <r>
          <t>zyyh:分段投产是指分段建设，在总建设期内即有分段建成开始运营的项目。该项输入需从建设期第1年开始累计。缺省值为生产期第1年，如项目按整体建成投产考虑，请勿更改数值和公式。
</t>
        </r>
      </text>
    </comment>
  </commentList>
</comments>
</file>

<file path=xl/comments13.xml><?xml version="1.0" encoding="utf-8"?>
<comments xmlns="http://schemas.openxmlformats.org/spreadsheetml/2006/main">
  <authors>
    <author>tc={3F55DB9C-FFF0-469F-BEB2-D0006D7BA36C}</author>
    <author>tc={86F93FAA-CD7C-4B1C-9E8C-BC4951E3A388}</author>
  </authors>
  <commentList>
    <comment ref="B15" authorId="0">
      <text>
        <r>
          <t>zyyh:
其他业务利润是否纳入现金流量表由评估人员根据实际情况确定，缺省设置未纳入。</t>
        </r>
      </text>
    </comment>
    <comment ref="A33" authorId="1">
      <text>
        <r>
          <t>zyyh:
此处为静态回收期
</t>
        </r>
      </text>
    </comment>
  </commentList>
</comments>
</file>

<file path=xl/comments14.xml><?xml version="1.0" encoding="utf-8"?>
<comments xmlns="http://schemas.openxmlformats.org/spreadsheetml/2006/main">
  <authors>
    <author>tc={07A68254-2D3F-4BEC-9C91-1E0D745ACC45}</author>
    <author>tc={9FEB9D2D-5AD9-4D93-9042-17491834368F}</author>
  </authors>
  <commentList>
    <comment ref="C32" authorId="0">
      <text>
        <r>
          <t>zyyh:
年初债务余额
</t>
        </r>
      </text>
    </comment>
    <comment ref="C33" authorId="1">
      <text>
        <r>
          <t>zyyh:
债务期内经营性现金流
</t>
        </r>
      </text>
    </comment>
  </commentList>
</comments>
</file>

<file path=xl/comments15.xml><?xml version="1.0" encoding="utf-8"?>
<comments xmlns="http://schemas.openxmlformats.org/spreadsheetml/2006/main">
  <authors>
    <author>tc={B793FD67-52AC-4996-AA3A-9519E75E1395}</author>
    <author>tc={3BF1C0E1-E807-46FE-B073-1563530F255E}</author>
    <author>tc={A478B93D-E224-42F3-B9FB-368164219598}</author>
  </authors>
  <commentList>
    <comment ref="B8" authorId="0">
      <text>
        <r>
          <t>zyyh:
取值于可研，兼顾项目进度。</t>
        </r>
      </text>
    </comment>
    <comment ref="B15" authorId="1">
      <text>
        <r>
          <t>zyyh:
本系数供评估人员建立公式用，系统中未设定相应公式，需评估人员在pgb4中根据实际情况确定计算基数，并建立与本系数的引用关系。</t>
        </r>
      </text>
    </comment>
    <comment ref="B12" authorId="2">
      <text>
        <r>
          <t>zyyh:
本系数供评估人员建立公式用，系统中未设定相应公式，需评估人员在pgb4中根据实际情况确定计算基数，并建立与本系数的引用关系。</t>
        </r>
      </text>
    </comment>
  </commentList>
</comments>
</file>

<file path=xl/comments16.xml><?xml version="1.0" encoding="utf-8"?>
<comments xmlns="http://schemas.openxmlformats.org/spreadsheetml/2006/main">
  <authors>
    <author>tc={734EA26D-F0A4-4B4B-B47A-51DCB0280D3D}</author>
    <author>tc={2696FA37-97EC-490D-A1FC-0394C917F8F2}</author>
    <author>tc={3C80CE2E-F6D8-4045-8BBE-0C02DF9CDB2D}</author>
    <author>tc={81C6C632-511F-4892-BFCB-795D0FCAAA1C}</author>
    <author>tc={255BA2C6-6A03-4193-A18C-C45C5EAAB985}</author>
    <author>tc={074BF7CE-7CFF-4027-80E2-7DE4CA236374}</author>
    <author>tc={D2C9B041-D2A0-4F24-9D00-EF37A25B8D92}</author>
    <author>tc={816C97D3-B473-4A4A-82D8-74E66FE80C08}</author>
    <author>tc={E588B03B-2F9F-4F51-933E-DEA7F30DAC15}</author>
    <author>tc={CA070778-AE41-412F-9BE7-55509B7659EB}</author>
    <author>tc={02C0DB2C-1B9F-43DE-AC1C-19DAF01C9B76}</author>
    <author>tc={28EB4663-6367-4575-97B0-CD90EB9C9E58}</author>
    <author>tc={D580B08C-3861-4BB0-A505-2CEA4C2FDC9C}</author>
    <author>tc={768D0016-A8AA-463F-9EAE-6BA25CDC6338}</author>
    <author>tc={86C0D2B6-6056-46D0-969F-7D936F63623B}</author>
    <author>tc={3FF3B600-743C-46A8-9668-DC1865B0393A}</author>
    <author>tc={D0D8A800-12BA-42D5-8EBE-CBE43D57F6B9}</author>
    <author>tc={63583165-E763-40A1-AA4B-CB8C045EE6F4}</author>
    <author>tc={99D76D20-EFF1-4385-95DC-5440A8FDC312}</author>
    <author>tc={A6735CB0-C9A3-44A3-B229-88543C11E785}</author>
    <author>tc={7C1F0FCA-FAC6-41B8-82A1-4299E153EBF7}</author>
    <author>tc={2B41AC48-EB4F-45D6-8E1A-10FC44DB9D1A}</author>
    <author>tc={CA322215-6C5E-45D5-BE8B-44CF9B6734BA}</author>
    <author>tc={F3FB9F72-F3E1-47DE-9A4B-6540A5546332}</author>
    <author>tc={4824D44E-15B0-4D0C-B4BE-40A8088C35EB}</author>
    <author>tc={43176B4B-9DB6-48AA-84CF-BDC2EDDDF5CE}</author>
    <author>tc={52A80D3A-615E-4F02-AEF8-089C18062A1A}</author>
    <author>tc={938450B2-2C0B-4CFE-8A4F-60B4747DD180}</author>
    <author>tc={0549B535-7F79-4C4C-8ABC-8A44A5961C1F}</author>
    <author>tc={D46D99B1-AB88-40FD-A866-ECEFB7594440}</author>
    <author>tc={63A1969F-EC5C-464D-B7B6-1E384C06CAAC}</author>
    <author>tc={65F63C93-386D-4BF5-9EA4-496DEB851732}</author>
    <author>tc={50DC4BE0-49A1-4FD5-B591-F84F07B3990D}</author>
    <author>tc={B0EEB69E-A272-43E4-B105-8E082A3D591E}</author>
    <author>tc={ED133607-64AB-40E9-9DDC-7321F6B9BCC8}</author>
    <author>tc={A285280E-4863-49D0-A33E-2DA509325563}</author>
    <author>tc={428F327B-6A02-4CBF-AF70-5C70F1169F17}</author>
    <author>tc={DDBA7AC8-899A-4B7C-8677-CAED8FE55778}</author>
    <author>tc={1BEF31CC-4AFC-47AF-BE77-16167068ACC1}</author>
    <author>tc={33B7C42B-E98F-4881-B696-73AE7E35D793}</author>
    <author>tc={17EBEA51-3252-4752-B0B2-3A948B9E02A5}</author>
    <author>tc={0275045C-4567-4AC1-A4DF-E26579228ACD}</author>
    <author>tc={EFFC9318-F00E-43A9-A63A-2F3F22AE340D}</author>
    <author>tc={A90E43DD-28A2-496D-9AF6-B0420FC2A263}</author>
    <author>tc={A125603C-73AD-40E1-82C1-7A4665F515A4}</author>
    <author>tc={BC89BD61-F0FB-4F94-928D-697FA98866A4}</author>
    <author>tc={72DD1697-FD24-4B9F-B0B1-10E24282268E}</author>
    <author>tc={A7D0795A-EDF5-4BA1-9D92-8AD1F53A05AC}</author>
    <author>tc={DA025805-7019-40CB-8EDF-9A6837242262}</author>
    <author>tc={EF6E8306-B91D-43B4-8F57-27B37EB12883}</author>
    <author>tc={C1E3D58B-BF99-480B-82DF-89EF85BD951F}</author>
    <author>tc={A2D9E2A2-2F0A-4270-8CD3-74F426168706}</author>
    <author>tc={DF987D0E-BF42-4906-8521-F999C2501E1A}</author>
    <author>tc={28370BC6-7C85-4971-8FC3-64D08D4A96B5}</author>
    <author>tc={4AF3244D-1D79-4C7D-B607-624AF72E4B48}</author>
    <author>tc={04F27EDF-5688-45EC-A145-592131244D60}</author>
    <author>tc={2EA2EFCE-80AC-454A-AAB6-4AA6B8667623}</author>
    <author>tc={A49A63A8-452B-409F-A82A-E87C38CAB717}</author>
    <author>tc={AB6F6E13-E78C-4A61-B0BE-259998614D37}</author>
    <author>tc={2765CA69-4233-45DC-9A73-4F32AC198958}</author>
    <author>tc={4CE23EBE-C564-45DF-956F-133CA186DAF3}</author>
    <author>tc={615400DE-676A-40EB-A40E-659DE3675C5C}</author>
    <author>tc={03EBEEE4-8C47-4A65-A270-16756D6AE34E}</author>
    <author>tc={25F6C43D-6303-4AD3-8CC8-4F98421A8717}</author>
    <author>tc={48016EB7-68AC-415A-A9BC-B793D4F4520D}</author>
    <author>tc={BC028121-01E3-4EFC-B20A-115D95277A8C}</author>
    <author>tc={8D771ACB-E89C-4FB5-9959-6C1EF38D0F62}</author>
    <author>tc={82DCF943-06E1-43A3-B28F-7B0B91272DBE}</author>
    <author>tc={A3733977-BC6A-41C4-8EE3-9F1C7ABE21D8}</author>
    <author>tc={A40D5011-A443-45AA-B117-9F0DA7DB7617}</author>
    <author>tc={B0A6768F-4CD3-48BC-AB8A-4DF0872DA1AB}</author>
    <author>tc={8493A254-2962-4AFA-999F-8B1EBE0ADB8D}</author>
    <author>tc={ABD4E724-6165-48F1-9CBE-0173797C9125}</author>
    <author>tc={DB70EA12-680F-4FC4-A170-0E689E03CD60}</author>
  </authors>
  <commentList>
    <comment ref="C78" authorId="0">
      <text>
        <r>
          <t>zyyh:
请填写单位</t>
        </r>
      </text>
    </comment>
    <comment ref="B41" authorId="1">
      <text>
        <r>
          <t>zyyh:
请填入原材料名称</t>
        </r>
      </text>
    </comment>
    <comment ref="B96" authorId="2">
      <text>
        <r>
          <t>zyyh:
请填入原材料名称</t>
        </r>
      </text>
    </comment>
    <comment ref="B142" authorId="3">
      <text>
        <r>
          <t>CCB:
注意应以“万元”为单位；请输入含税价（增值税）。</t>
        </r>
      </text>
    </comment>
    <comment ref="B255" authorId="4">
      <text>
        <r>
          <t>zyyh:
请填入原材料名称</t>
        </r>
      </text>
    </comment>
    <comment ref="B42" authorId="5">
      <text>
        <r>
          <t>zyyh:
注意应以“万元”为单位；请输入含税价（增值税）。</t>
        </r>
      </text>
    </comment>
    <comment ref="B221" authorId="6">
      <text>
        <r>
          <t>CCB:
注意应以“万元”为单位；请输入含税价（增值税）。</t>
        </r>
      </text>
    </comment>
    <comment ref="B75" authorId="7">
      <text>
        <r>
          <t>zyyh:
注意应以“万元”为单位；请输入含税价（增值税）。</t>
        </r>
      </text>
    </comment>
    <comment ref="B164" authorId="8">
      <text>
        <r>
          <t>CCB:
注意应以“万元”为单位；请输入含税价（增值税）。</t>
        </r>
      </text>
    </comment>
    <comment ref="B278" authorId="9">
      <text>
        <r>
          <t>zyyh:
请填入原材料名称</t>
        </r>
      </text>
    </comment>
    <comment ref="B131" authorId="10">
      <text>
        <r>
          <t>zyyh:
注意应以“万元”为单位；请输入含税价（增值税）。</t>
        </r>
      </text>
    </comment>
    <comment ref="G23" authorId="11">
      <text>
        <r>
          <t>zyyh:
此行产量需乘以当年生产负荷。
下同。</t>
        </r>
      </text>
    </comment>
    <comment ref="B53" authorId="12">
      <text>
        <r>
          <t>zyyh:
注意应以“万元”为单位；请输入含税价（增值税）。</t>
        </r>
      </text>
    </comment>
    <comment ref="B63" authorId="13">
      <text>
        <r>
          <t>zyyh:
请填入原材料名称</t>
        </r>
      </text>
    </comment>
    <comment ref="B233" authorId="14">
      <text>
        <r>
          <t>zyyh:
注意应以“万元”为单位；请输入含税价（增值税）。</t>
        </r>
      </text>
    </comment>
    <comment ref="C89" authorId="15">
      <text>
        <r>
          <t>zyyh:
请填写单位</t>
        </r>
      </text>
    </comment>
    <comment ref="C45" authorId="16">
      <text>
        <r>
          <t>zyyh:
请填写单位</t>
        </r>
      </text>
    </comment>
    <comment ref="B187" authorId="17">
      <text>
        <r>
          <t>CCB:
注意应以“万元”为单位；请输入含税价（增值税）。</t>
        </r>
      </text>
    </comment>
    <comment ref="B197" authorId="18">
      <text>
        <r>
          <t>CCB:
请填入原材料名称</t>
        </r>
      </text>
    </comment>
    <comment ref="G20" authorId="19">
      <text>
        <r>
          <t>zyyh:
辅助表7单因素敏感性分析表!N10*单价。
下同。</t>
        </r>
      </text>
    </comment>
    <comment ref="B97" authorId="20">
      <text>
        <r>
          <t>zyyh:
注意应以“万元”为单位；请输入含税价（增值税）。</t>
        </r>
      </text>
    </comment>
    <comment ref="B141" authorId="21">
      <text>
        <r>
          <t>CCB:
请填入原材料名称</t>
        </r>
      </text>
    </comment>
    <comment ref="B256" authorId="22">
      <text>
        <r>
          <t>zyyh:
注意应以“万元”为单位；请输入含税价（增值税）。</t>
        </r>
      </text>
    </comment>
    <comment ref="B130" authorId="23">
      <text>
        <r>
          <t>zyyh:
请填入原材料名称</t>
        </r>
      </text>
    </comment>
    <comment ref="C23" authorId="24">
      <text>
        <r>
          <t>zyyh:
请填写单位</t>
        </r>
      </text>
    </comment>
    <comment ref="D5" authorId="25">
      <text>
        <r>
          <t>zyyh:
此处无数据
</t>
        </r>
      </text>
    </comment>
    <comment ref="B163" authorId="26">
      <text>
        <r>
          <t>CCB:
请填入原材料名称</t>
        </r>
      </text>
    </comment>
    <comment ref="C156" authorId="27">
      <text>
        <r>
          <t>CCB:
请填写单位</t>
        </r>
      </text>
    </comment>
    <comment ref="B153" authorId="28">
      <text>
        <r>
          <t>CCB:
注意应以“万元”为单位；请输入含税价（增值税）。</t>
        </r>
      </text>
    </comment>
    <comment ref="C134" authorId="29">
      <text>
        <r>
          <t>zyyh:
请填写单位</t>
        </r>
      </text>
    </comment>
    <comment ref="B210" authorId="30">
      <text>
        <r>
          <t>CCB:
注意应以“万元”为单位；请输入含税价（增值税）。</t>
        </r>
      </text>
    </comment>
    <comment ref="C56" authorId="31">
      <text>
        <r>
          <t>zyyh:
请填写单位</t>
        </r>
      </text>
    </comment>
    <comment ref="B52" authorId="32">
      <text>
        <r>
          <t>zyyh:
请填入原材料名称</t>
        </r>
      </text>
    </comment>
    <comment ref="B19" authorId="33">
      <text>
        <r>
          <t>zyyh:
请填入原材料名称</t>
        </r>
      </text>
    </comment>
    <comment ref="B31" authorId="34">
      <text>
        <r>
          <t>zyyh:
注意应以“万元”为单位；请输入含税价（增值税）。</t>
        </r>
      </text>
    </comment>
    <comment ref="C293" authorId="35">
      <text>
        <r>
          <t>zyyh:
请填写单位</t>
        </r>
      </text>
    </comment>
    <comment ref="B64" authorId="36">
      <text>
        <r>
          <t>zyyh:
注意应以“万元”为单位；请输入含税价（增值税）。</t>
        </r>
      </text>
    </comment>
    <comment ref="B175" authorId="37">
      <text>
        <r>
          <t>CCB:
注意应以“万元”为单位；请输入含税价（增值税）。</t>
        </r>
      </text>
    </comment>
    <comment ref="B220" authorId="38">
      <text>
        <r>
          <t>CCB:
请填入原材料名称</t>
        </r>
      </text>
    </comment>
    <comment ref="C167" authorId="39">
      <text>
        <r>
          <t>CCB:
请填写单位</t>
        </r>
      </text>
    </comment>
    <comment ref="D6" authorId="40">
      <text>
        <r>
          <t>zyyh:
此处无数据
</t>
        </r>
      </text>
    </comment>
    <comment ref="B74" authorId="41">
      <text>
        <r>
          <t>zyyh:
请填入原材料名称</t>
        </r>
      </text>
    </comment>
    <comment ref="C201" authorId="42">
      <text>
        <r>
          <t>CCB:
请填写单位</t>
        </r>
      </text>
    </comment>
    <comment ref="C178" authorId="43">
      <text>
        <r>
          <t>CCB:
请填写单位</t>
        </r>
      </text>
    </comment>
    <comment ref="B186" authorId="44">
      <text>
        <r>
          <t>CCB:
请填入原材料名称</t>
        </r>
      </text>
    </comment>
    <comment ref="B174" authorId="45">
      <text>
        <r>
          <t>CCB:
请填入原材料名称</t>
        </r>
      </text>
    </comment>
    <comment ref="B86" authorId="46">
      <text>
        <r>
          <t>zyyh:
注意应以“万元”为单位；请输入含税价（增值税）。</t>
        </r>
      </text>
    </comment>
    <comment ref="C190" authorId="47">
      <text>
        <r>
          <t>CCB:
请填写单位</t>
        </r>
      </text>
    </comment>
    <comment ref="C100" authorId="48">
      <text>
        <r>
          <t>zyhh:
请填写单位</t>
        </r>
      </text>
    </comment>
    <comment ref="C213" authorId="49">
      <text>
        <r>
          <t>CCB:
请填写单位</t>
        </r>
      </text>
    </comment>
    <comment ref="B266" authorId="50">
      <text>
        <r>
          <t>zyyh:
请填入原材料名称</t>
        </r>
      </text>
    </comment>
    <comment ref="B244" authorId="51">
      <text>
        <r>
          <t>zyyh:
注意应以“万元”为单位；请输入含税价（增值税）。</t>
        </r>
      </text>
    </comment>
    <comment ref="B267" authorId="52">
      <text>
        <r>
          <t>zyyh
注意应以“万元”为单位；请输入含税价（增值税）。</t>
        </r>
      </text>
    </comment>
    <comment ref="B279" authorId="53">
      <text>
        <r>
          <t>zyyh:
注意应以“万元”为单位；请输入含税价（增值税）。</t>
        </r>
      </text>
    </comment>
    <comment ref="C145" authorId="54">
      <text>
        <r>
          <t>CCB:
请填写单位</t>
        </r>
      </text>
    </comment>
    <comment ref="C247" authorId="55">
      <text>
        <r>
          <t>zyyh:
请填写单位</t>
        </r>
      </text>
    </comment>
    <comment ref="B30" authorId="56">
      <text>
        <r>
          <t>zyyh:
请填入原材料名称</t>
        </r>
      </text>
    </comment>
    <comment ref="C34" authorId="57">
      <text>
        <r>
          <t>zyyh:
请填写单位</t>
        </r>
      </text>
    </comment>
    <comment ref="C236" authorId="58">
      <text>
        <r>
          <t>zyyh:
请填写单位</t>
        </r>
      </text>
    </comment>
    <comment ref="C224" authorId="59">
      <text>
        <r>
          <t>CCB:
请填写单位</t>
        </r>
      </text>
    </comment>
    <comment ref="B243" authorId="60">
      <text>
        <r>
          <t>zyyh:
请填入原材料名称</t>
        </r>
      </text>
    </comment>
    <comment ref="B290" authorId="61">
      <text>
        <r>
          <t>zyyh:
注意应以“万元”为单位；请输入含税价（增值税）。</t>
        </r>
      </text>
    </comment>
    <comment ref="B198" authorId="62">
      <text>
        <r>
          <t>CCB:
注意应以“万元”为单位；请输入含税价（增值税）。</t>
        </r>
      </text>
    </comment>
    <comment ref="C270" authorId="63">
      <text>
        <r>
          <t>zyyh:
请填写单位</t>
        </r>
      </text>
    </comment>
    <comment ref="B232" authorId="64">
      <text>
        <r>
          <t>zyyh:
请填入原材料名称</t>
        </r>
      </text>
    </comment>
    <comment ref="C259" authorId="65">
      <text>
        <r>
          <t>zyyh:
请填写单位</t>
        </r>
      </text>
    </comment>
    <comment ref="B289" authorId="66">
      <text>
        <r>
          <t>zyyh:
请填入原材料名称</t>
        </r>
      </text>
    </comment>
    <comment ref="C67" authorId="67">
      <text>
        <r>
          <t>zyyh:
请填写单位</t>
        </r>
      </text>
    </comment>
    <comment ref="B152" authorId="68">
      <text>
        <r>
          <t>CCB:
请填入原材料名称</t>
        </r>
      </text>
    </comment>
    <comment ref="D12" authorId="69">
      <text>
        <r>
          <t>zyyh:
此处无数据
</t>
        </r>
      </text>
    </comment>
    <comment ref="B20" authorId="70">
      <text>
        <r>
          <t>zyyh:
注意应以“万元”为单位；请输入含税价（增值税）。</t>
        </r>
      </text>
    </comment>
    <comment ref="C282" authorId="71">
      <text>
        <r>
          <t>zyyh:
请填写单位</t>
        </r>
      </text>
    </comment>
    <comment ref="B85" authorId="72">
      <text>
        <r>
          <t>zyyh:
请填入原材料名称</t>
        </r>
      </text>
    </comment>
    <comment ref="B209" authorId="73">
      <text>
        <r>
          <t>CCB:
请填入原材料名称</t>
        </r>
      </text>
    </comment>
  </commentList>
</comments>
</file>

<file path=xl/comments17.xml><?xml version="1.0" encoding="utf-8"?>
<comments xmlns="http://schemas.openxmlformats.org/spreadsheetml/2006/main">
  <authors>
    <author>tc={0EFC7E72-37F4-4DBD-9B46-D5F9C7BB5AEC}</author>
    <author>tc={4CC41776-223E-4E07-B5F0-E5DBD081A29D}</author>
    <author>tc={D6227AB9-26AC-4A5A-A85D-0FC3A32292CC}</author>
    <author>tc={B5F9C8F5-DD17-4789-8F25-3D00D9CC0FAA}</author>
    <author>tc={E48AF6EB-0EFC-4761-97EE-C038EDF9F23A}</author>
    <author>tc={31089DF1-B987-413F-9EE1-D65694511128}</author>
    <author>tc={A25B2012-17A7-405E-B5EF-88B5BCAA9B59}</author>
    <author>tc={9D4DBE48-2DF1-415D-898B-8D260C87E41D}</author>
    <author>tc={B3CAC135-9863-44F7-8BAD-A42D179DF165}</author>
    <author>tc={BCA84B95-2DA9-47C9-9D1C-E2E6786235E7}</author>
    <author>tc={7F762820-BA34-4A29-800F-C6C82A98665A}</author>
    <author>tc={17D64397-B08E-4533-996E-B98C46386399}</author>
    <author>tc={68E54851-72DF-47A5-A095-02EB09CD83B9}</author>
    <author>tc={6A515313-169A-4029-BB61-C7FA9FC43872}</author>
    <author>tc={0607F5CC-308F-41ED-88FE-FE9817B21118}</author>
    <author>tc={0A2FFBB4-8EEF-4255-9761-F9AD53A11E48}</author>
    <author>tc={648C0C40-78CF-4A73-A04A-D34098E9B032}</author>
    <author>tc={B80A3812-F73D-4FFB-8CF8-74F8D8030D38}</author>
    <author>tc={A6307306-AFA2-4BBF-81CF-9A6620F4AE71}</author>
    <author>tc={9AC5FD53-FDFD-4E31-A647-36C890D5983E}</author>
    <author>tc={E81FED6B-F12E-4A56-99BC-34021F9B6DA1}</author>
    <author>tc={29A83B11-FF94-4A7F-A357-8497EF9ABFC7}</author>
    <author>tc={A50C1764-D527-4B63-8EE7-A01E72D8D346}</author>
    <author>tc={A40CB5D0-1B4D-432B-8665-3A238F35E731}</author>
    <author>tc={55CEEF50-0A46-484F-AA44-F3C873E31B2D}</author>
    <author>tc={6CA6B1EF-6815-483B-8F93-5E04D5B831A0}</author>
    <author>tc={03B16580-FB8A-4CAA-BC12-1B6C90078486}</author>
    <author>tc={1A6E2A17-498B-403D-AF4C-B9176DFBE9B7}</author>
    <author>tc={E110AA97-741C-4EC4-BB3B-898B8A9AE8D1}</author>
    <author>tc={E521531E-898F-442D-8DC0-5D38DB27D330}</author>
    <author>tc={FD2144BD-1B48-4322-8647-0530B5E4EA4F}</author>
    <author>tc={C1AD2023-2DAC-4DEC-888F-9D6D0A7A27A7}</author>
    <author>tc={1B144332-ED59-433A-900A-0FFAB1053688}</author>
    <author>tc={D3D6FDCD-9789-4C5D-AC37-6BA1024F2AB3}</author>
    <author>tc={4FC00A95-2003-442D-9364-0090721E9511}</author>
    <author>tc={1B1C2025-0C93-4A02-9A05-173C36A8EEDC}</author>
    <author>tc={6A368C2F-CBBF-47EB-A7E6-617917A7809F}</author>
  </authors>
  <commentList>
    <comment ref="I203" authorId="0">
      <text>
        <r>
          <t>zyyh:
缺省设置为经营期第1年，评估人员可根据项目实际情况修改、输入。</t>
        </r>
      </text>
    </comment>
    <comment ref="C182" authorId="1">
      <text>
        <r>
          <t>yyh:
可直接取值评估表2或手工填数
</t>
        </r>
      </text>
    </comment>
    <comment ref="C21" authorId="2">
      <text>
        <r>
          <t>zyyh:
依情况直接取值于评估表1、评估表2。下同。</t>
        </r>
      </text>
    </comment>
    <comment ref="I21" authorId="3">
      <text>
        <r>
          <t>zyyh:
缺省设置为经营期第1年，评估人员可根据项目实际情况修改、输入。</t>
        </r>
      </text>
    </comment>
    <comment ref="J21" authorId="4">
      <text>
        <r>
          <t>zyyh:
依据实际情况选择。
下同。</t>
        </r>
      </text>
    </comment>
    <comment ref="I149" authorId="5">
      <text>
        <r>
          <t>CCB:
缺省设置为经营期第1年，评估人员可根据项目实际情况修改、输入。</t>
        </r>
      </text>
    </comment>
    <comment ref="H29" authorId="6">
      <text>
        <r>
          <t>zyyh:
依具体项目修改折旧年限</t>
        </r>
      </text>
    </comment>
    <comment ref="I109" authorId="7">
      <text>
        <r>
          <t>CCB:
缺省设置为经营期第1年，评估人员可根据项目实际情况修改、输入。</t>
        </r>
      </text>
    </comment>
    <comment ref="I61" authorId="8">
      <text>
        <r>
          <t>CCB:
缺省设置为经营期第1年，评估人员可根据项目实际情况修改、输入。</t>
        </r>
      </text>
    </comment>
    <comment ref="I191" authorId="9">
      <text>
        <r>
          <t>zyyh:
缺省设置为经营期第1年，评估人员可根据项目实际情况修改、输入。</t>
        </r>
      </text>
    </comment>
    <comment ref="I77" authorId="10">
      <text>
        <r>
          <t>CCB:
缺省设置为经营期第1年，评估人员可根据项目实际情况修改、输入。</t>
        </r>
      </text>
    </comment>
    <comment ref="I179" authorId="11">
      <text>
        <r>
          <t>zyyh:
缺省设置为经营期第1年，评估人员可根据项目实际情况修改、输入。</t>
        </r>
      </text>
    </comment>
    <comment ref="I29" authorId="12">
      <text>
        <r>
          <t>zyyh:
缺省设置为经营期第1年，评估人员可根据项目实际情况修改、输入。</t>
        </r>
      </text>
    </comment>
    <comment ref="I53" authorId="13">
      <text>
        <r>
          <t>CCB:
缺省设置为经营期第1年，评估人员可根据项目实际情况修改、输入。</t>
        </r>
      </text>
    </comment>
    <comment ref="I125" authorId="14">
      <text>
        <r>
          <t>CCB:
缺省设置为经营期第1年，评估人员可根据项目实际情况修改、输入。</t>
        </r>
      </text>
    </comment>
    <comment ref="I185" authorId="15">
      <text>
        <r>
          <t>zyyh:
缺省设置为经营期第1年，评估人员可根据项目实际情况修改、输入。</t>
        </r>
      </text>
    </comment>
    <comment ref="D21" authorId="16">
      <text>
        <r>
          <t>zyyh:
依据实际情况选择。
下同。
</t>
        </r>
      </text>
    </comment>
    <comment ref="I117" authorId="17">
      <text>
        <r>
          <t>CCB:
缺省设置为经营期第1年，评估人员可根据项目实际情况修改、输入。</t>
        </r>
      </text>
    </comment>
    <comment ref="I133" authorId="18">
      <text>
        <r>
          <t>CCB:
缺省设置为经营期第1年，评估人员可根据项目实际情况修改、输入。</t>
        </r>
      </text>
    </comment>
    <comment ref="G21" authorId="19">
      <text>
        <r>
          <t>zyyh：
取值于可研
</t>
        </r>
      </text>
    </comment>
    <comment ref="I45" authorId="20">
      <text>
        <r>
          <t>CCB:
缺省设置为经营期第1年，如有差异，请评估人员根据实际情况输入。</t>
        </r>
      </text>
    </comment>
    <comment ref="I157" authorId="21">
      <text>
        <r>
          <t>CCB:
缺省设置为经营期第1年，评估人员可根据项目实际情况修改、输入。</t>
        </r>
      </text>
    </comment>
    <comment ref="H203" authorId="22">
      <text>
        <r>
          <t>zyyh:详见备注4
</t>
        </r>
      </text>
    </comment>
    <comment ref="E21" authorId="23">
      <text>
        <r>
          <t>zyyh:
取值于可研
</t>
        </r>
      </text>
    </comment>
    <comment ref="H21" authorId="24">
      <text>
        <r>
          <t>zyyh:
依具体项目修改折旧年限
</t>
        </r>
      </text>
    </comment>
    <comment ref="I182" authorId="25">
      <text>
        <r>
          <t>zyyh:
缺省设置为经营期第1年，评估人员可根据项目实际情况修改、输入。</t>
        </r>
      </text>
    </comment>
    <comment ref="I206" authorId="26">
      <text>
        <r>
          <t>zyyh:
缺省设置为经营期第1年，评估人员可根据项目实际情况修改、输入。</t>
        </r>
      </text>
    </comment>
    <comment ref="I165" authorId="27">
      <text>
        <r>
          <t>CCB:
缺省设置为经营期第1年，评估人员可根据项目实际情况修改、输入。</t>
        </r>
      </text>
    </comment>
    <comment ref="I197" authorId="28">
      <text>
        <r>
          <t>zyyh:
缺省设置为经营期第1年，评估人员可根据项目实际情况修改、输入。</t>
        </r>
      </text>
    </comment>
    <comment ref="I37" authorId="29">
      <text>
        <r>
          <t>zyyh:
缺省设置为经营期第1年，评估人员可根据项目实际情况修改、输入。</t>
        </r>
      </text>
    </comment>
    <comment ref="I69" authorId="30">
      <text>
        <r>
          <t>CCB:
缺省设置为经营期第1年，评估人员可根据项目实际情况修改、输入。</t>
        </r>
      </text>
    </comment>
    <comment ref="C179" authorId="31">
      <text>
        <r>
          <t>zyyh:
可直接取值评估表2或填数
</t>
        </r>
      </text>
    </comment>
    <comment ref="C22" authorId="32">
      <text>
        <r>
          <t>zyyh:
固定资产折旧常用方法：平均年限法、加倍折旧法、工作量法和年数总和法。
评估人员视项目情况及可研而定。
</t>
        </r>
      </text>
    </comment>
    <comment ref="I194" authorId="33">
      <text>
        <r>
          <t>zyyh:
缺省设置为经营期第1年，评估人员可根据项目实际情况修改、输入。</t>
        </r>
      </text>
    </comment>
    <comment ref="I93" authorId="34">
      <text>
        <r>
          <t>CCB:
缺省设置为经营期第1年，评估人员可根据项目实际情况修改、输入。</t>
        </r>
      </text>
    </comment>
    <comment ref="I101" authorId="35">
      <text>
        <r>
          <t>CCB:
缺省设置为经营期第1年，评估人员可根据项目实际情况修改、输入。</t>
        </r>
      </text>
    </comment>
    <comment ref="I85" authorId="36">
      <text>
        <r>
          <t>CCB:
缺省设置为经营期第1年，评估人员可根据项目实际情况修改、输入。</t>
        </r>
      </text>
    </comment>
  </commentList>
</comments>
</file>

<file path=xl/comments18.xml><?xml version="1.0" encoding="utf-8"?>
<comments xmlns="http://schemas.openxmlformats.org/spreadsheetml/2006/main">
  <authors>
    <author>tc={19D017C7-A3A5-4EB1-8CAA-45D47C599298}</author>
    <author>tc={E5EF56AB-0C79-4F2F-807A-9B4706390768}</author>
    <author>tc={52880C36-7731-4E9E-AA76-9D38CACE48C0}</author>
    <author>tc={456877F7-FCB3-4763-AAF6-FA88BDE4EC22}</author>
    <author>tc={4B011189-D86B-416D-885D-3372EC60ED3A}</author>
    <author>tc={D8B8CC46-57A6-4C92-9A6F-918832404D61}</author>
    <author>tc={C2FF160C-B7C0-43AB-9DBA-3FA94427B899}</author>
    <author>tc={C370CA8C-0560-4136-813B-D2D350E5F631}</author>
    <author>tc={DA5F586E-601A-41D3-9C4F-2A27F10FD7E0}</author>
    <author>tc={DBFCECC8-3543-44C0-8032-DBB985352657}</author>
    <author>tc={BD4F2A66-0D87-4C3E-9333-0BBF96762F5C}</author>
    <author>tc={75C76BEE-2471-49A2-8F2A-3D56A88D5CEB}</author>
    <author>tc={83F27D74-12F0-4F45-AFA3-81A78B9CDC71}</author>
    <author>tc={3FC8ED4F-927E-45DF-A1B8-5D9EA549A6A7}</author>
    <author>tc={E591CD33-8F13-454E-9391-68A4A712B3FE}</author>
    <author>tc={12FD49E2-76A3-451F-8420-F243A5210DB9}</author>
    <author>tc={3996A725-4B47-4375-9851-E5FDEBC4A05F}</author>
    <author>tc={6E4053E2-4DFF-48C0-A260-DD3FF1E8379B}</author>
    <author>tc={D6901AB3-6DB0-4A19-9CF9-3C28052FC080}</author>
    <author>tc={D9DB49A4-7B53-4BF8-8B9F-50D26B646A66}</author>
    <author>tc={8134A174-E249-4E99-96AE-13414F5D3D7F}</author>
    <author>tc={9EDCCBA6-45E4-44CE-ADAC-FE28DC97E06C}</author>
    <author>tc={42EF5784-9135-4C80-947F-09199914EEB8}</author>
    <author>tc={3A5E7208-0BBD-4DDE-BF04-8D26DC4712B8}</author>
    <author>tc={63E6BAE7-7908-4711-9934-FB57D774B635}</author>
    <author>tc={7BECF297-3A1E-4C2A-9E8B-A705B3C45D3A}</author>
    <author>tc={76C42C90-635C-4E84-AB1C-F1BCAA579631}</author>
    <author>tc={CBC268EC-3DBF-475A-BE74-F6766E44F7BC}</author>
    <author>tc={A3982624-7F2C-48D3-B637-77EDA6D170D6}</author>
    <author>tc={D064EF77-D56D-4829-BF50-A875029D275E}</author>
    <author>tc={7735676D-DBB7-4330-BBC1-94CFD8643703}</author>
    <author>tc={051095B3-8F1D-403C-9474-0E1AAE5682F1}</author>
    <author>tc={BEC00C3A-5DE9-4E28-BF87-DB51F28CEAD7}</author>
    <author>tc={87CF24F9-24CA-462B-A999-620C9992F166}</author>
    <author>tc={E3B2CB9A-F470-4E27-BD7D-FF50E9A12B21}</author>
    <author>tc={5582BCDE-27C5-4E33-B981-41727BC51837}</author>
    <author>tc={AE03A0E6-E9DA-4F76-9714-F70D706B6FC2}</author>
    <author>tc={C1340319-12C6-48B3-A175-9131F434A207}</author>
    <author>tc={CD40CD4D-7D4B-4158-9B08-E2672EC4F96A}</author>
    <author>tc={8961147F-AF65-4725-9381-203BDA7A7D48}</author>
    <author>tc={EFD18437-951D-406F-B83C-DA12AA40A817}</author>
    <author>tc={ECCBD4ED-317D-4343-AAD8-499DCACD6650}</author>
    <author>tc={C4F79EA9-6522-4D70-AB76-989B2FB2659B}</author>
    <author>tc={4392B31C-073A-4D66-BA82-4B977EC57D81}</author>
    <author>tc={22AE03EF-BD80-4F17-868B-B2F0136DAC2A}</author>
    <author>tc={42E2DE46-9EE8-469C-B746-49845EA2080B}</author>
    <author>tc={BFF184E7-D06D-4EA9-8731-2CF1AFF192D9}</author>
    <author>tc={82F36375-ECE4-4D9B-98E9-F3EEA9985A51}</author>
    <author>tc={7121AD7C-BEC7-4BAE-BB1F-A8F80C590536}</author>
    <author>tc={CAC12C60-E717-4A2A-89DA-BD53233E939D}</author>
    <author>tc={8C97B028-88AA-44BB-8F38-2059E383A1F0}</author>
    <author>tc={1374053B-BF47-4C6C-8617-A9C49B6078BC}</author>
    <author>tc={DAAC7653-4B6D-446F-810F-59571DD52233}</author>
    <author>tc={775CDB4B-4A1C-4781-8F5A-7957EF0C41F9}</author>
    <author>tc={A3A23E45-31F6-4556-9722-B504AFA4A3EE}</author>
    <author>tc={C3373578-5A1D-4F50-B353-6BB049EE70C2}</author>
    <author>tc={67C2B15B-184B-4ABB-BD2D-AFAEB309C634}</author>
    <author>tc={26248778-9354-4186-A7C8-4072D03B12DC}</author>
    <author>tc={9E25351A-FD67-4EC6-8E08-190969C3AA47}</author>
    <author>tc={AB2E87F0-F3AA-4406-B229-123B0AFAF62F}</author>
    <author>tc={780D19A5-59DB-4CD2-883F-F30574718CCD}</author>
  </authors>
  <commentList>
    <comment ref="C71" authorId="0">
      <text>
        <r>
          <t>zyyh:
请填写单位</t>
        </r>
      </text>
    </comment>
    <comment ref="G88" authorId="1">
      <text>
        <r>
          <t>zyyh:
单价*辅助表7N11</t>
        </r>
      </text>
    </comment>
    <comment ref="C91" authorId="2">
      <text>
        <r>
          <t>zyyh:
请填写单位</t>
        </r>
      </text>
    </comment>
    <comment ref="G148" authorId="3">
      <text>
        <r>
          <t>zyyh:
单价*辅助表7N11</t>
        </r>
      </text>
    </comment>
    <comment ref="B98" authorId="4">
      <text>
        <r>
          <t>zyyh:
注意应以“万元”为单位；请输入含税价（增值税）。</t>
        </r>
      </text>
    </comment>
    <comment ref="B107" authorId="5">
      <text>
        <r>
          <t>zyyh:
请填入产品名</t>
        </r>
      </text>
    </comment>
    <comment ref="B147" authorId="6">
      <text>
        <r>
          <t>zyyh:
请填入产品名称</t>
        </r>
      </text>
    </comment>
    <comment ref="C111" authorId="7">
      <text>
        <r>
          <t>zyyh:
请填写单位</t>
        </r>
      </text>
    </comment>
    <comment ref="G118" authorId="8">
      <text>
        <r>
          <t>zyyh:
单价*辅助表7N11</t>
        </r>
      </text>
    </comment>
    <comment ref="G58" authorId="9">
      <text>
        <r>
          <t>zyyh:
单价*辅助表7N11</t>
        </r>
      </text>
    </comment>
    <comment ref="C161" authorId="10">
      <text>
        <r>
          <t>zyyh:
请填写单位</t>
        </r>
      </text>
    </comment>
    <comment ref="B87" authorId="11">
      <text>
        <r>
          <t>zyyh:
请填入产品名</t>
        </r>
      </text>
    </comment>
    <comment ref="B118" authorId="12">
      <text>
        <r>
          <t>zyyh:
注意应以“万元”为单位；请输入含税价（增值税）。</t>
        </r>
      </text>
    </comment>
    <comment ref="C141" authorId="13">
      <text>
        <r>
          <t>zyyh:
请填写单位</t>
        </r>
      </text>
    </comment>
    <comment ref="G158" authorId="14">
      <text>
        <r>
          <t>zyyh:
单价*辅助表7N11</t>
        </r>
      </text>
    </comment>
    <comment ref="G98" authorId="15">
      <text>
        <r>
          <t>zyyh:
单价*辅助表7N11</t>
        </r>
      </text>
    </comment>
    <comment ref="G108" authorId="16">
      <text>
        <r>
          <t>zyyh:
单价*辅助表7N11</t>
        </r>
      </text>
    </comment>
    <comment ref="B157" authorId="17">
      <text>
        <r>
          <t>zyyh:
请填入产品名</t>
        </r>
      </text>
    </comment>
    <comment ref="B57" authorId="18">
      <text>
        <r>
          <t>zyyh:
请填入产品名</t>
        </r>
      </text>
    </comment>
    <comment ref="C53" authorId="19">
      <text>
        <r>
          <t>zyyh:
依据产品增值税率而定
</t>
        </r>
      </text>
    </comment>
    <comment ref="C31" authorId="20">
      <text>
        <r>
          <t>zyyh:
此处填单位。</t>
        </r>
      </text>
    </comment>
    <comment ref="B158" authorId="21">
      <text>
        <r>
          <t>zyyh:
注意应以“万元”为单位；请输入含税价（增值税）。</t>
        </r>
      </text>
    </comment>
    <comment ref="B117" authorId="22">
      <text>
        <r>
          <t>zyyh:
请填入产品名</t>
        </r>
      </text>
    </comment>
    <comment ref="G68" authorId="23">
      <text>
        <r>
          <t>zyyh:
单价*辅助表7N11</t>
        </r>
      </text>
    </comment>
    <comment ref="C51" authorId="24">
      <text>
        <r>
          <t>zyyh:
请填写单位</t>
        </r>
      </text>
    </comment>
    <comment ref="G128" authorId="25">
      <text>
        <r>
          <t>zyyh:
单价*辅助表7N11</t>
        </r>
      </text>
    </comment>
    <comment ref="B47" authorId="26">
      <text>
        <r>
          <t>zyyh:
请填入产品名称</t>
        </r>
      </text>
    </comment>
    <comment ref="B68" authorId="27">
      <text>
        <r>
          <t>zyyh:
注意应以“万元”为单位；请输入含税价（增值税）。</t>
        </r>
      </text>
    </comment>
    <comment ref="B108" authorId="28">
      <text>
        <r>
          <t>zyyh:
注意应以“万元”为单位；请输入含税价（增值税）。</t>
        </r>
      </text>
    </comment>
    <comment ref="B137" authorId="29">
      <text>
        <r>
          <t>zyyh:
请填入产品名</t>
        </r>
      </text>
    </comment>
    <comment ref="C41" authorId="30">
      <text>
        <r>
          <t>zyyh:
请填写单位</t>
        </r>
      </text>
    </comment>
    <comment ref="B168" authorId="31">
      <text>
        <r>
          <t>zyyh:
注意应以“万元”为单位；请输入含税价（增值税）。</t>
        </r>
      </text>
    </comment>
    <comment ref="B77" authorId="32">
      <text>
        <r>
          <t>zyyh:
请填入产品名</t>
        </r>
      </text>
    </comment>
    <comment ref="C81" authorId="33">
      <text>
        <r>
          <t>zyyh:
请填写单位</t>
        </r>
      </text>
    </comment>
    <comment ref="B128" authorId="34">
      <text>
        <r>
          <t>zyyh:
注意应以“万元”为单位；请输入含税价（增值税）。</t>
        </r>
      </text>
    </comment>
    <comment ref="B138" authorId="35">
      <text>
        <r>
          <t>zyyh:
注意应以“万元”为单位；请输入含税价（增值税）。</t>
        </r>
      </text>
    </comment>
    <comment ref="C61" authorId="36">
      <text>
        <r>
          <t>zyyh:
请填写单位</t>
        </r>
      </text>
    </comment>
    <comment ref="B127" authorId="37">
      <text>
        <r>
          <t>zyyh:
请填入产品名</t>
        </r>
      </text>
    </comment>
    <comment ref="G38" authorId="38">
      <text>
        <r>
          <t>zyyh:
单价*辅助表7N11</t>
        </r>
      </text>
    </comment>
    <comment ref="B97" authorId="39">
      <text>
        <r>
          <t>zyyh:
请填入产品名</t>
        </r>
      </text>
    </comment>
    <comment ref="C151" authorId="40">
      <text>
        <r>
          <t>zyyh:
请填写单位</t>
        </r>
      </text>
    </comment>
    <comment ref="B88" authorId="41">
      <text>
        <r>
          <t>zyyh:
注意应以“万元”为单位；请输入含税价（增值税）。</t>
        </r>
      </text>
    </comment>
    <comment ref="C171" authorId="42">
      <text>
        <r>
          <t>zyyh:
请填写单位</t>
        </r>
      </text>
    </comment>
    <comment ref="G78" authorId="43">
      <text>
        <r>
          <t>zyyh:
单价*辅助表7N11</t>
        </r>
      </text>
    </comment>
    <comment ref="B38" authorId="44">
      <text>
        <r>
          <t>zyyh:
注意应以“万元”为单位；请输入含税价（增值税）。</t>
        </r>
      </text>
    </comment>
    <comment ref="B148" authorId="45">
      <text>
        <r>
          <t>zyyh:
注意应以“万元”为单位；请输入含税价（增值税）。</t>
        </r>
      </text>
    </comment>
    <comment ref="C131" authorId="46">
      <text>
        <r>
          <t>zyyh:
请填写单位</t>
        </r>
      </text>
    </comment>
    <comment ref="B48" authorId="47">
      <text>
        <r>
          <t>zyyh:
注意应以“万元”为单位；请输入含税价（增值税）。</t>
        </r>
      </text>
    </comment>
    <comment ref="B67" authorId="48">
      <text>
        <r>
          <t>zyyh:
请填入产品名</t>
        </r>
      </text>
    </comment>
    <comment ref="B27" authorId="49">
      <text>
        <r>
          <t>zyyh:
请填入产品名称</t>
        </r>
      </text>
    </comment>
    <comment ref="C121" authorId="50">
      <text>
        <r>
          <t>zyyh:
请填写单位</t>
        </r>
      </text>
    </comment>
    <comment ref="C43" authorId="51">
      <text>
        <r>
          <t>zyyh:
依据产品增值税率而定
</t>
        </r>
      </text>
    </comment>
    <comment ref="G168" authorId="52">
      <text>
        <r>
          <t>zyyh:
单价*辅助表7N11</t>
        </r>
      </text>
    </comment>
    <comment ref="B37" authorId="53">
      <text>
        <r>
          <t>zyyh:
请填入产品名称</t>
        </r>
      </text>
    </comment>
    <comment ref="B28" authorId="54">
      <text>
        <r>
          <t>zyyh:
注意应以“万元”为单位；请输入含税价（增值税）。且单价价格须关联敏感性因素中“产品价格”。下同。</t>
        </r>
      </text>
    </comment>
    <comment ref="G138" authorId="55">
      <text>
        <r>
          <t>zyyh:
单价*辅助表7N11</t>
        </r>
      </text>
    </comment>
    <comment ref="C101" authorId="56">
      <text>
        <r>
          <t>zyyh:
请填写单位</t>
        </r>
      </text>
    </comment>
    <comment ref="G48" authorId="57">
      <text>
        <r>
          <t>zyyh:
单价*辅助表7N11</t>
        </r>
      </text>
    </comment>
    <comment ref="B167" authorId="58">
      <text>
        <r>
          <t>zyyh:
请填入产品名</t>
        </r>
      </text>
    </comment>
    <comment ref="B58" authorId="59">
      <text>
        <r>
          <t>zyyh:
注意应以“万元”为单位；请输入含税价（增值税）。</t>
        </r>
      </text>
    </comment>
    <comment ref="B78" authorId="60">
      <text>
        <r>
          <t>zyyh:
注意应以“万元”为单位；请输入含税价（增值税）。</t>
        </r>
      </text>
    </comment>
  </commentList>
</comments>
</file>

<file path=xl/comments19.xml><?xml version="1.0" encoding="utf-8"?>
<comments xmlns="http://schemas.openxmlformats.org/spreadsheetml/2006/main">
  <authors>
    <author>tc={64DF2362-1A79-433A-B5C3-2334443B0A3F}</author>
    <author>tc={D0D12C38-4EC3-4651-8C77-34D8A97ED3CD}</author>
  </authors>
  <commentList>
    <comment ref="B25" authorId="0">
      <text>
        <r>
          <t>zyyh:
因评估评级系统需要输入整数月，因此向上取整。</t>
        </r>
      </text>
    </comment>
    <comment ref="B27" authorId="1">
      <text>
        <r>
          <t>zyyh:
因评估评级系统需要输入整数月，因此向上取整。</t>
        </r>
      </text>
    </comment>
  </commentList>
</comments>
</file>

<file path=xl/comments2.xml><?xml version="1.0" encoding="utf-8"?>
<comments xmlns="http://schemas.openxmlformats.org/spreadsheetml/2006/main">
  <authors>
    <author>tc={17B3A94D-EEBC-4B85-A4AF-F16FC1395BC7}</author>
    <author>tc={C27599B8-B5CC-4D09-A6A3-EACA338878DB}</author>
    <author>tc={EC83DE8E-06FF-40D0-864D-034A2091D498}</author>
    <author>tc={A9EC9F16-39E3-486B-8421-230A7BEDB238}</author>
    <author>tc={78BBD9B4-54A0-4ADB-8FD1-7736140F7C32}</author>
    <author>tc={4346BA01-2951-40E0-A47D-5FBFE2A45DA5}</author>
    <author>tc={AC811135-67F5-4D0A-819E-52A6B186AEFC}</author>
    <author>tc={58D00BC0-76E3-4804-8135-45D8F31F1E42}</author>
    <author>tc={76BDC14C-DFB0-4FCB-A1A6-110A88A95935}</author>
  </authors>
  <commentList>
    <comment ref="Y2" authorId="0">
      <text>
        <r>
          <t>xingming:
目前系统内没有该字段，考虑全行推广时优化。</t>
        </r>
      </text>
    </comment>
    <comment ref="V2" authorId="1">
      <text>
        <r>
          <t>xingming:
目前系统内没有该字段，考虑全行推广时优化。</t>
        </r>
      </text>
    </comment>
    <comment ref="AQ2" authorId="2">
      <text>
        <r>
          <t>xingming:
每个环节的时间为提交日期减去接收日期，需要剔除补充材料等时间，要保留到小数点后一位。</t>
        </r>
      </text>
    </comment>
    <comment ref="H2" authorId="3">
      <text>
        <r>
          <t>xingming:
项目融资评估评级、房地产专业贷款评估评级、固定资产贷款项目评估、房地产开发贷款项目评估。</t>
        </r>
      </text>
    </comment>
    <comment ref="J3" authorId="4">
      <text>
        <r>
          <t>xingming:
具体授信品种，比如基建、技改、房开贷、商用物业抵押、土地储备。</t>
        </r>
      </text>
    </comment>
    <comment ref="BH2" authorId="5">
      <text>
        <r>
          <t>xingming:
系统内评估评级和业务申报两条流程未连通，目前无法直接抽取，考虑全行推广时优化。</t>
        </r>
      </text>
    </comment>
    <comment ref="S2" authorId="6">
      <text>
        <r>
          <t>xingming:
目前系统内没有该字段，考虑全行推广时优化。</t>
        </r>
      </text>
    </comment>
    <comment ref="AP3" authorId="7">
      <text>
        <r>
          <t>xingming:
项目评估为可选项</t>
        </r>
      </text>
    </comment>
    <comment ref="I3" authorId="8">
      <text>
        <r>
          <t>xingming:
九大类额度，比如固贷、房贷。</t>
        </r>
      </text>
    </comment>
  </commentList>
</comments>
</file>

<file path=xl/comments3.xml><?xml version="1.0" encoding="utf-8"?>
<comments xmlns="http://schemas.openxmlformats.org/spreadsheetml/2006/main">
  <authors>
    <author>tc={133927D6-0400-4EBA-BF7A-834B2FE6572C}</author>
  </authors>
  <commentList>
    <comment ref="A1" authorId="0">
      <text>
        <r>
          <t>软件开发团队信息
   《中国建设银行项目评估计算系统》由浙江省风险管理部负责开发，软件开发团队各成员具体分工如下：
胡志刚：负责系统总体设计、标准模型开发、基础算法研发、各项可执行功能算法研发，并具体负责工业、公用事业、房地产、商用物业抵押模块开发，系统整体测试、修改、定型。
许华：负责医院、事业法人、并购模块开发
陈恒：负责运输模块开发
汪颐：负责采矿模块开发
黎凌：负责铁路模块开发
程晓东：负责公路模块开发
顾焕：负责学校模块开发
软件开发总负责人：胡志刚
                                2010年9月</t>
        </r>
      </text>
    </comment>
  </commentList>
</comments>
</file>

<file path=xl/comments4.xml><?xml version="1.0" encoding="utf-8"?>
<comments xmlns="http://schemas.openxmlformats.org/spreadsheetml/2006/main">
  <authors>
    <author>tc={61BCDC44-0A52-40D0-A9C1-4FC25E2E0D11}</author>
  </authors>
  <commentList>
    <comment ref="A1" authorId="0">
      <text>
        <r>
          <t>软件开发团队信息
   《中国建设银行项目评估计算系统》由浙江省风险管理部负责开发，软件开发团队各成员具体分工如下：
胡志刚：负责系统总体设计、标准模型开发、基础算法研发、各项可执行功能算法研发，并具体负责工业、公用事业、房地产、商用物业抵押模块开发，系统整体测试、修改、定型。
许华：负责医院、事业法人、并购模块开发
陈恒：负责运输模块开发
汪颐：负责采矿模块开发
黎凌：负责铁路模块开发
程晓东：负责公路模块开发
顾焕：负责学校模块开发
软件开发总负责人：胡志刚
                                2010年9月</t>
        </r>
      </text>
    </comment>
  </commentList>
</comments>
</file>

<file path=xl/comments5.xml><?xml version="1.0" encoding="utf-8"?>
<comments xmlns="http://schemas.openxmlformats.org/spreadsheetml/2006/main">
  <authors>
    <author>tc={36A109F2-7A44-4A53-8867-DE9B172F3AA4}</author>
  </authors>
  <commentList>
    <comment ref="A1" authorId="0">
      <text>
        <r>
          <t>软件开发团队信息
   《中国建设银行项目评估计算系统》由浙江省风险管理部负责开发，软件开发团队各成员具体分工如下：
胡志刚：负责系统总体设计、标准模型开发、基础算法研发、各项可执行功能算法研发，并具体负责工业、公用事业、房地产、商用物业抵押模块开发，系统整体测试、修改、定型。
许华：负责医院、事业法人、并购模块开发
陈恒：负责运输模块开发
汪颐：负责采矿模块开发
黎凌：负责铁路模块开发
程晓东：负责公路模块开发
顾焕：负责学校模块开发
软件开发总负责人：胡志刚
                                2010年9月
</t>
        </r>
      </text>
    </comment>
  </commentList>
</comments>
</file>

<file path=xl/comments6.xml><?xml version="1.0" encoding="utf-8"?>
<comments xmlns="http://schemas.openxmlformats.org/spreadsheetml/2006/main">
  <authors>
    <author>tc={3143D804-61E1-4A10-B0AE-13D72472D2E6}</author>
  </authors>
  <commentList>
    <comment ref="A1" authorId="0">
      <text>
        <r>
          <t>软件开发团队信息
   《中国建设银行项目评估计算系统》由浙江省风险管理部负责开发，软件开发团队各成员具体分工如下：
胡志刚：负责系统总体设计、标准模型开发、基础算法研发、各项可执行功能算法研发，并具体负责工业、公用事业、房地产、商用物业抵押模块开发，系统整体测试、修改、定型。
许华：负责医院、事业法人、并购模块开发
陈恒：负责运输模块开发
汪颐：负责采矿模块开发
黎凌：负责铁路模块开发
程晓东：负责公路模块开发
顾焕：负责学校模块开发
软件开发总负责人：胡志刚
                                2010年9月
</t>
        </r>
      </text>
    </comment>
  </commentList>
</comments>
</file>

<file path=xl/comments7.xml><?xml version="1.0" encoding="utf-8"?>
<comments xmlns="http://schemas.openxmlformats.org/spreadsheetml/2006/main">
  <authors>
    <author>tc={D14A3B3B-AED3-4D42-A0D2-59B4D94E41E8}</author>
    <author>tc={8D1CCCC8-85BB-4106-A5C8-E5B2313B69FA}</author>
    <author>tc={AE77C1A2-8BD8-4393-BAAB-17AF930BADE2}</author>
    <author>tc={4B54D95C-44A9-42CB-AEF5-E058C39CFBBD}</author>
    <author>tc={3FD32F9C-3719-4A45-9966-15C650BF790F}</author>
    <author>tc={C792FF71-AC98-48CC-BB8D-E3BB7107770D}</author>
  </authors>
  <commentList>
    <comment ref="F4" authorId="0">
      <text>
        <r>
          <t>zyyh:
此列如有则填写</t>
        </r>
      </text>
    </comment>
    <comment ref="B36" authorId="1">
      <text>
        <r>
          <t>zyyh:
此行如有则填写</t>
        </r>
      </text>
    </comment>
    <comment ref="B41" authorId="2">
      <text>
        <r>
          <t>zyyh:
依行业政策而定。
</t>
        </r>
      </text>
    </comment>
    <comment ref="H4" authorId="3">
      <text>
        <r>
          <t>zyyh:
此列用以外汇形式注入资金的项目。</t>
        </r>
      </text>
    </comment>
    <comment ref="C12" authorId="4">
      <text>
        <r>
          <t>zyyh：
可直接填数，但尽量用后面数量*单价分解计算。下同</t>
        </r>
      </text>
    </comment>
    <comment ref="G5" authorId="5">
      <text>
        <r>
          <t>zyyh:
此处关联辅助表7N9,关联总投资敏感性分析</t>
        </r>
      </text>
    </comment>
  </commentList>
</comments>
</file>

<file path=xl/comments8.xml><?xml version="1.0" encoding="utf-8"?>
<comments xmlns="http://schemas.openxmlformats.org/spreadsheetml/2006/main">
  <authors>
    <author>tc={D54AB128-196C-47B6-B1EC-58E9DA71DA34}</author>
    <author>tc={E3126586-C791-4CAD-88CC-CC8000D30F50}</author>
  </authors>
  <commentList>
    <comment ref="C20" authorId="0">
      <text>
        <r>
          <t>zyyh：
计算含税价（税费4%）+印花税</t>
        </r>
      </text>
    </comment>
    <comment ref="B19" authorId="1">
      <text>
        <r>
          <t>zyyh:
通常将工程建设其他费用中的土地使用费、专利及专有技术使用费等计入无形资产</t>
        </r>
      </text>
    </comment>
  </commentList>
</comments>
</file>

<file path=xl/comments9.xml><?xml version="1.0" encoding="utf-8"?>
<comments xmlns="http://schemas.openxmlformats.org/spreadsheetml/2006/main">
  <authors>
    <author>tc={F679A1AB-76AC-4F8D-BE5F-98C3C7BBE065}</author>
    <author>tc={F5F976CC-DBC2-47EF-ADCE-3C646A56CC32}</author>
    <author>tc={E156D136-A3CA-4DF0-A5B2-9492C0A270FB}</author>
    <author>tc={8E9F3654-3246-400D-9885-343B97380E50}</author>
    <author>tc={D16B3D89-AA56-4534-B164-DAEE70AD0287}</author>
    <author>tc={87FA7208-87C1-4A32-9F1F-EC3D60C7A94F}</author>
    <author>tc={02532D55-D3BD-40B1-B08A-A43BB5CF01D0}</author>
    <author>tc={5E721BBE-F5D3-4721-B3B7-4F067187EDD6}</author>
    <author>tc={FD9DF0E9-FA90-4F05-AFF7-2704A428EB6D}</author>
    <author>tc={22D640A6-BAD3-426D-AE45-78AA9845898C}</author>
  </authors>
  <commentList>
    <comment ref="F28" authorId="0">
      <text>
        <r>
          <t>zyyh:
我行贷款金额*F6*辅助表7单因素敏感性分析表N9</t>
        </r>
      </text>
    </comment>
    <comment ref="C47" authorId="1">
      <text>
        <r>
          <t>zyyh:
单位为%。</t>
        </r>
      </text>
    </comment>
    <comment ref="E49" authorId="2">
      <text>
        <r>
          <t>zyyh:
此行为各年累计投入资本金。</t>
        </r>
      </text>
    </comment>
    <comment ref="D28" authorId="3">
      <text>
        <r>
          <t>zyyh:
年利率*辅助表7单因素敏感性分析表!N13</t>
        </r>
      </text>
    </comment>
    <comment ref="B45" authorId="4">
      <text>
        <r>
          <t>zyyh:适用于分期投产的项目，在总建设内先期投产产生的利润和折旧可归还贷款或作为建设资金来源。
</t>
        </r>
      </text>
    </comment>
    <comment ref="D43" authorId="5">
      <text>
        <r>
          <t>zyyh:
年利率*辅助表7单因素敏感性分析表!N13</t>
        </r>
      </text>
    </comment>
    <comment ref="D42" authorId="6">
      <text>
        <r>
          <t>zyyh:
年利率*辅助表7单因素敏感性分析表!N13</t>
        </r>
      </text>
    </comment>
    <comment ref="D29" authorId="7">
      <text>
        <r>
          <t>zyyh:
年利率*辅助表7单因素敏感性分析表!N13</t>
        </r>
      </text>
    </comment>
    <comment ref="E50" authorId="8">
      <text>
        <r>
          <t>zyyh:
此行为累计已投入资金。</t>
        </r>
      </text>
    </comment>
    <comment ref="G28" authorId="9">
      <text>
        <r>
          <t>zyyh:
我行贷款金额*G6*辅助表7单因素敏感性分析表N9
</t>
        </r>
      </text>
    </comment>
  </commentList>
</comments>
</file>

<file path=xl/sharedStrings.xml><?xml version="1.0" encoding="utf-8"?>
<sst xmlns="http://schemas.openxmlformats.org/spreadsheetml/2006/main" count="3386" uniqueCount="3386">
  <si>
    <t/>
  </si>
  <si>
    <t>工作</t>
  </si>
  <si>
    <t>操作</t>
  </si>
  <si>
    <t>工作表</t>
  </si>
  <si>
    <t>操作串</t>
  </si>
  <si>
    <t>系数</t>
  </si>
  <si>
    <t>判断单元格</t>
  </si>
  <si>
    <t>先确定贷款额</t>
  </si>
  <si>
    <t>begin</t>
  </si>
  <si>
    <t>pgb3</t>
  </si>
  <si>
    <t>F20:W20</t>
  </si>
  <si>
    <t>?5-?25-?41-?45</t>
  </si>
  <si>
    <t>result</t>
  </si>
  <si>
    <t>先确定资本金</t>
  </si>
  <si>
    <t>F28:W28</t>
  </si>
  <si>
    <t>?5-?18-?29-?30-?31-?32-?33-?38-?39-?40-?41-?45</t>
  </si>
  <si>
    <t>按资金比例</t>
  </si>
  <si>
    <t>?7+?16</t>
  </si>
  <si>
    <t>eCapital</t>
  </si>
  <si>
    <t>(?7+?16)*(1-cfg!A2)-?33-?38-?39-?40-?45</t>
  </si>
  <si>
    <t>eLoan1</t>
  </si>
  <si>
    <t>F29:W29</t>
  </si>
  <si>
    <t>eLoan2</t>
  </si>
  <si>
    <t>F30:W30</t>
  </si>
  <si>
    <t>eLoan3</t>
  </si>
  <si>
    <t>F31:W31</t>
  </si>
  <si>
    <t>eLoan4</t>
  </si>
  <si>
    <t>F32:W32</t>
  </si>
  <si>
    <t>eLoan5</t>
  </si>
  <si>
    <t>F28:W32</t>
  </si>
  <si>
    <t>单因素敏感性分析</t>
  </si>
  <si>
    <t>fzb7.1</t>
  </si>
  <si>
    <t>A7:A15</t>
  </si>
  <si>
    <t>B5:F5</t>
  </si>
  <si>
    <t>多因素敏感性分析</t>
  </si>
  <si>
    <t>fzb7.2</t>
  </si>
  <si>
    <t>?5:?11</t>
  </si>
  <si>
    <t>B?</t>
  </si>
  <si>
    <t>?14:?62</t>
  </si>
  <si>
    <t>fzb6.2!C5:C53</t>
  </si>
  <si>
    <t>附表：</t>
  </si>
  <si>
    <t>行业分类表</t>
  </si>
  <si>
    <t>所有类别</t>
  </si>
  <si>
    <t>门类</t>
  </si>
  <si>
    <t>大类</t>
  </si>
  <si>
    <t>中类</t>
  </si>
  <si>
    <t>小类</t>
  </si>
  <si>
    <t>A</t>
  </si>
  <si>
    <t>农、林、牧、渔业</t>
  </si>
  <si>
    <t>农业</t>
  </si>
  <si>
    <t>林业</t>
  </si>
  <si>
    <t xml:space="preserve"> </t>
  </si>
  <si>
    <t>畜牧业</t>
  </si>
  <si>
    <t>渔业</t>
  </si>
  <si>
    <t>农、林、牧、渔服务业</t>
  </si>
  <si>
    <t>B</t>
  </si>
  <si>
    <t>采矿业</t>
  </si>
  <si>
    <t xml:space="preserve">  本类包括06—11大类。采矿业指对固体（如煤和矿物）、液体（如原油）或气体（如天然气）等自然产生的矿物的采掘。包括地下或地上采掘、矿井的运行，以及一般在矿址或矿址附近从事的旨在加工原材料的所有辅助性工作，例如碾磨、选矿和处理，均属本类活动。还包括使原料得以销售所需的准备工作。不包括水的蓄集、净化和分配，以及地质勘查、建筑工程活动。</t>
  </si>
  <si>
    <t>煤炭开采和洗选业</t>
  </si>
  <si>
    <t>石油和天然气开采业</t>
  </si>
  <si>
    <t>黑色金属矿采选业</t>
  </si>
  <si>
    <t>有色金属矿采选业</t>
  </si>
  <si>
    <t xml:space="preserve">  </t>
  </si>
  <si>
    <t xml:space="preserve">      </t>
  </si>
  <si>
    <t xml:space="preserve">    </t>
  </si>
  <si>
    <t xml:space="preserve">     </t>
  </si>
  <si>
    <t>C</t>
  </si>
  <si>
    <t>制造业</t>
  </si>
  <si>
    <t>农副食品加工业</t>
  </si>
  <si>
    <t>食品制造业</t>
  </si>
  <si>
    <t>饮料制造业</t>
  </si>
  <si>
    <t xml:space="preserve">  指以新鲜葡萄或葡萄汁为原料，经全部或部分发酵酿制而成，酒精度(体积分数)等于或大于7％的发酵酒产品的生产。</t>
  </si>
  <si>
    <t>烟草制品业</t>
  </si>
  <si>
    <t>纺织业</t>
  </si>
  <si>
    <t>纺织服装、鞋、帽制造业</t>
  </si>
  <si>
    <t>木材加工及木、竹、藤、棕、草制品业</t>
  </si>
  <si>
    <t>家具制造业</t>
  </si>
  <si>
    <t>造纸及纸制品业</t>
  </si>
  <si>
    <t>印刷业和记录媒介的复制</t>
  </si>
  <si>
    <t>文教体育用品制造业</t>
  </si>
  <si>
    <t>石油加工、炼焦及核燃料加工业</t>
  </si>
  <si>
    <t>化学原料及化学制品制造业</t>
  </si>
  <si>
    <t xml:space="preserve">  指由颜料、联接料（植物油、矿物油、树脂、溶剂）和填充料经过混合、研磨调制而成用于印刷的有色胶浆状物质，以及用于计算机打印、复印机用墨的生产。 </t>
  </si>
  <si>
    <t>医药制造业</t>
  </si>
  <si>
    <t>化学纤维制造业</t>
  </si>
  <si>
    <t>橡胶制品业</t>
  </si>
  <si>
    <t>塑料制品业</t>
  </si>
  <si>
    <t>非金属矿物制品业</t>
  </si>
  <si>
    <t>黑色金属冶炼及压延加工业</t>
  </si>
  <si>
    <t>有色金属冶炼及压延加工业</t>
  </si>
  <si>
    <t>金属制品业</t>
  </si>
  <si>
    <t>通用设备制造业</t>
  </si>
  <si>
    <t>专用设备制造业</t>
  </si>
  <si>
    <t>交通运输设备制造业</t>
  </si>
  <si>
    <t>电气机械及器材制造业</t>
  </si>
  <si>
    <t>通信设备、计算机及其他电子设备制造业</t>
  </si>
  <si>
    <t>仪器仪表及文化、办公用机械制造业</t>
  </si>
  <si>
    <t>工艺品及其他制造业</t>
  </si>
  <si>
    <t>废弃资源和废旧材料回收加工业</t>
  </si>
  <si>
    <t>D</t>
  </si>
  <si>
    <t>电力、燃气及水的生产和供应业</t>
  </si>
  <si>
    <t>电力、热力的生产和供应业</t>
  </si>
  <si>
    <t>燃气生产和供应业</t>
  </si>
  <si>
    <t>水的生产和供应业</t>
  </si>
  <si>
    <t>E</t>
  </si>
  <si>
    <t>建筑业</t>
  </si>
  <si>
    <t>房屋和土木工程建筑业</t>
  </si>
  <si>
    <t>建筑安装业</t>
  </si>
  <si>
    <t>建筑装饰业</t>
  </si>
  <si>
    <t>其他建筑业</t>
  </si>
  <si>
    <t>F</t>
  </si>
  <si>
    <t>交通运输、仓储和邮政业</t>
  </si>
  <si>
    <t>铁路运输业</t>
  </si>
  <si>
    <t>道路运输业</t>
  </si>
  <si>
    <t>城市公共交通业</t>
  </si>
  <si>
    <t>水上运输业</t>
  </si>
  <si>
    <t>航空运输业</t>
  </si>
  <si>
    <t>管道运输业</t>
  </si>
  <si>
    <t>装卸搬运和其他运输服务业</t>
  </si>
  <si>
    <t>仓储业</t>
  </si>
  <si>
    <t>邮政业</t>
  </si>
  <si>
    <t>G</t>
  </si>
  <si>
    <t>信息传输、计算机服务和软件业</t>
  </si>
  <si>
    <t>电信和其他信息传输服务业</t>
  </si>
  <si>
    <t>计算机服务业</t>
  </si>
  <si>
    <t>软件业</t>
  </si>
  <si>
    <t>H</t>
  </si>
  <si>
    <t>批发和零售业</t>
  </si>
  <si>
    <t>批发业</t>
  </si>
  <si>
    <t>零售业</t>
  </si>
  <si>
    <t>I</t>
  </si>
  <si>
    <t>住宿和餐饮业</t>
  </si>
  <si>
    <t>住宿业</t>
  </si>
  <si>
    <t>餐饮业</t>
  </si>
  <si>
    <t>J</t>
  </si>
  <si>
    <t>金融业</t>
  </si>
  <si>
    <t>银行业</t>
  </si>
  <si>
    <t>证券业</t>
  </si>
  <si>
    <t>保险业</t>
  </si>
  <si>
    <t>其他金融活动</t>
  </si>
  <si>
    <t>K</t>
  </si>
  <si>
    <t>房地产业</t>
  </si>
  <si>
    <t>L</t>
  </si>
  <si>
    <t>租赁和商务服务业</t>
  </si>
  <si>
    <t>租赁业</t>
  </si>
  <si>
    <t>商务服务业</t>
  </si>
  <si>
    <t>M</t>
  </si>
  <si>
    <t>科学研究、技术服务和地质勘查业</t>
  </si>
  <si>
    <t>研究与试验发展</t>
  </si>
  <si>
    <t>专业技术服务业</t>
  </si>
  <si>
    <t>科技交流和推广服务业</t>
  </si>
  <si>
    <t>地质勘查业</t>
  </si>
  <si>
    <t>N</t>
  </si>
  <si>
    <t>水利、环境和公共设施管理业</t>
  </si>
  <si>
    <t>水利管理业</t>
  </si>
  <si>
    <t>环境管理业</t>
  </si>
  <si>
    <t>公共设施管理业</t>
  </si>
  <si>
    <t>O</t>
  </si>
  <si>
    <t>居民服务和其他服务业</t>
  </si>
  <si>
    <t>居民服务业</t>
  </si>
  <si>
    <t>其他服务业</t>
  </si>
  <si>
    <t>P</t>
  </si>
  <si>
    <t>教育</t>
  </si>
  <si>
    <t>Q</t>
  </si>
  <si>
    <t>卫生、社会保障和社会福利业</t>
  </si>
  <si>
    <t>卫生</t>
  </si>
  <si>
    <t>社会保障业</t>
  </si>
  <si>
    <t>社会福利业</t>
  </si>
  <si>
    <t>R</t>
  </si>
  <si>
    <t>文化、体育和娱乐业</t>
  </si>
  <si>
    <t>新闻出版业</t>
  </si>
  <si>
    <t>广播、电视、电影和音像业</t>
  </si>
  <si>
    <t>文化艺术业</t>
  </si>
  <si>
    <t>体育</t>
  </si>
  <si>
    <t>娱乐业</t>
  </si>
  <si>
    <t>S</t>
  </si>
  <si>
    <t>公共管理和社会组织</t>
  </si>
  <si>
    <t>中国共产党机关</t>
  </si>
  <si>
    <t>国家机构</t>
  </si>
  <si>
    <t>人民政协和民主党派</t>
  </si>
  <si>
    <t>群众团体、社会团体和宗教组织</t>
  </si>
  <si>
    <t>基层群众自治组织</t>
  </si>
  <si>
    <t>T</t>
  </si>
  <si>
    <t>国际组织</t>
  </si>
  <si>
    <t>是否项目评估评级</t>
  </si>
  <si>
    <t>否</t>
  </si>
  <si>
    <t>客户（借款人）名称</t>
  </si>
  <si>
    <t>客户（借款人）信用等级</t>
  </si>
  <si>
    <t>客户管户权所在一级分行</t>
  </si>
  <si>
    <t>客户规模</t>
  </si>
  <si>
    <t>客户管户权所在二级分行</t>
  </si>
  <si>
    <t>项目名称</t>
  </si>
  <si>
    <t>业务类型</t>
  </si>
  <si>
    <t>授信品种</t>
  </si>
  <si>
    <t>额度</t>
  </si>
  <si>
    <t>产品</t>
  </si>
  <si>
    <t>项目所属国标行业</t>
  </si>
  <si>
    <t>类别</t>
  </si>
  <si>
    <t>编号</t>
  </si>
  <si>
    <t>名称</t>
  </si>
  <si>
    <t>项目主要产品生产能力</t>
  </si>
  <si>
    <t>产品1</t>
  </si>
  <si>
    <t>产品2</t>
  </si>
  <si>
    <t>……</t>
  </si>
  <si>
    <t>产品名称</t>
  </si>
  <si>
    <t>计量单位</t>
  </si>
  <si>
    <t>生产能力</t>
  </si>
  <si>
    <t>项目总投资（万元）</t>
  </si>
  <si>
    <t>其中</t>
  </si>
  <si>
    <t>固定资产投资</t>
  </si>
  <si>
    <t>流动资金投资</t>
  </si>
  <si>
    <t>总投资来源构成</t>
  </si>
  <si>
    <t>资本金（万元）</t>
  </si>
  <si>
    <t>申请银行贷款（万元）</t>
  </si>
  <si>
    <t>其中申请建行贷款（万元）</t>
  </si>
  <si>
    <t>申请他行贷款（万元）</t>
  </si>
  <si>
    <t>其它（万元）</t>
  </si>
  <si>
    <t>项目评估主要效益指标</t>
  </si>
  <si>
    <t>投资利润率(％)</t>
  </si>
  <si>
    <t>销售利润率(％)</t>
  </si>
  <si>
    <t>财务内部收益率(％)</t>
  </si>
  <si>
    <t>财务净现值</t>
  </si>
  <si>
    <t>折现率%</t>
  </si>
  <si>
    <t>建行贷款偿还期(年）</t>
  </si>
  <si>
    <t>偿债备付率</t>
  </si>
  <si>
    <t>项目评估评级受理时间（工作日）</t>
  </si>
  <si>
    <t>项目评估评级时间（工作日）</t>
  </si>
  <si>
    <t>项目评估评级报告审核时间（工作日）</t>
  </si>
  <si>
    <t>申报信用等级审定时间（工作日）</t>
  </si>
  <si>
    <t>信用等级审定时间（工作日）</t>
  </si>
  <si>
    <t>评估结论</t>
  </si>
  <si>
    <t>初始评级（R1）</t>
  </si>
  <si>
    <t>系统评级（R2）</t>
  </si>
  <si>
    <t>评估评级组长建议等级</t>
  </si>
  <si>
    <t>评估评级报告审核人建议等级</t>
  </si>
  <si>
    <t>评价审查人申报建议等级</t>
  </si>
  <si>
    <t>审定信用等级</t>
  </si>
  <si>
    <t>项目评估评级单位</t>
  </si>
  <si>
    <t>受理分行</t>
  </si>
  <si>
    <t>项目评估评级组长</t>
  </si>
  <si>
    <t>实施分行</t>
  </si>
  <si>
    <t>评估评级报告审核人</t>
  </si>
  <si>
    <t>评价审查人</t>
  </si>
  <si>
    <t>项目审批结论</t>
  </si>
  <si>
    <t>说明：</t>
  </si>
  <si>
    <t>1、</t>
  </si>
  <si>
    <t>项目名称：写明项目全称，须与发改委审批/核准/备案文件相符。</t>
  </si>
  <si>
    <t>2、</t>
  </si>
  <si>
    <t xml:space="preserve">项目所属国标行业：按 2002年10月1日实施的国家标准《国民经济行业分类》（GB/T 4754-2002）执行。
</t>
  </si>
  <si>
    <t>3、</t>
  </si>
  <si>
    <t>完成项目评估报告实际用工作日：按照评估起始时间至评估完成时间，扣除法定公休、节假日计算天数。</t>
  </si>
  <si>
    <t>开始行</t>
  </si>
  <si>
    <t>开始列</t>
  </si>
  <si>
    <t>结束行</t>
  </si>
  <si>
    <t>结束列</t>
  </si>
  <si>
    <t>replace</t>
  </si>
  <si>
    <t>pgb5</t>
  </si>
  <si>
    <t>pgb6</t>
  </si>
  <si>
    <t>pgb7</t>
  </si>
  <si>
    <t>fzb3</t>
  </si>
  <si>
    <t>W</t>
  </si>
  <si>
    <t>fzb4</t>
  </si>
  <si>
    <t>copy</t>
  </si>
  <si>
    <t>pgb1</t>
  </si>
  <si>
    <t>8</t>
  </si>
  <si>
    <t>69</t>
  </si>
  <si>
    <t>71</t>
  </si>
  <si>
    <t>76</t>
  </si>
  <si>
    <t>77</t>
  </si>
  <si>
    <t>80</t>
  </si>
  <si>
    <t>82</t>
  </si>
  <si>
    <t>pgb2</t>
  </si>
  <si>
    <t>24</t>
  </si>
  <si>
    <t>27</t>
  </si>
  <si>
    <t>34</t>
  </si>
  <si>
    <t>pgb4</t>
  </si>
  <si>
    <t>BM</t>
  </si>
  <si>
    <t>15</t>
  </si>
  <si>
    <t>25</t>
  </si>
  <si>
    <t>35</t>
  </si>
  <si>
    <t>45</t>
  </si>
  <si>
    <t>55</t>
  </si>
  <si>
    <t>66</t>
  </si>
  <si>
    <t>86</t>
  </si>
  <si>
    <t>96</t>
  </si>
  <si>
    <t>106</t>
  </si>
  <si>
    <t>125</t>
  </si>
  <si>
    <t>BN</t>
  </si>
  <si>
    <t>BL</t>
  </si>
  <si>
    <t>pgb11</t>
  </si>
  <si>
    <t>5</t>
  </si>
  <si>
    <t>U</t>
  </si>
  <si>
    <t>fzb1</t>
  </si>
  <si>
    <t>6</t>
  </si>
  <si>
    <t>3</t>
  </si>
  <si>
    <t>17</t>
  </si>
  <si>
    <t>23</t>
  </si>
  <si>
    <t>fzb2</t>
  </si>
  <si>
    <t>19</t>
  </si>
  <si>
    <t>297</t>
  </si>
  <si>
    <t>20</t>
  </si>
  <si>
    <t>31</t>
  </si>
  <si>
    <t>42</t>
  </si>
  <si>
    <t>53</t>
  </si>
  <si>
    <t>56</t>
  </si>
  <si>
    <t>64</t>
  </si>
  <si>
    <t>67</t>
  </si>
  <si>
    <t>75</t>
  </si>
  <si>
    <t>78</t>
  </si>
  <si>
    <t>89</t>
  </si>
  <si>
    <t>97</t>
  </si>
  <si>
    <t>100</t>
  </si>
  <si>
    <t>108</t>
  </si>
  <si>
    <t>111</t>
  </si>
  <si>
    <t>119</t>
  </si>
  <si>
    <t>122</t>
  </si>
  <si>
    <t>131</t>
  </si>
  <si>
    <t>134</t>
  </si>
  <si>
    <t>142</t>
  </si>
  <si>
    <t>145</t>
  </si>
  <si>
    <t>153</t>
  </si>
  <si>
    <t>156</t>
  </si>
  <si>
    <t>164</t>
  </si>
  <si>
    <t>167</t>
  </si>
  <si>
    <t>175</t>
  </si>
  <si>
    <t>178</t>
  </si>
  <si>
    <t>187</t>
  </si>
  <si>
    <t>190</t>
  </si>
  <si>
    <t>198</t>
  </si>
  <si>
    <t>201</t>
  </si>
  <si>
    <t>210</t>
  </si>
  <si>
    <t>213</t>
  </si>
  <si>
    <t>221</t>
  </si>
  <si>
    <t>224</t>
  </si>
  <si>
    <t>233</t>
  </si>
  <si>
    <t>236</t>
  </si>
  <si>
    <t>244</t>
  </si>
  <si>
    <t>247</t>
  </si>
  <si>
    <t>256</t>
  </si>
  <si>
    <t>259</t>
  </si>
  <si>
    <t>267</t>
  </si>
  <si>
    <t>270</t>
  </si>
  <si>
    <t>279</t>
  </si>
  <si>
    <t>282</t>
  </si>
  <si>
    <t>290</t>
  </si>
  <si>
    <t>293</t>
  </si>
  <si>
    <t>21</t>
  </si>
  <si>
    <t>29</t>
  </si>
  <si>
    <t>37</t>
  </si>
  <si>
    <t>61</t>
  </si>
  <si>
    <t>85</t>
  </si>
  <si>
    <t>93</t>
  </si>
  <si>
    <t>101</t>
  </si>
  <si>
    <t>109</t>
  </si>
  <si>
    <t>117</t>
  </si>
  <si>
    <t>133</t>
  </si>
  <si>
    <t>149</t>
  </si>
  <si>
    <t>157</t>
  </si>
  <si>
    <t>165</t>
  </si>
  <si>
    <t>166</t>
  </si>
  <si>
    <t>169</t>
  </si>
  <si>
    <t>BT</t>
  </si>
  <si>
    <t>171</t>
  </si>
  <si>
    <t>179</t>
  </si>
  <si>
    <t>182</t>
  </si>
  <si>
    <t>185</t>
  </si>
  <si>
    <t>191</t>
  </si>
  <si>
    <t>194</t>
  </si>
  <si>
    <t>197</t>
  </si>
  <si>
    <t>203</t>
  </si>
  <si>
    <t>206</t>
  </si>
  <si>
    <t>28</t>
  </si>
  <si>
    <t>38</t>
  </si>
  <si>
    <t>41</t>
  </si>
  <si>
    <t>48</t>
  </si>
  <si>
    <t>51</t>
  </si>
  <si>
    <t>58</t>
  </si>
  <si>
    <t>68</t>
  </si>
  <si>
    <t>81</t>
  </si>
  <si>
    <t>88</t>
  </si>
  <si>
    <t>91</t>
  </si>
  <si>
    <t>98</t>
  </si>
  <si>
    <t>118</t>
  </si>
  <si>
    <t>121</t>
  </si>
  <si>
    <t>128</t>
  </si>
  <si>
    <t>138</t>
  </si>
  <si>
    <t>141</t>
  </si>
  <si>
    <t>148</t>
  </si>
  <si>
    <t>151</t>
  </si>
  <si>
    <t>158</t>
  </si>
  <si>
    <t>161</t>
  </si>
  <si>
    <t>168</t>
  </si>
  <si>
    <t>fzb6.1</t>
  </si>
  <si>
    <t>pgtz</t>
  </si>
  <si>
    <t>2</t>
  </si>
  <si>
    <t>11</t>
  </si>
  <si>
    <t>14</t>
  </si>
  <si>
    <t>pgpjtz</t>
  </si>
  <si>
    <t>22</t>
  </si>
  <si>
    <t>offsetlosses</t>
  </si>
  <si>
    <t>16</t>
  </si>
  <si>
    <t>总投资</t>
  </si>
  <si>
    <t>工程类投资</t>
  </si>
  <si>
    <t>光伏组件</t>
  </si>
  <si>
    <t>屋顶面积（㎡）</t>
  </si>
  <si>
    <t>屋顶可利用率</t>
  </si>
  <si>
    <t>装机容量（kWp）</t>
  </si>
  <si>
    <t>年发电小时数（h）</t>
  </si>
  <si>
    <t>可研首年发电量（万度）</t>
  </si>
  <si>
    <t>系统效率</t>
  </si>
  <si>
    <t>速查表首年发电量（万度）</t>
  </si>
  <si>
    <t>理论每瓦首年发电量（kWh)/w</t>
  </si>
  <si>
    <t>鄢陵县 147MWp 屋顶分布式光伏发电项目</t>
  </si>
  <si>
    <t>585Wp</t>
  </si>
  <si>
    <t>唐河县鸿翔分散式屋顶光伏发电项目</t>
  </si>
  <si>
    <t>540Wp</t>
  </si>
  <si>
    <t>运营年份</t>
  </si>
  <si>
    <t>衰减幅度</t>
  </si>
  <si>
    <t>速查表理论发电量（万度）</t>
  </si>
  <si>
    <t>自用电价（元/kwh）</t>
  </si>
  <si>
    <t>自用比例</t>
  </si>
  <si>
    <t>自用电量</t>
  </si>
  <si>
    <t>自用总收入（万元）</t>
  </si>
  <si>
    <t>上网电价（元/kwh）</t>
  </si>
  <si>
    <t>上网比例</t>
  </si>
  <si>
    <t>上网电量</t>
  </si>
  <si>
    <t>上网总收入（万元）</t>
  </si>
  <si>
    <t>年收入</t>
  </si>
  <si>
    <t>总发电量</t>
  </si>
  <si>
    <t>总收入（含税）</t>
  </si>
  <si>
    <t>年平均发电量</t>
  </si>
  <si>
    <t>年平均收入</t>
  </si>
  <si>
    <t>平方毫米</t>
  </si>
  <si>
    <t>平方米</t>
  </si>
  <si>
    <t>数量</t>
  </si>
  <si>
    <t>铺设平方数</t>
  </si>
  <si>
    <t>评估表2固定资产投资资产分类表</t>
  </si>
  <si>
    <t>评估表2</t>
  </si>
  <si>
    <t>单位:万元</t>
  </si>
  <si>
    <t>序    号</t>
  </si>
  <si>
    <t>工程费用名称</t>
  </si>
  <si>
    <t>估算价值</t>
  </si>
  <si>
    <t>一</t>
  </si>
  <si>
    <t>固定资产</t>
  </si>
  <si>
    <t>固定资产=工程费用+其他形成固定资产费用+基本预备费（主为不可预见费）+建设期利息+利用原有固定资产价值等</t>
  </si>
  <si>
    <t>工程费用</t>
  </si>
  <si>
    <t>主要生产项目</t>
  </si>
  <si>
    <t>取值于评估表1</t>
  </si>
  <si>
    <t>辅助生产项目</t>
  </si>
  <si>
    <t>公用工程</t>
  </si>
  <si>
    <t>其他形成固定资产费用</t>
  </si>
  <si>
    <t>基本预备费</t>
  </si>
  <si>
    <t>不可预见费</t>
  </si>
  <si>
    <t>价差费</t>
  </si>
  <si>
    <t>建设期利息</t>
  </si>
  <si>
    <t>汇率变动部分</t>
  </si>
  <si>
    <t>固定资产投资方向调节税</t>
  </si>
  <si>
    <t>国家新批准的税费</t>
  </si>
  <si>
    <t>涨价预备费</t>
  </si>
  <si>
    <t>利用原有固定资产价值</t>
  </si>
  <si>
    <t>二</t>
  </si>
  <si>
    <t>无形资产</t>
  </si>
  <si>
    <t>形成无形资产=土地使用权+专利权+非专利技术+商标权+其他无形资产</t>
  </si>
  <si>
    <t>土地使用权</t>
  </si>
  <si>
    <t>土地使用权费用=含税价（税费4%）+印花税</t>
  </si>
  <si>
    <t>专利权</t>
  </si>
  <si>
    <t>非专利技术</t>
  </si>
  <si>
    <t>商标权</t>
  </si>
  <si>
    <t>建设期土地租赁费</t>
  </si>
  <si>
    <t>三</t>
  </si>
  <si>
    <t>长期待摊费用</t>
  </si>
  <si>
    <t>长期待摊费用=开办费+非常损失+建设单位管理费+咨询费+临时设施费+达不到固定资产标准的办公及生活家具购置费+其他长期待摊费用等。</t>
  </si>
  <si>
    <t>开办费</t>
  </si>
  <si>
    <t>开办费含前期工程费、筹建人员工资、安全措施费、文明施工措施费、技术措施费、二次驳运费、赶工措施费、工程提前竣工奖、特殊条件下施工增加费、代办费用、特殊产品保护费、工程保险费及其他费用等。</t>
  </si>
  <si>
    <t>前期工程费</t>
  </si>
  <si>
    <t>筹建人员工资</t>
  </si>
  <si>
    <t>其他开办费</t>
  </si>
  <si>
    <t>非常损失</t>
  </si>
  <si>
    <t>建（构）筑物屋顶光伏经营权费用</t>
  </si>
  <si>
    <t>四</t>
  </si>
  <si>
    <t>固定资产投资(一+二+三）</t>
  </si>
  <si>
    <t>备注1：开办费是指企业在筹建期间发生的费用，包括筹建期人员工资、办公费、培训费、差旅费、印刷费、注册登记费以及不计入固定资产和无形资产购建成本的汇兑损益和利息支出。</t>
  </si>
  <si>
    <t>备注2.项目均有长期待摊费用，需依据可研填列表内相应区域，必要时可增加细项，但注意加总数求和范围是否正确。</t>
  </si>
  <si>
    <t>建设期列数</t>
  </si>
  <si>
    <t>建设期开始列</t>
  </si>
  <si>
    <t>生产期列数</t>
  </si>
  <si>
    <t>生产期开始列</t>
  </si>
  <si>
    <t>year</t>
  </si>
  <si>
    <t>12</t>
  </si>
  <si>
    <t>pgb8</t>
  </si>
  <si>
    <t>pgb9</t>
  </si>
  <si>
    <t>pgb10</t>
  </si>
  <si>
    <t>单因素敏感性分析表</t>
  </si>
  <si>
    <t>所得税后内部收益率</t>
  </si>
  <si>
    <t>我行贷款偿还期 (年)</t>
  </si>
  <si>
    <t>项  目</t>
  </si>
  <si>
    <t>建设投资</t>
  </si>
  <si>
    <t>生产投入物价格</t>
  </si>
  <si>
    <t>产品价格</t>
  </si>
  <si>
    <t>生产能力利用率</t>
  </si>
  <si>
    <t>利率</t>
  </si>
  <si>
    <t>备注：N列中各单因素变化会引起左表第11行数据变动，在N列逐个调整各敏感因素，将变动后的数据填列在表内相应单元格。</t>
  </si>
  <si>
    <t>目录</t>
  </si>
  <si>
    <t>说明</t>
  </si>
  <si>
    <t>评估表1</t>
  </si>
  <si>
    <t>1.工业法人项目测算表由17张子表组成（详见左表），各子表间存在公式关联，请勿删除其中某子表，不建议使用复制黏贴功能。                           2.表中黄色单元格为依项目情况需录入区域、橙色单元格为必输基础数据区域、灰色单元格为已设置公式区域、白色单元格为无数据区域。                                 3.测算表使用方法请参考单元格内批注、各行后附备注、各子表下方备注及《工业法人项目测算表填表说明》。</t>
  </si>
  <si>
    <t>评估表3</t>
  </si>
  <si>
    <t>评估表4</t>
  </si>
  <si>
    <t>评估表5</t>
  </si>
  <si>
    <t>评估表6</t>
  </si>
  <si>
    <t>评估表7</t>
  </si>
  <si>
    <t>评估表8</t>
  </si>
  <si>
    <t>评估表9</t>
  </si>
  <si>
    <t>评估表10</t>
  </si>
  <si>
    <t>辅助表1</t>
  </si>
  <si>
    <t>依项目情况需录入区域</t>
  </si>
  <si>
    <t>辅助表2</t>
  </si>
  <si>
    <t>必输基础数据区域</t>
  </si>
  <si>
    <t>辅助表3</t>
  </si>
  <si>
    <t>已设置公式区域</t>
  </si>
  <si>
    <t>辅助表4</t>
  </si>
  <si>
    <t>辅助表6.1</t>
  </si>
  <si>
    <t>辅助表6.2</t>
  </si>
  <si>
    <t>辅助表7</t>
  </si>
  <si>
    <t>多因素敏感性分析表</t>
  </si>
  <si>
    <t>序号</t>
  </si>
  <si>
    <t>名      称</t>
  </si>
  <si>
    <t>变动幅度组合1</t>
  </si>
  <si>
    <t>变动幅度组合2</t>
  </si>
  <si>
    <t>变动幅度组合3</t>
  </si>
  <si>
    <t>变动幅度组合4</t>
  </si>
  <si>
    <t>变动幅度组合5</t>
  </si>
  <si>
    <t>变动组合因素</t>
  </si>
  <si>
    <t>产品销售价格</t>
  </si>
  <si>
    <t>汇率</t>
  </si>
  <si>
    <t>通货膨胀率</t>
  </si>
  <si>
    <t>经济评价参数</t>
  </si>
  <si>
    <t>（一）</t>
  </si>
  <si>
    <t>基本数据</t>
  </si>
  <si>
    <t>生产规模</t>
  </si>
  <si>
    <t>职工人数</t>
  </si>
  <si>
    <t>人民币流动资金</t>
  </si>
  <si>
    <t>年销售收入</t>
  </si>
  <si>
    <t>年总成本费用</t>
  </si>
  <si>
    <t>年经营成本</t>
  </si>
  <si>
    <t>年增值税、销售税金及附加</t>
  </si>
  <si>
    <t>年利润总额</t>
  </si>
  <si>
    <t>年利税总额</t>
  </si>
  <si>
    <t>年税后利润</t>
  </si>
  <si>
    <t>（二）</t>
  </si>
  <si>
    <t>评估指标</t>
  </si>
  <si>
    <t>项目折现率</t>
  </si>
  <si>
    <t>财务内部收益率(税后)</t>
  </si>
  <si>
    <t>财务收益净现值(税后)</t>
  </si>
  <si>
    <t>财务内部收益率(税前)</t>
  </si>
  <si>
    <t>财务收益净现值(税前)</t>
  </si>
  <si>
    <t>投资利润率</t>
  </si>
  <si>
    <t>销售利润率</t>
  </si>
  <si>
    <t>我行贷款偿还期</t>
  </si>
  <si>
    <t>折算成月</t>
  </si>
  <si>
    <t>所有贷款偿还期</t>
  </si>
  <si>
    <t>项目资本金比例</t>
  </si>
  <si>
    <t>项目投资回收期</t>
  </si>
  <si>
    <t>（三）</t>
  </si>
  <si>
    <t>盈亏平衡点</t>
  </si>
  <si>
    <t>（四）</t>
  </si>
  <si>
    <t>财务比率</t>
  </si>
  <si>
    <t>最小偿债备付率（DSCR）</t>
  </si>
  <si>
    <t>平均偿债备付率（DSCR）</t>
  </si>
  <si>
    <t>平均债务与息税折旧摊销前盈利比率</t>
  </si>
  <si>
    <t>债务期内的债务偿付比率（LLCR）</t>
  </si>
  <si>
    <t>全部经济评价参数一览表</t>
  </si>
  <si>
    <t>名              称</t>
  </si>
  <si>
    <t>数据</t>
  </si>
  <si>
    <t>单位</t>
  </si>
  <si>
    <t>5885KW光伏；3MW/6MWh储能</t>
  </si>
  <si>
    <t>人</t>
  </si>
  <si>
    <t>万元</t>
  </si>
  <si>
    <t>生产期总销售收入（取值于评估表5）/生产期年份（取值于辅助表1）</t>
  </si>
  <si>
    <t>生产期总成本费用（取值于评估表5）/生产期年份（取值于辅助表1）</t>
  </si>
  <si>
    <t>生产期总经营成本（取值于评估表4）/生产期年份（取值于辅助表1）</t>
  </si>
  <si>
    <t>生产期总增值税（取值于评估表5）+总销售税金及附加（取值于评估表5）/生产期年份（取值于辅助表1）</t>
  </si>
  <si>
    <t>生产期利润总额（取值于评估表5）/生产期年份（取值于辅助表1）</t>
  </si>
  <si>
    <t>年利税总额=年利润总额+年增值税、销售税金及附加</t>
  </si>
  <si>
    <t>生产期税后利润总额（取值于评估表5）/生产期年份（取值于辅助表1）</t>
  </si>
  <si>
    <t>取值于辅助表1</t>
  </si>
  <si>
    <t>取值于评估表7</t>
  </si>
  <si>
    <t>投资利润率=年利润总额/（固定资产投资+流动资金投资）</t>
  </si>
  <si>
    <t>销售利润率=年利润总额/年销售收入</t>
  </si>
  <si>
    <t>年</t>
  </si>
  <si>
    <t>取值于评估表6</t>
  </si>
  <si>
    <t>月</t>
  </si>
  <si>
    <t>取值于评估表3</t>
  </si>
  <si>
    <t>项目评估评级信息表</t>
  </si>
  <si>
    <t>客户名称</t>
  </si>
  <si>
    <t>客户信用等级</t>
  </si>
  <si>
    <t>项目投资构成（元）</t>
  </si>
  <si>
    <t>总投资来源构成（元）</t>
  </si>
  <si>
    <t>项目评估评级效率（工作日）</t>
  </si>
  <si>
    <t>项目评估评级结论</t>
  </si>
  <si>
    <t>资本金</t>
  </si>
  <si>
    <t>申请银行贷款</t>
  </si>
  <si>
    <t>其他</t>
  </si>
  <si>
    <t>投资利润率%</t>
  </si>
  <si>
    <t>销售利润率%</t>
  </si>
  <si>
    <t>财务内部收益率%</t>
  </si>
  <si>
    <t>建行贷款偿还期</t>
  </si>
  <si>
    <t>项目评估评级受理时间</t>
  </si>
  <si>
    <t>项目评估评级时间</t>
  </si>
  <si>
    <t>项目评估评级报告审核时间</t>
  </si>
  <si>
    <t>申报信用等级审定时间</t>
  </si>
  <si>
    <t>信用等级审定时间</t>
  </si>
  <si>
    <t>评级结论</t>
  </si>
  <si>
    <t>申请建行贷款</t>
  </si>
  <si>
    <t>申请他行贷款</t>
  </si>
  <si>
    <t>…</t>
  </si>
  <si>
    <t>销售收入及税金估算表</t>
  </si>
  <si>
    <t>辅助表4：销售收入及税金估算表</t>
  </si>
  <si>
    <t>项目/年份</t>
  </si>
  <si>
    <t>合计</t>
  </si>
  <si>
    <t>建设期</t>
  </si>
  <si>
    <t>生产期</t>
  </si>
  <si>
    <t>第1年</t>
  </si>
  <si>
    <t>第2年</t>
  </si>
  <si>
    <t>第3年</t>
  </si>
  <si>
    <t>第4年</t>
  </si>
  <si>
    <t>第5年</t>
  </si>
  <si>
    <t>第6年</t>
  </si>
  <si>
    <t>第7年</t>
  </si>
  <si>
    <t>第8年</t>
  </si>
  <si>
    <t>第9年</t>
  </si>
  <si>
    <t>第10年</t>
  </si>
  <si>
    <t>第11年</t>
  </si>
  <si>
    <t>第12年</t>
  </si>
  <si>
    <t>第13年</t>
  </si>
  <si>
    <t>第14年</t>
  </si>
  <si>
    <t>第15年</t>
  </si>
  <si>
    <t>第18年</t>
  </si>
  <si>
    <t>第19年</t>
  </si>
  <si>
    <t>第20年</t>
  </si>
  <si>
    <t>第21年</t>
  </si>
  <si>
    <t>第22年</t>
  </si>
  <si>
    <t>价格上涨比例（%）</t>
  </si>
  <si>
    <t>生产负荷1</t>
  </si>
  <si>
    <t>取值于评估表4</t>
  </si>
  <si>
    <t>生产负荷2</t>
  </si>
  <si>
    <t>生产负荷3</t>
  </si>
  <si>
    <t>生产负荷4</t>
  </si>
  <si>
    <t>生产负荷5</t>
  </si>
  <si>
    <t>产品销售收入合计</t>
  </si>
  <si>
    <t>税金估算</t>
  </si>
  <si>
    <t>实际缴纳增值税</t>
  </si>
  <si>
    <t>增值税</t>
  </si>
  <si>
    <t>1.1.1</t>
  </si>
  <si>
    <t>销项税额</t>
  </si>
  <si>
    <t>1.1.2</t>
  </si>
  <si>
    <t>进项税额</t>
  </si>
  <si>
    <t>固定资产购置增值税抵扣</t>
  </si>
  <si>
    <t>固定资产购置增值税余额</t>
  </si>
  <si>
    <t>销售税金及附加</t>
  </si>
  <si>
    <t>包括但不限于城市维护建设税、教育费附加、房产税、印花税、车船税等</t>
  </si>
  <si>
    <t>营业税</t>
  </si>
  <si>
    <t>2016年全面营改增后无营业税</t>
  </si>
  <si>
    <t>城市维护建设税</t>
  </si>
  <si>
    <t>增值税*税率（取值于辅助表1）</t>
  </si>
  <si>
    <t>教育费附加</t>
  </si>
  <si>
    <t>其他税费1</t>
  </si>
  <si>
    <t>此列如有需填写</t>
  </si>
  <si>
    <t>其他税费2</t>
  </si>
  <si>
    <t>其他税费3</t>
  </si>
  <si>
    <t>产品销售子项详细估算</t>
  </si>
  <si>
    <t>光伏收入</t>
  </si>
  <si>
    <t>币种</t>
  </si>
  <si>
    <t>单价（元/kwh）</t>
  </si>
  <si>
    <t>本币</t>
  </si>
  <si>
    <t>单价需关联辅助表7N11.下同</t>
  </si>
  <si>
    <t>折算本币单价</t>
  </si>
  <si>
    <t>产量</t>
  </si>
  <si>
    <t>万kwh</t>
  </si>
  <si>
    <t>产量=产能*生产负荷。详见备注2</t>
  </si>
  <si>
    <t>销售额</t>
  </si>
  <si>
    <t>销售额=单价*产量。注意单位。下同</t>
  </si>
  <si>
    <t>增值税率</t>
  </si>
  <si>
    <t>营业税率</t>
  </si>
  <si>
    <t>营业税额</t>
  </si>
  <si>
    <t>储能收入</t>
  </si>
  <si>
    <t>600kw充电桩收入</t>
  </si>
  <si>
    <t>万小时</t>
  </si>
  <si>
    <t>单价</t>
  </si>
  <si>
    <t>备注1：2016年5月全面营改增，无营业税。</t>
  </si>
  <si>
    <t>备注2：产量可逐年输入、或设公式、或在辅助表1中加入产量细分因素再各因素乘积，但均需乘以当年生产负荷。</t>
  </si>
  <si>
    <t>备注3.表格内设置公式默认单价保持不变。如单价成阶梯式增长（如出租价格每3年增加一定比例，则修改第4年的数据和公式，依此类推），则需在相应年份调整公式或直接输入，注意关联辅助表7N11。</t>
  </si>
  <si>
    <t>资产折旧及摊销费估算表</t>
  </si>
  <si>
    <t>辅助表3:资产折旧及摊销费估算表</t>
  </si>
  <si>
    <t>项      目</t>
  </si>
  <si>
    <t>固定资产
投资原值</t>
  </si>
  <si>
    <t>是否考虑增值税抵扣</t>
  </si>
  <si>
    <t>折旧、摊销资产及增值税原值</t>
  </si>
  <si>
    <t>残值率</t>
  </si>
  <si>
    <t>折旧年限</t>
  </si>
  <si>
    <t>折旧开始
年度</t>
  </si>
  <si>
    <t>是否考虑更新投资</t>
  </si>
  <si>
    <t>第16年</t>
  </si>
  <si>
    <t>第17年</t>
  </si>
  <si>
    <t>折旧费</t>
  </si>
  <si>
    <t>净值</t>
  </si>
  <si>
    <t>更新投资折旧</t>
  </si>
  <si>
    <t>更新投资净值</t>
  </si>
  <si>
    <t>维持运营投资</t>
  </si>
  <si>
    <t>残值回收</t>
  </si>
  <si>
    <t>固定资产购置增值税</t>
  </si>
  <si>
    <t>项目内固定资产</t>
  </si>
  <si>
    <t>设备</t>
  </si>
  <si>
    <t>是</t>
  </si>
  <si>
    <t>平均年限法</t>
  </si>
  <si>
    <t>其他固定资产</t>
  </si>
  <si>
    <t>房屋及建筑物</t>
  </si>
  <si>
    <t>双倍余额递减法</t>
  </si>
  <si>
    <t>年数总和法</t>
  </si>
  <si>
    <t>项目外固定资产</t>
  </si>
  <si>
    <t>项目外其他固定资产</t>
  </si>
  <si>
    <t>摊销</t>
  </si>
  <si>
    <t>项目内无形资产</t>
  </si>
  <si>
    <t>取值于评估表2</t>
  </si>
  <si>
    <t>专有技术.专利权</t>
  </si>
  <si>
    <t>其他无形资产</t>
  </si>
  <si>
    <t>项目外无形资产</t>
  </si>
  <si>
    <t>长期待摊投资</t>
  </si>
  <si>
    <t>项目内长期待摊投资</t>
  </si>
  <si>
    <t>项目外长期待摊投资</t>
  </si>
  <si>
    <t>备注1：固定资产最低折旧年限（1）房屋、建筑物：20年；（2）飞机、火车、轮船、机器、机械和其他生产设备：10年；（3）与生产经营活动有关的器具、工具、家具等：5年；（4）飞机、火车、轮船以外的运输工具：4年；（5）电子设备：3年。具体依据实际项目情况结合可研而定。</t>
  </si>
  <si>
    <t>备注2：无形资产的摊销年限不得低于10年。企业外购的软件符合固定资产或无形资产确认条件的，最短可为2年（含）。林木类生产性生物资产：10年；畜类生产性生物资产：3年。具体依据实际项目情况结合可研而定。</t>
  </si>
  <si>
    <t xml:space="preserve">备注3：固定资产折旧常用方法：平均年限法、加倍折旧法、工作量法和年数总和法。
</t>
  </si>
  <si>
    <t>备注4：长期待摊费用－开办费，在正式营业之后摊销年限不得低于5年；固定资产大修理支出费用，按尚可使用年限摊销；已足额提取固定资产折旧的改建支出，按固定资产尚可使用年限分期摊销。租入固定资产的改建支出，按照合同约定的剩余租赁期限分期摊销；其他长期待摊费用的支出，摊销年限不得低于3年。</t>
  </si>
  <si>
    <t>备注5.D列和J列需依据实际情况下拉选择。房屋、建筑物以及用于不动产的固定资产在建工程不得抵扣进项税额；机器、机械、运输工具等固定资产可抵扣但专门用于非应税项目、免税项目等情况的除外。如果是既用于应税项目也用于非应税和免税项目的机器、机械、运输工具等，可进行抵扣。</t>
  </si>
  <si>
    <t xml:space="preserve">   </t>
  </si>
  <si>
    <t>损益及利润分配表</t>
  </si>
  <si>
    <t>评估表5:损益及利润分配表</t>
  </si>
  <si>
    <t>项          目</t>
  </si>
  <si>
    <t>合  计</t>
  </si>
  <si>
    <t>价格上涨比例</t>
  </si>
  <si>
    <t>生产负荷1（%）</t>
  </si>
  <si>
    <t>生产负荷2（%）</t>
  </si>
  <si>
    <t>生产负荷3（%）</t>
  </si>
  <si>
    <t>生产负荷4（%）</t>
  </si>
  <si>
    <t>生产负荷5（%）</t>
  </si>
  <si>
    <t>产品销售收入</t>
  </si>
  <si>
    <t>取值于辅助表4</t>
  </si>
  <si>
    <t>总成本费用</t>
  </si>
  <si>
    <t>其他业务利润</t>
  </si>
  <si>
    <t>利润总额（1-2-3-4+5）</t>
  </si>
  <si>
    <t>弥补以前年度亏损</t>
  </si>
  <si>
    <t>应纳税所得额（6-7）</t>
  </si>
  <si>
    <t>所得税率</t>
  </si>
  <si>
    <t>所得税</t>
  </si>
  <si>
    <t>所得税率=应纳税所得额*所得税率</t>
  </si>
  <si>
    <t>税后利润 （6-9）</t>
  </si>
  <si>
    <t>税后利润弥补以前年度亏损</t>
  </si>
  <si>
    <t>亏损累计</t>
  </si>
  <si>
    <t>提取法定盈余公积金</t>
  </si>
  <si>
    <t>提取公益金</t>
  </si>
  <si>
    <t>提取任意盈余公积金</t>
  </si>
  <si>
    <t>可供分配利润（10-11-12-13）</t>
  </si>
  <si>
    <t>应付利润（股利分配）</t>
  </si>
  <si>
    <t>应付利润=可供分配利润*可供分配利润支付比例</t>
  </si>
  <si>
    <t>未分配利润（14-15）</t>
  </si>
  <si>
    <t>未分配利润=可供分配利润-应付利润</t>
  </si>
  <si>
    <t>累计未分配利润</t>
  </si>
  <si>
    <t>可还款利润</t>
  </si>
  <si>
    <t>如利润总额为负，则可还款利润等于利润总额；如利润总额不为负，则可还款利润=（未分配利润+弥补以前年度亏损+税后利润弥补以前年度亏损）*未分配利润还款比例</t>
  </si>
  <si>
    <t>备注1：税前利润弥补以前年度亏损最长可向前追溯五年；税后利润弥补亏损不限年限，但需符合股东（大）会或董事会要求。</t>
  </si>
  <si>
    <t>备注2：应付利润=可供分配利润*应付利润支付比例</t>
  </si>
  <si>
    <t>项目偿债备付率计算表</t>
  </si>
  <si>
    <t>评估表8:项目偿债备付率计算表</t>
  </si>
  <si>
    <t>经营性现金流（ＣＦＯ）</t>
  </si>
  <si>
    <t>取值于评估表5</t>
  </si>
  <si>
    <t>利润总额（1-2-3-4）</t>
  </si>
  <si>
    <t>应纳税所得额（5-6）</t>
  </si>
  <si>
    <t>税后利润 （5-8）</t>
  </si>
  <si>
    <t>折旧</t>
  </si>
  <si>
    <t>无形资产摊销</t>
  </si>
  <si>
    <t>长期待摊费用摊销</t>
  </si>
  <si>
    <t>短期负债利息净支出</t>
  </si>
  <si>
    <t>长期负债利息净支出</t>
  </si>
  <si>
    <t>其他财务费用1</t>
  </si>
  <si>
    <t>其他财务费用2</t>
  </si>
  <si>
    <t>本金和利息（1+2）</t>
  </si>
  <si>
    <t>本金</t>
  </si>
  <si>
    <t>利息（3+4+5+6）</t>
  </si>
  <si>
    <t>偿债备付率（DSCR）</t>
  </si>
  <si>
    <t>在有收入及借款前提下，偿债备付率=经营性现金流/本息和</t>
  </si>
  <si>
    <t>最小偿债备付率</t>
  </si>
  <si>
    <t>上列数据的最小值，合理数值为≥1，具体应依行业和项目而定。</t>
  </si>
  <si>
    <t>平均偿债备付率</t>
  </si>
  <si>
    <t>上列数据的平均值，合理数值为≥1，具体应依行业和项目而定。</t>
  </si>
  <si>
    <t>。</t>
  </si>
  <si>
    <t>PE100022846</t>
  </si>
  <si>
    <t>法人工业模板</t>
  </si>
  <si>
    <t>评估表1固定资产投资估算表</t>
  </si>
  <si>
    <t>单位：万元、万美元</t>
  </si>
  <si>
    <t>工程或费用名称</t>
  </si>
  <si>
    <t>估           算           价           值</t>
  </si>
  <si>
    <t>建筑工程</t>
  </si>
  <si>
    <t>设备购置</t>
  </si>
  <si>
    <t>安装工程</t>
  </si>
  <si>
    <t>其它费用</t>
  </si>
  <si>
    <t>其中外汇</t>
  </si>
  <si>
    <t>建筑面积（数量）</t>
  </si>
  <si>
    <t>安装单价</t>
  </si>
  <si>
    <t>静态投资(1+2+3)</t>
  </si>
  <si>
    <t>静态投资=工程费用+工程建设其他费用+基本预备费</t>
  </si>
  <si>
    <t>工程费用=主要工程（生产项目）+辅助工程（生产项目）+公用工程</t>
  </si>
  <si>
    <t>设备购置及安装工程费</t>
  </si>
  <si>
    <t>国际能源网/光伏头条对5月第4周（5月20日-5月24日）光伏EPC招/中标项目不完全统计，中标价格落在2.08-4.20元/W之间，均价为3.36元/W，本项目可研光伏单位造价成本为3.07元/W，低于行业平均，较为合理；目前项目正在进行招投标，预计光伏会用一部分天合光能品牌的，另一部分也都会选用一线品牌的。</t>
  </si>
  <si>
    <t>（建筑工程=建筑面积*单价）</t>
  </si>
  <si>
    <t>电池储能集装箱</t>
  </si>
  <si>
    <t>本次结合近期市场情况，按中国电力网统计5月本月储能EPC最低单价为0.62元/Wh，磷酸铁锂储能EPC中标均价为1.33元/Wh，可研中储能单位造价1.54元/Wh，高于行业均价；目前项目正在进行招投标，经营机构多次与客户沟通，本项目拟采购为宁德时代、比亚迪、亿纬锂能、远景动力等一线品牌的储能定制柜，价格略高于品牌标准柜，充放电效率及损耗由于普通储能柜，也更适用于本项目的建设安装。本次测算按照可研造价计算，未采用查询到的行业均价。</t>
  </si>
  <si>
    <t>（安装工程=安装面积*单价）</t>
  </si>
  <si>
    <t>1.1.3</t>
  </si>
  <si>
    <t>园区配套工程</t>
  </si>
  <si>
    <t>（设备购置=设备数量*单价）</t>
  </si>
  <si>
    <t>1.1.4</t>
  </si>
  <si>
    <t>1.1.5</t>
  </si>
  <si>
    <t>1.1.6</t>
  </si>
  <si>
    <t>1.1.7</t>
  </si>
  <si>
    <t>1.1.8</t>
  </si>
  <si>
    <t>1.1.9</t>
  </si>
  <si>
    <t>1.2.1</t>
  </si>
  <si>
    <t>1.2.2</t>
  </si>
  <si>
    <t>1.2.3</t>
  </si>
  <si>
    <t>1.2.4</t>
  </si>
  <si>
    <t>1.3.1</t>
  </si>
  <si>
    <t>1.3.2</t>
  </si>
  <si>
    <t>1.3.3</t>
  </si>
  <si>
    <t>1.3.4</t>
  </si>
  <si>
    <t>1.3.5</t>
  </si>
  <si>
    <t>1.3.6</t>
  </si>
  <si>
    <t>其他费用</t>
  </si>
  <si>
    <t>形成固定资产</t>
  </si>
  <si>
    <t>详见备注3</t>
  </si>
  <si>
    <t>形成无形资产</t>
  </si>
  <si>
    <t>无形资产取值于评估表2</t>
  </si>
  <si>
    <t>形成递延资产</t>
  </si>
  <si>
    <t>形成递延资产取值于评估表2中长期待摊费用</t>
  </si>
  <si>
    <t>基本预备费主为不可预见费</t>
  </si>
  <si>
    <t>不可预备费=（工程费用总额+其他费用）*基本预备费率=(建筑工程费用+安装工程费用+设备购置费用+工程建设其它费用)*基本预备费率</t>
  </si>
  <si>
    <t>动态投资(1+2+3+4+5)</t>
  </si>
  <si>
    <t>动态投资：主要为建设期利息</t>
  </si>
  <si>
    <t>项目建设期每年应计利息=（年初贷款累计+本年发放贷款总额/2）*年利率</t>
  </si>
  <si>
    <t>静态投资*税率（取值于辅助表1）</t>
  </si>
  <si>
    <t>取值于评估表3，很少用到。</t>
  </si>
  <si>
    <t>固定资产投资(一+二)</t>
  </si>
  <si>
    <t>固定资产投资=静态投资+动态投资=工程费用+其他费用（主要为无形资产+递延资产）+基本预备费+建设期利息</t>
  </si>
  <si>
    <t>备注1：I、J、K列为各工程细项。直接在C、D、E、F列填入数据，由公式倒推出J列单价。。</t>
  </si>
  <si>
    <t>备注2：B列工程或费用名称依据项目情况而定，需酌情更名或增加细项，但需注意加总数求和范围是否正确。</t>
  </si>
  <si>
    <t>备注3：“其他费用”中形成固定资产部分为可研费、勘察设计费、研究试验费、各评价报告费、城市基础设施配套费、引进技术和设备其他费用、建设工程监理费、工程保险费和达到固定资产标准的办公生活家具购置费等。</t>
  </si>
  <si>
    <t>备注4.K列安装单价公式同J列，可依具体项目设置。</t>
  </si>
  <si>
    <t>备注5：“价差费”极少用及；“涨价预备费”仅在少数特殊设备存在较大价格变动可能性时用到。</t>
  </si>
  <si>
    <t>备注6：H列用于以外汇形式注入资金的项目。</t>
  </si>
  <si>
    <t>项目偿债保障比率计算表</t>
  </si>
  <si>
    <t>评估表10:债务期内的债务偿付比率计算表</t>
  </si>
  <si>
    <t>债务</t>
  </si>
  <si>
    <t>债务期内的债务偿付比率合理数值为≥1。</t>
  </si>
  <si>
    <t>项目评估信息表</t>
  </si>
  <si>
    <t>项目规模</t>
  </si>
  <si>
    <t>项目评估效率（工作日）</t>
  </si>
  <si>
    <t>项目评估结论</t>
  </si>
  <si>
    <t>项目评估单位</t>
  </si>
  <si>
    <t>受理时间</t>
  </si>
  <si>
    <t>评估时间</t>
  </si>
  <si>
    <t>报告审核时间</t>
  </si>
  <si>
    <t>项目评估组长</t>
  </si>
  <si>
    <t>报告审核人</t>
  </si>
  <si>
    <t>评估项目基础数据表</t>
  </si>
  <si>
    <t>建设期（年）</t>
  </si>
  <si>
    <t>增值税税率（%）</t>
  </si>
  <si>
    <t>依增值税法而定</t>
  </si>
  <si>
    <t>建设期第一年建设月份</t>
  </si>
  <si>
    <t>城市维护建设税率（%）</t>
  </si>
  <si>
    <t>税基为应纳增值税和应纳消费税之和；通常纳税人所在地在市区的税率为7%、纳税人所在地在县城、镇的税率为5%、纳税人所在地为乡村的税率为1%。</t>
  </si>
  <si>
    <t>生产期（年）</t>
  </si>
  <si>
    <t>税基为应纳增值税和应纳消费税之和；通常教育费附加的税率为3%，地方教育费附加税率为2%，此处合并计入。</t>
  </si>
  <si>
    <t>达产期（第几年）</t>
  </si>
  <si>
    <t>项目性质</t>
  </si>
  <si>
    <t>依企业所得税法而定</t>
  </si>
  <si>
    <t>基本预备费（%）</t>
  </si>
  <si>
    <t>法定盈余公积金提取比例为10%。</t>
  </si>
  <si>
    <t>涨价预备费率（%）</t>
  </si>
  <si>
    <t>即股利分配率</t>
  </si>
  <si>
    <t>修理费用占原值比例（%）</t>
  </si>
  <si>
    <t>此处如无数值则影响测算结果。多为90%，具体以可研为准。</t>
  </si>
  <si>
    <t>此处如无数值则影响测算结果。多为100%，具体以可研为准。</t>
  </si>
  <si>
    <t>销售费用占销售收入比例（%）</t>
  </si>
  <si>
    <t>其他管理费用占制造成本比例（%）</t>
  </si>
  <si>
    <t>供参考：一般风险项目为基准利率+2个点，高风险项目为基准利率+4个点</t>
  </si>
  <si>
    <t>其他基础数据</t>
  </si>
  <si>
    <t>外币一：美元汇率</t>
  </si>
  <si>
    <t>充放电效率</t>
  </si>
  <si>
    <t>参考网上查询储能电池效率，认为可研取值90%较为合理</t>
  </si>
  <si>
    <t>外币二：汇率</t>
  </si>
  <si>
    <t>电池容量年衰减率</t>
  </si>
  <si>
    <t>可研未计算储能电池容量衰减，参考网上查询到头部储能电池企业宁德时代、海辰储能等可达到前5—3年容量0衰减，本次测算取较低值为年衰减0.5%</t>
  </si>
  <si>
    <t>我行要求的项目资本金比例</t>
  </si>
  <si>
    <t>20%</t>
  </si>
  <si>
    <t>运营天数</t>
  </si>
  <si>
    <t>员工</t>
  </si>
  <si>
    <t>光伏售电单价（元）</t>
  </si>
  <si>
    <t>计算综合工商业用电平均电价为0.91元/kwh，出于谨慎性原则，综合工商业用电平均电价为0.57元/kwh</t>
  </si>
  <si>
    <t>员工年工资</t>
  </si>
  <si>
    <t>10</t>
  </si>
  <si>
    <t>储能峰谷价差（元）</t>
  </si>
  <si>
    <t>根据结合近几月电力公司代理购电工商业用户电价表推算，峰值价差约为1.12元/kwh，出于谨慎性原则，项目暂按0.61元/kwh测算</t>
  </si>
  <si>
    <t>备注1.其他用于建立公式的数据可在表中填列。</t>
  </si>
  <si>
    <t>备注2.现行一般纳税人的增值税税率大致4档：13%、9%、6%、0%：粮食类、饲料类、图书类、水电气暖、不动产、建筑、交通运输、转让土地使用权税率9%；金融服务、生活服务、销售无形资产等税率6%；出口或免税等税率0%；其余大多为13%，但对于农产品购进有减免。</t>
  </si>
  <si>
    <t>总成本费用表</t>
  </si>
  <si>
    <t>评估表4：总成本费用表</t>
  </si>
  <si>
    <t>此行填写生产负荷*辅助表7N12，即关联产能敏感性分析</t>
  </si>
  <si>
    <t>多个产品时填写此列及以下部分，均为生产负荷*辅助表7N12，即关联产能敏感性分析</t>
  </si>
  <si>
    <t>产品制造成本(1+2+3+4)</t>
  </si>
  <si>
    <t>产品制造成本=直接材料+直接人工+其他直接支出+制造费用</t>
  </si>
  <si>
    <t>直接材料</t>
  </si>
  <si>
    <t>原材料</t>
  </si>
  <si>
    <t>取值于辅助表2</t>
  </si>
  <si>
    <t>辅助材料</t>
  </si>
  <si>
    <t>备品备件</t>
  </si>
  <si>
    <t>外购半成品</t>
  </si>
  <si>
    <t>外购燃料动力</t>
  </si>
  <si>
    <t>包装物</t>
  </si>
  <si>
    <t>其他直接材料</t>
  </si>
  <si>
    <t>直接工资及福利费</t>
  </si>
  <si>
    <t>直接工资</t>
  </si>
  <si>
    <t>依据实际情况设公式，可参考备注1.</t>
  </si>
  <si>
    <t>福利费</t>
  </si>
  <si>
    <t>福利费=工资*职工工资福利比例（取值于辅助表1）</t>
  </si>
  <si>
    <t>此行视项目情况填写或设置公式</t>
  </si>
  <si>
    <t>制造费用</t>
  </si>
  <si>
    <t>制造费用=折旧+维简费+租赁费+修理费+其他制造费用</t>
  </si>
  <si>
    <t>折旧小计</t>
  </si>
  <si>
    <t>4.1.1</t>
  </si>
  <si>
    <t>固定资产折旧</t>
  </si>
  <si>
    <t>取值于辅助表3</t>
  </si>
  <si>
    <t>4.1.2</t>
  </si>
  <si>
    <t>4.1.3</t>
  </si>
  <si>
    <t>其他折旧1</t>
  </si>
  <si>
    <t>4.1.4</t>
  </si>
  <si>
    <t>其他折旧2</t>
  </si>
  <si>
    <t>保洁维护费</t>
  </si>
  <si>
    <t>煤炭、林业等特殊行业适用,可依可研设置公式或直接填数</t>
  </si>
  <si>
    <t>租赁费</t>
  </si>
  <si>
    <t>修理费</t>
  </si>
  <si>
    <t>此行设置修理费=折旧*修理费用占折旧比例(取值于辅助表1)，如可研中修理费为设备原值一定比例等情况，需修改公式。</t>
  </si>
  <si>
    <t>其他制造费用</t>
  </si>
  <si>
    <t>管理费用</t>
  </si>
  <si>
    <t>管理费用=无形资产摊销+长期待摊费用摊销+其他管理费用</t>
  </si>
  <si>
    <t>无形资产摊销小计</t>
  </si>
  <si>
    <t>其他无形资产摊销</t>
  </si>
  <si>
    <t>长期待摊费用摊销小计</t>
  </si>
  <si>
    <t>其他长期待摊费用摊销</t>
  </si>
  <si>
    <t>其他管理费用</t>
  </si>
  <si>
    <t>财务费用</t>
  </si>
  <si>
    <t>取值于评估表3短期借款额*利率</t>
  </si>
  <si>
    <t>依情况填写</t>
  </si>
  <si>
    <t>销售费用</t>
  </si>
  <si>
    <t>此行销售费用=销售收入（取值于评估表5）*销售费用占销售收入比例（取值于辅助表1），可依据可研调整取数</t>
  </si>
  <si>
    <t>五</t>
  </si>
  <si>
    <t>总成本费用(一+二+三+四）</t>
  </si>
  <si>
    <t>总成本费用=制造费用+管理费用+财务费用+销售费用</t>
  </si>
  <si>
    <t>六</t>
  </si>
  <si>
    <t>经营成本</t>
  </si>
  <si>
    <t>经营成本=总成本-折旧-维简费-无形资产摊销-长期待摊费用摊销-财务费用</t>
  </si>
  <si>
    <t>七</t>
  </si>
  <si>
    <t>固定成本</t>
  </si>
  <si>
    <t>固定成本=总成本-可变成本</t>
  </si>
  <si>
    <t>八</t>
  </si>
  <si>
    <t>可变成本</t>
  </si>
  <si>
    <t>可变成本=直接材料+直接工资及福利费</t>
  </si>
  <si>
    <t>备注1.如工资如为阶梯增长工资，按照项目实际情况填写第1年的工资额度，并建立后续年度工资的增长公式；如为固定工资，可建立公式关联辅助表1与辅助表6.1；或直接逐年填数。</t>
  </si>
  <si>
    <t>备注2.各生产负荷需乘以关联辅助表7总投N12</t>
  </si>
  <si>
    <t>备注3.生产期需依行业和可研自行调整。</t>
  </si>
  <si>
    <t>项目贷款偿还期计算表</t>
  </si>
  <si>
    <t>评估表6:项目贷款偿还期计算表</t>
  </si>
  <si>
    <t>序
号</t>
  </si>
  <si>
    <t>分段投产
开始年度</t>
  </si>
  <si>
    <t>建设期利润和折旧用途</t>
  </si>
  <si>
    <t>借款偿还</t>
  </si>
  <si>
    <t>年初借款累计</t>
  </si>
  <si>
    <t>年内借款支用</t>
  </si>
  <si>
    <t>年内借款应计利息</t>
  </si>
  <si>
    <t>计入投资</t>
  </si>
  <si>
    <t>计入财务费用</t>
  </si>
  <si>
    <t>本年还本</t>
  </si>
  <si>
    <t>本年付息</t>
  </si>
  <si>
    <t>年末借款累计（1+2-4）</t>
  </si>
  <si>
    <t>(一)</t>
  </si>
  <si>
    <t>一般借款</t>
  </si>
  <si>
    <t>中原银行银行借款</t>
  </si>
  <si>
    <t>当年借款月数</t>
  </si>
  <si>
    <t>等于前一年年末借款累计</t>
  </si>
  <si>
    <t>（年初借款累计+年内借款支用/2）*年利率（取值于评估表3）*当年借款月数/12</t>
  </si>
  <si>
    <t>建设期内利息可资本化计入总投资</t>
  </si>
  <si>
    <t>生产运营期利息计入财务费用</t>
  </si>
  <si>
    <t>我行借款本年还本=年初我行借款累计/所有借款年初累计综合*（可还款利润-优先还款项本年还本总和），直至结清（无年初借款累计），但最大不超过当年年初借款累计额。</t>
  </si>
  <si>
    <t>年末借款累计=年初借款累计+年内借款支用-本年还本</t>
  </si>
  <si>
    <t>一般借款B</t>
  </si>
  <si>
    <t>一般借款C</t>
  </si>
  <si>
    <t>一般借款D</t>
  </si>
  <si>
    <t>一般借款E</t>
  </si>
  <si>
    <t>(二)</t>
  </si>
  <si>
    <t>协议借款</t>
  </si>
  <si>
    <t>协议借款A</t>
  </si>
  <si>
    <t>协议借款B</t>
  </si>
  <si>
    <t>协议借款C</t>
  </si>
  <si>
    <t>协议借款D</t>
  </si>
  <si>
    <t>(三)</t>
  </si>
  <si>
    <t>债  券</t>
  </si>
  <si>
    <t>(四)</t>
  </si>
  <si>
    <t>融资租赁</t>
  </si>
  <si>
    <t>(五)</t>
  </si>
  <si>
    <t>补偿贸易</t>
  </si>
  <si>
    <t>偿还本金来源</t>
  </si>
  <si>
    <t>留存</t>
  </si>
  <si>
    <t>当年偿还本金来源（1+2+3+4+5）</t>
  </si>
  <si>
    <t>可还款折旧或维简费</t>
  </si>
  <si>
    <t>辅助表1中设置前三年折旧比例、三年后折旧用于还款比例，此行可反显。</t>
  </si>
  <si>
    <t>摊销费</t>
  </si>
  <si>
    <t>无形资产摊销（取值于评估表4）+长期待摊费用摊销（取值于评估表4）</t>
  </si>
  <si>
    <t>其他资金1</t>
  </si>
  <si>
    <t>此两列填补充当年还款来源资金，如股东借款等，用以调节年还款额和总偿还期。取值需与经营单位沟通确认。</t>
  </si>
  <si>
    <t>其他资金2</t>
  </si>
  <si>
    <t>项目我行贷款偿还期为：</t>
  </si>
  <si>
    <t>项目所有贷款偿还期：</t>
  </si>
  <si>
    <t>一般借款年初借款累计</t>
  </si>
  <si>
    <t>优先还款项本年还本小计</t>
  </si>
  <si>
    <t>建设期还款一般借款年初借款合计</t>
  </si>
  <si>
    <t>优先还款年初借款累计</t>
  </si>
  <si>
    <t>用于项目建设的建设期利润和折旧</t>
  </si>
  <si>
    <t>平均债务与息税折旧摊销前盈利比率计算表</t>
  </si>
  <si>
    <t>评估表9:平均债务与息税折旧摊销前盈利比率计算表</t>
  </si>
  <si>
    <t>息税折旧及摊销前利润（EBITDA）</t>
  </si>
  <si>
    <t>本金和利息</t>
  </si>
  <si>
    <t>债务与息税折旧摊销前利润比率</t>
  </si>
  <si>
    <t>本息和/息税折旧摊销前利润</t>
  </si>
  <si>
    <t>上列数值的平均值，合理数值为＜1，具体应依行业和项目而定。</t>
  </si>
  <si>
    <t>填写单元格</t>
  </si>
  <si>
    <t>隐藏表格</t>
  </si>
  <si>
    <t>一般贷款B</t>
  </si>
  <si>
    <t>A29</t>
  </si>
  <si>
    <t>A25:A34</t>
  </si>
  <si>
    <t>一般贷款C</t>
  </si>
  <si>
    <t>A30</t>
  </si>
  <si>
    <t>A35:A44</t>
  </si>
  <si>
    <t>一般贷款D</t>
  </si>
  <si>
    <t>A31</t>
  </si>
  <si>
    <t>A45:A54</t>
  </si>
  <si>
    <t>一般贷款E</t>
  </si>
  <si>
    <t>A32</t>
  </si>
  <si>
    <t>A55:A64</t>
  </si>
  <si>
    <t>A34</t>
  </si>
  <si>
    <t>A66:A75</t>
  </si>
  <si>
    <t>A35</t>
  </si>
  <si>
    <t>A76:A85</t>
  </si>
  <si>
    <t>A36</t>
  </si>
  <si>
    <t>A86:A95</t>
  </si>
  <si>
    <t>A37</t>
  </si>
  <si>
    <t>A96:A105</t>
  </si>
  <si>
    <t>长期债券</t>
  </si>
  <si>
    <t>A38</t>
  </si>
  <si>
    <t>A106:A114</t>
  </si>
  <si>
    <t>A39</t>
  </si>
  <si>
    <t>A115:A119</t>
  </si>
  <si>
    <t>A40</t>
  </si>
  <si>
    <t>A120:A124</t>
  </si>
  <si>
    <t>是否考虑加速折旧</t>
  </si>
  <si>
    <t>A101:A116</t>
  </si>
  <si>
    <t>A117:A132</t>
  </si>
  <si>
    <t>是否考虑项目外折旧和摊销</t>
  </si>
  <si>
    <t>A141:A172</t>
  </si>
  <si>
    <t>A188:A199</t>
  </si>
  <si>
    <t>A206:A208</t>
  </si>
  <si>
    <t>是否考虑分段建成投产</t>
  </si>
  <si>
    <t>D1:O1</t>
  </si>
  <si>
    <t>C1</t>
  </si>
  <si>
    <t>E1:P1</t>
  </si>
  <si>
    <t>K1:V1</t>
  </si>
  <si>
    <t>D21|D29|D37|D45|D53|D61|D69|D77|D85|D93|D101|D109|D117|D125|D133|D149|D157|D165</t>
  </si>
  <si>
    <t>E1|F1</t>
  </si>
  <si>
    <t>A12|A20|A28|A36|A44|A52|A60|A68|A76|A84|A92|A100|A108|A116|A124|A132|A140|A148|A156|A164|A172</t>
  </si>
  <si>
    <t>J21|J29|J37|J45|J53|J61|J69|J77|J85|J93|J101|J109|J117|J125|J133|J149|J157|J165</t>
  </si>
  <si>
    <t>A8|A9|A10|A16|A17|A18|A24|A25|A26|A32|A33|A34|A40|A41|A42|A48|A49|A50|A56|A57|A58|A64|A65|A66|A72|A73|A74|A80|A81|A82|A88|A89|A90|A96|A97|A98|A104|A105|A106|A112|A113|A114|A120|A121|A122|A128|A129|A130|A136|A137|A138|A144|A145|A146|A152|A153|A154|A160|A161|A162|A168|A169|A170</t>
  </si>
  <si>
    <t>自动隐藏空白行</t>
  </si>
  <si>
    <t>B8:B69</t>
  </si>
  <si>
    <t>B34:B40</t>
  </si>
  <si>
    <t>B19</t>
  </si>
  <si>
    <t>A19:A29</t>
  </si>
  <si>
    <t>B30</t>
  </si>
  <si>
    <t>A30:A40</t>
  </si>
  <si>
    <t>B41</t>
  </si>
  <si>
    <t>A41:A51</t>
  </si>
  <si>
    <t>B52</t>
  </si>
  <si>
    <t>A52:A62</t>
  </si>
  <si>
    <t>B63</t>
  </si>
  <si>
    <t>A63:A73</t>
  </si>
  <si>
    <t>B74</t>
  </si>
  <si>
    <t>A74:A84</t>
  </si>
  <si>
    <t>B85</t>
  </si>
  <si>
    <t>A85:A95</t>
  </si>
  <si>
    <t>B96</t>
  </si>
  <si>
    <t>A96:A106</t>
  </si>
  <si>
    <t>B107</t>
  </si>
  <si>
    <t>A107:A117</t>
  </si>
  <si>
    <t>B118</t>
  </si>
  <si>
    <t>A118:A128</t>
  </si>
  <si>
    <t>B130</t>
  </si>
  <si>
    <t>A130:A140</t>
  </si>
  <si>
    <t>B141</t>
  </si>
  <si>
    <t>A141:A151</t>
  </si>
  <si>
    <t>B152</t>
  </si>
  <si>
    <t>A152:A162</t>
  </si>
  <si>
    <t>B163</t>
  </si>
  <si>
    <t>A163:A173</t>
  </si>
  <si>
    <t>B174</t>
  </si>
  <si>
    <t>A174:A184</t>
  </si>
  <si>
    <t>B186</t>
  </si>
  <si>
    <t>A186:A196</t>
  </si>
  <si>
    <t>B197</t>
  </si>
  <si>
    <t>A197:A207</t>
  </si>
  <si>
    <t>B209</t>
  </si>
  <si>
    <t>A209:A219</t>
  </si>
  <si>
    <t>B220</t>
  </si>
  <si>
    <t>A220:A230</t>
  </si>
  <si>
    <t>B232</t>
  </si>
  <si>
    <t>A232:A242</t>
  </si>
  <si>
    <t>B243</t>
  </si>
  <si>
    <t>A243:A253</t>
  </si>
  <si>
    <t>B255</t>
  </si>
  <si>
    <t>A255:A265</t>
  </si>
  <si>
    <t>B266</t>
  </si>
  <si>
    <t>A266:A276</t>
  </si>
  <si>
    <t>B278</t>
  </si>
  <si>
    <t>A278:A288</t>
  </si>
  <si>
    <t>B289</t>
  </si>
  <si>
    <t>A289:A299</t>
  </si>
  <si>
    <t>C21</t>
  </si>
  <si>
    <t>A21:A28</t>
  </si>
  <si>
    <t>C29</t>
  </si>
  <si>
    <t>A29:A36</t>
  </si>
  <si>
    <t>C37</t>
  </si>
  <si>
    <t>A37:A44</t>
  </si>
  <si>
    <t>C45</t>
  </si>
  <si>
    <t>A45:A52</t>
  </si>
  <si>
    <t>C53</t>
  </si>
  <si>
    <t>A53:A60</t>
  </si>
  <si>
    <t>C61</t>
  </si>
  <si>
    <t>A61:A68</t>
  </si>
  <si>
    <t>C69</t>
  </si>
  <si>
    <t>A69:A76</t>
  </si>
  <si>
    <t>C77</t>
  </si>
  <si>
    <t>A77:A84</t>
  </si>
  <si>
    <t>C85</t>
  </si>
  <si>
    <t>A85:A92</t>
  </si>
  <si>
    <t>C93</t>
  </si>
  <si>
    <t>A93:A100</t>
  </si>
  <si>
    <t>C101</t>
  </si>
  <si>
    <t>A101:A108</t>
  </si>
  <si>
    <t>C109</t>
  </si>
  <si>
    <t>A109:A116</t>
  </si>
  <si>
    <t>C117</t>
  </si>
  <si>
    <t>A117:A124</t>
  </si>
  <si>
    <t>C125</t>
  </si>
  <si>
    <t>A125:A132</t>
  </si>
  <si>
    <t>C133</t>
  </si>
  <si>
    <t>A133:A140</t>
  </si>
  <si>
    <t>C141</t>
  </si>
  <si>
    <t>C149</t>
  </si>
  <si>
    <t>A149:A156</t>
  </si>
  <si>
    <t>C157</t>
  </si>
  <si>
    <t>A157:A164</t>
  </si>
  <si>
    <t>C165</t>
  </si>
  <si>
    <t>A165:A172</t>
  </si>
  <si>
    <t>C188</t>
  </si>
  <si>
    <t>C191</t>
  </si>
  <si>
    <t>A191:A193</t>
  </si>
  <si>
    <t>C194</t>
  </si>
  <si>
    <t>A194:A196</t>
  </si>
  <si>
    <t>C197</t>
  </si>
  <si>
    <t>A197:A199</t>
  </si>
  <si>
    <t>C206</t>
  </si>
  <si>
    <t>B27</t>
  </si>
  <si>
    <t>A27:A36</t>
  </si>
  <si>
    <t>B37</t>
  </si>
  <si>
    <t>A37:A46</t>
  </si>
  <si>
    <t>B47</t>
  </si>
  <si>
    <t>A47:A56</t>
  </si>
  <si>
    <t>B57</t>
  </si>
  <si>
    <t>A57:A66</t>
  </si>
  <si>
    <t>B67</t>
  </si>
  <si>
    <t>A67:A76</t>
  </si>
  <si>
    <t>B77</t>
  </si>
  <si>
    <t>A77:A86</t>
  </si>
  <si>
    <t>B87</t>
  </si>
  <si>
    <t>A87:A96</t>
  </si>
  <si>
    <t>B97</t>
  </si>
  <si>
    <t>A97:A106</t>
  </si>
  <si>
    <t>A107:A116</t>
  </si>
  <si>
    <t>B117</t>
  </si>
  <si>
    <t>A117:A126</t>
  </si>
  <si>
    <t>B127</t>
  </si>
  <si>
    <t>A127:A136</t>
  </si>
  <si>
    <t>B137</t>
  </si>
  <si>
    <t>A137:A146</t>
  </si>
  <si>
    <t>B147</t>
  </si>
  <si>
    <t>A147:A156</t>
  </si>
  <si>
    <t>B157</t>
  </si>
  <si>
    <t>A157:A166</t>
  </si>
  <si>
    <t>B167</t>
  </si>
  <si>
    <t>A167:A176</t>
  </si>
  <si>
    <t>是否项目评估</t>
  </si>
  <si>
    <t>项目评估受理时间（工作日）</t>
  </si>
  <si>
    <t>评估时间（工作日）</t>
  </si>
  <si>
    <t>报告审核时间
（工作日）</t>
  </si>
  <si>
    <t>评估报告审核人</t>
  </si>
  <si>
    <t>生产投入物估算表</t>
  </si>
  <si>
    <t>辅助表2：生产投入物估算表</t>
  </si>
  <si>
    <t>生产投入物金额合计</t>
  </si>
  <si>
    <t>所有生产投入物（即第三项）"小计“科目加总</t>
  </si>
  <si>
    <t>关税税额</t>
  </si>
  <si>
    <t>完税后金额-完税前金额</t>
  </si>
  <si>
    <t>关税完税前金额合计</t>
  </si>
  <si>
    <t>所有第三项"金额“科目加总</t>
  </si>
  <si>
    <t>关税完税后金额</t>
  </si>
  <si>
    <t>所有第三项"关税完税后金额“科目加总</t>
  </si>
  <si>
    <t>所有第三项"进项税额“科目加总</t>
  </si>
  <si>
    <t>生产投入物各子项详细估算</t>
  </si>
  <si>
    <t>此行为各原材料合计金额。</t>
  </si>
  <si>
    <t>可直接填写单价也可依据项目情况设公式，但均需关联辅助表7N10。下同。</t>
  </si>
  <si>
    <t>单价*汇率</t>
  </si>
  <si>
    <t>用量</t>
  </si>
  <si>
    <t>可填数或依据项目情况设公式，但需乘以对应生产负荷。下同。</t>
  </si>
  <si>
    <t>金额</t>
  </si>
  <si>
    <t>单价*用量</t>
  </si>
  <si>
    <t>关税税率</t>
  </si>
  <si>
    <t>如原材料非进口，则无关税且进项税=含税单价/(1+增值税率)*增值税率；如原材料为进口，则关税不为零且进项税=关税完税后金额*增值税率</t>
  </si>
  <si>
    <t>小计</t>
  </si>
  <si>
    <t>如原材料非进口，则总金额=含税单价*用量；如原材料为进口，则总金额=关税完税后金额+增值税进项税</t>
  </si>
  <si>
    <t>1.10</t>
  </si>
  <si>
    <t>变电站耗电、耗水、光伏板冲洗等</t>
  </si>
  <si>
    <t>单价（万元/年）</t>
  </si>
  <si>
    <t>储能设备充放电损耗（95%）</t>
  </si>
  <si>
    <t>用量（万kwh）</t>
  </si>
  <si>
    <t>备注1.单价均为含税价格。</t>
  </si>
  <si>
    <t>备注2.表格单位为“万元”，注意金额单位换算。</t>
  </si>
  <si>
    <t>备注3.“单价”可直接填数或引用辅助表1内所填数。该数需乘以辅助表7N10,以关联敏感性分析，但水、电等单价变动可能性不大的投入物无需关联。</t>
  </si>
  <si>
    <t>备注4.“用量”对应行可设置公式取数或直接填数，但改数需乘以当年生产负荷，即用量*生产负荷</t>
  </si>
  <si>
    <t>投资计划与资金筹措表</t>
  </si>
  <si>
    <t>评估表3:投资计划与资金筹措表</t>
  </si>
  <si>
    <t>单位: 万元、万美元</t>
  </si>
  <si>
    <t>序</t>
  </si>
  <si>
    <t>项       目</t>
  </si>
  <si>
    <t>号</t>
  </si>
  <si>
    <t>万  元</t>
  </si>
  <si>
    <t>项目总投资(1+2)</t>
  </si>
  <si>
    <t>资金分年度使用比例</t>
  </si>
  <si>
    <t>分年度使用比例填生产期的前一年，建设期其余年份用余数</t>
  </si>
  <si>
    <t>静态投资</t>
  </si>
  <si>
    <t>静态投资总额（取值于评估表1）*分年使用比例</t>
  </si>
  <si>
    <t>动态投资</t>
  </si>
  <si>
    <t>动态投资总额（取值于评估表1）*分年使用比例</t>
  </si>
  <si>
    <t>建设期利息取值于评估表6</t>
  </si>
  <si>
    <t>汇率变动部分=汇率变动部分（取值于评估表1）*资金分年度使用比例</t>
  </si>
  <si>
    <t>固定资产投资方向调节税=固定资产投资方向调节税（取值于评估表1）*资金分年度使用比例</t>
  </si>
  <si>
    <t>国家新批准的税费=国家新批准的税费（取值于评估表1）*资金分年度使用比例</t>
  </si>
  <si>
    <t>当年涨价预备费=工程费用总额*该年度资金适用比例*（（1+涨价预备费率）-1）</t>
  </si>
  <si>
    <t>流动资金</t>
  </si>
  <si>
    <t>其中:铺底流动资金</t>
  </si>
  <si>
    <t>铺底流动资金=流动资金*30%</t>
  </si>
  <si>
    <t>资金筹措(1+2+3)</t>
  </si>
  <si>
    <t>项目资金筹措=资本金+项目长期负债+项目短期负债</t>
  </si>
  <si>
    <t>项目资本金来源</t>
  </si>
  <si>
    <t>项目资本金来源企业自有资金、股东追加投资等。</t>
  </si>
  <si>
    <t>企业自有资金</t>
  </si>
  <si>
    <t>企业自有资金包括现有资金、未来经营收益、资产变现所得。</t>
  </si>
  <si>
    <t>企业现有货币资金</t>
  </si>
  <si>
    <t>现有货币资金=项目总投-银行借款</t>
  </si>
  <si>
    <t>企业未来经营收益</t>
  </si>
  <si>
    <t>企业资产变现</t>
  </si>
  <si>
    <t>股东追加投资</t>
  </si>
  <si>
    <t>其他资金来源</t>
  </si>
  <si>
    <t>项目长期负债</t>
  </si>
  <si>
    <t>项目长期负债=长期借款+长期债券+融资租赁+补偿贸易</t>
  </si>
  <si>
    <t>长期借款</t>
  </si>
  <si>
    <t>还款年限</t>
  </si>
  <si>
    <t>年利率</t>
  </si>
  <si>
    <t>2.1.1</t>
  </si>
  <si>
    <t>2.1.1.1</t>
  </si>
  <si>
    <t>中原银行贷款</t>
  </si>
  <si>
    <t>年利率需关联辅助表7单因素敏感性分析表!N13；提款金额应关联辅助表7单因素敏感性分析表!N9</t>
  </si>
  <si>
    <t>2.1.1.2</t>
  </si>
  <si>
    <t>如有其他金融机构授信，在此列或下面对应区域填写</t>
  </si>
  <si>
    <t>2.1.1.3</t>
  </si>
  <si>
    <t>2.1.1.4</t>
  </si>
  <si>
    <t>2.1.1.5</t>
  </si>
  <si>
    <t>2.1.2</t>
  </si>
  <si>
    <t>2.1.2.1</t>
  </si>
  <si>
    <t>2.1.2.2</t>
  </si>
  <si>
    <t>2.1.2.3</t>
  </si>
  <si>
    <t>2.1.2.4</t>
  </si>
  <si>
    <t>项目短期负债</t>
  </si>
  <si>
    <t>我行流动资金借款</t>
  </si>
  <si>
    <t>其他银行短期借款</t>
  </si>
  <si>
    <t>其他资金</t>
  </si>
  <si>
    <t>其他资金（建设期利润和折旧）</t>
  </si>
  <si>
    <t>依据建设期内项目借款产生利润或已投产部分（分期投产项目或既有法人项目）产生折旧额和用途而定，关联评估表6</t>
  </si>
  <si>
    <t>资本金比例低于我行要求</t>
  </si>
  <si>
    <t>此行为监测各年资本金比例是否符合贷款行要求。利用第49及第50行数据。</t>
  </si>
  <si>
    <t>资金成本</t>
  </si>
  <si>
    <t>资本金成本</t>
  </si>
  <si>
    <t>资本金成本取值于辅助表1中折现率。如发生资金筹措，则资金成本=（资本金成本*资本金+各借款成本）/资金筹措总额</t>
  </si>
  <si>
    <t>此行为各年度累计资本金投入</t>
  </si>
  <si>
    <t>此行为各年度项目累计已投入</t>
  </si>
  <si>
    <t>项目经济增加值（EVA)测算表</t>
  </si>
  <si>
    <t>贷款收益</t>
  </si>
  <si>
    <t>单位：万元、%</t>
  </si>
  <si>
    <t>贷款</t>
  </si>
  <si>
    <t>贷款金额</t>
  </si>
  <si>
    <t>剩余期限(月)</t>
  </si>
  <si>
    <t>发放日或重定价日贷款利率</t>
  </si>
  <si>
    <t>发放日或重定价日内部资金转移价格COF</t>
  </si>
  <si>
    <t>贷款收入</t>
  </si>
  <si>
    <t>贷款营运成本率</t>
  </si>
  <si>
    <t>贷款营运成本</t>
  </si>
  <si>
    <t>营业税及附加税费比率</t>
  </si>
  <si>
    <t>税负成本</t>
  </si>
  <si>
    <t>违约概率</t>
  </si>
  <si>
    <t>违约损失率</t>
  </si>
  <si>
    <t>期限调整值</t>
  </si>
  <si>
    <t>风险成本</t>
  </si>
  <si>
    <t>经济资本分配系数</t>
  </si>
  <si>
    <t>客户调节系数</t>
  </si>
  <si>
    <t>资本成本率</t>
  </si>
  <si>
    <t>资本经济利润率</t>
  </si>
  <si>
    <t>资本目标回报（资本成本）</t>
  </si>
  <si>
    <t>地区调节系数</t>
  </si>
  <si>
    <t>存量贷款1</t>
  </si>
  <si>
    <t>总行级公司类重点客户</t>
  </si>
  <si>
    <t>存量贷款2</t>
  </si>
  <si>
    <t>省分行级公司类重点客户</t>
  </si>
  <si>
    <t>存量贷款3</t>
  </si>
  <si>
    <t>总行级VIP客户</t>
  </si>
  <si>
    <t>存量贷款4</t>
  </si>
  <si>
    <t>省分行VIP客户</t>
  </si>
  <si>
    <t>存量贷款5</t>
  </si>
  <si>
    <t>拟执行利率</t>
  </si>
  <si>
    <t>发放日内部资金转移价格COF</t>
  </si>
  <si>
    <t>新增贷款1</t>
  </si>
  <si>
    <t>新增贷款2</t>
  </si>
  <si>
    <t>新增贷款3</t>
  </si>
  <si>
    <t>存款收益</t>
  </si>
  <si>
    <t>存款</t>
  </si>
  <si>
    <t>存款日均余额</t>
  </si>
  <si>
    <t>期限（月）</t>
  </si>
  <si>
    <t>存款利率</t>
  </si>
  <si>
    <t>内部资金转移价格VOF</t>
  </si>
  <si>
    <t>存款收入</t>
  </si>
  <si>
    <t>存款营运成本率</t>
  </si>
  <si>
    <t>存款营运成本</t>
  </si>
  <si>
    <t>预测未来存款量</t>
  </si>
  <si>
    <t>合同约定存款量</t>
  </si>
  <si>
    <t>中间业务收益</t>
  </si>
  <si>
    <t>项   目</t>
  </si>
  <si>
    <t>未来一年的业务量</t>
  </si>
  <si>
    <t>费率</t>
  </si>
  <si>
    <t>中间业务收入</t>
  </si>
  <si>
    <t>收入费用率</t>
  </si>
  <si>
    <t>中间业务营运成本</t>
  </si>
  <si>
    <t>资本目标回报</t>
  </si>
  <si>
    <t>经济增加值（EVA)</t>
  </si>
  <si>
    <t>综合收入</t>
  </si>
  <si>
    <t>综合营运成本</t>
  </si>
  <si>
    <t>风险调整回报</t>
  </si>
  <si>
    <t>比较符号</t>
  </si>
  <si>
    <t>比较值</t>
  </si>
  <si>
    <t>copypastevalues</t>
  </si>
  <si>
    <t>F17:Q45</t>
  </si>
  <si>
    <t>F100:Q128</t>
  </si>
  <si>
    <t>pastevaluesself</t>
  </si>
  <si>
    <t>C21|C29|C37|C45|C53|C61|C69|C77|C85|C93|C101|C109|C117|C125|C133</t>
  </si>
  <si>
    <t>assignment</t>
  </si>
  <si>
    <t>C313</t>
  </si>
  <si>
    <t>fzb3!C13</t>
  </si>
  <si>
    <t>init</t>
  </si>
  <si>
    <t>G7|G28|G49|G71|G76|G77|G80|G82</t>
  </si>
  <si>
    <t>C20:C25</t>
  </si>
  <si>
    <t>calculate</t>
  </si>
  <si>
    <t>F20:Q24</t>
  </si>
  <si>
    <t>F28:Q32</t>
  </si>
  <si>
    <t>iteration</t>
  </si>
  <si>
    <t>plot</t>
  </si>
  <si>
    <t>pgb2!C4/C313</t>
  </si>
  <si>
    <t>fzb6.1!C18</t>
  </si>
  <si>
    <t>G?</t>
  </si>
  <si>
    <t>fzb6.1!C24</t>
  </si>
  <si>
    <t>E20:BN20</t>
  </si>
  <si>
    <t>E31:BN31</t>
  </si>
  <si>
    <t>E42:BN42</t>
  </si>
  <si>
    <t>E53:BN53</t>
  </si>
  <si>
    <t>E64:BN64</t>
  </si>
  <si>
    <t>E75:BN75</t>
  </si>
  <si>
    <t>E86:BN86</t>
  </si>
  <si>
    <t>E97:BN97</t>
  </si>
  <si>
    <t>E108:BN108</t>
  </si>
  <si>
    <t>E119:BN119</t>
  </si>
  <si>
    <t>E131:BN131</t>
  </si>
  <si>
    <t>E142:BN142</t>
  </si>
  <si>
    <t>E153:BN153</t>
  </si>
  <si>
    <t>E164:BN164</t>
  </si>
  <si>
    <t>E175:BN175</t>
  </si>
  <si>
    <t>E187:BN187</t>
  </si>
  <si>
    <t>E198:BN198</t>
  </si>
  <si>
    <t>E210:BN210</t>
  </si>
  <si>
    <t>E221:BN221</t>
  </si>
  <si>
    <t>E233:BN233</t>
  </si>
  <si>
    <t>E244:BN244</t>
  </si>
  <si>
    <t>E256:BN256</t>
  </si>
  <si>
    <t>E267:BN267</t>
  </si>
  <si>
    <t>E279:BN279</t>
  </si>
  <si>
    <t>E290:BN290</t>
  </si>
  <si>
    <t>&lt;&gt;</t>
  </si>
  <si>
    <t>null</t>
  </si>
  <si>
    <t>C?</t>
  </si>
  <si>
    <t>H?</t>
  </si>
  <si>
    <t>E28:BN28</t>
  </si>
  <si>
    <t>E38:BN38</t>
  </si>
  <si>
    <t>E48:BN48</t>
  </si>
  <si>
    <t>E58:BN58</t>
  </si>
  <si>
    <t>E68:BN68</t>
  </si>
  <si>
    <t>E78:BN78</t>
  </si>
  <si>
    <t>E88:BN88</t>
  </si>
  <si>
    <t>E98:BN98</t>
  </si>
  <si>
    <t>E118:BN118</t>
  </si>
  <si>
    <t>E128:BN128</t>
  </si>
  <si>
    <t>E138:BN138</t>
  </si>
  <si>
    <t>E148:BN148</t>
  </si>
  <si>
    <t>E158:BN158</t>
  </si>
  <si>
    <t>E168:BN168</t>
  </si>
  <si>
    <t>D?</t>
  </si>
  <si>
    <t>I?</t>
  </si>
  <si>
    <t>E41:BN41</t>
  </si>
  <si>
    <t>E51:BN51</t>
  </si>
  <si>
    <t>E61:BN61</t>
  </si>
  <si>
    <t>E71:BN71</t>
  </si>
  <si>
    <t>E81:BN81</t>
  </si>
  <si>
    <t>E91:BN91</t>
  </si>
  <si>
    <t>E101:BN101</t>
  </si>
  <si>
    <t>E111:BN111</t>
  </si>
  <si>
    <t>E121:BN121</t>
  </si>
  <si>
    <t>E141:BN141</t>
  </si>
  <si>
    <t>E151:BN151</t>
  </si>
  <si>
    <t>E161:BN161</t>
  </si>
  <si>
    <t>E171:BN171</t>
  </si>
  <si>
    <t>E?</t>
  </si>
  <si>
    <t>J?</t>
  </si>
  <si>
    <t>D28:D32</t>
  </si>
  <si>
    <t>D34:D38</t>
  </si>
  <si>
    <t>D42|D43</t>
  </si>
  <si>
    <t>F?</t>
  </si>
  <si>
    <t>K?</t>
  </si>
  <si>
    <t>H7|H28|H49|H70</t>
  </si>
  <si>
    <t>fzb1!C17</t>
  </si>
  <si>
    <t>H7</t>
  </si>
  <si>
    <t>H107</t>
  </si>
  <si>
    <t>H28</t>
  </si>
  <si>
    <t>H128</t>
  </si>
  <si>
    <t>H49</t>
  </si>
  <si>
    <t>H149</t>
  </si>
  <si>
    <t>H70</t>
  </si>
  <si>
    <t>H170</t>
  </si>
  <si>
    <t>add</t>
  </si>
  <si>
    <t>G7</t>
  </si>
  <si>
    <t>H7-H107</t>
  </si>
  <si>
    <t>G28</t>
  </si>
  <si>
    <t>H28-H128</t>
  </si>
  <si>
    <t>G49</t>
  </si>
  <si>
    <t>H49-H149</t>
  </si>
  <si>
    <t>G70</t>
  </si>
  <si>
    <t>H70-H170</t>
  </si>
  <si>
    <t>C17|C18</t>
  </si>
  <si>
    <t>D21:BM21</t>
  </si>
  <si>
    <t>D23:BM23</t>
  </si>
  <si>
    <t>项目现金流量表</t>
  </si>
  <si>
    <t>评估表7:项目现金流量表</t>
  </si>
  <si>
    <t>项        目</t>
  </si>
  <si>
    <t>现金流入（1+2+3+4）</t>
  </si>
  <si>
    <t>回收固定资产余值</t>
  </si>
  <si>
    <t>回收流动资金</t>
  </si>
  <si>
    <t>其他现金流入</t>
  </si>
  <si>
    <t>现金流出（1+2+3+4+5+6+7+8+9+10+11）</t>
  </si>
  <si>
    <t>投资方向调节税</t>
  </si>
  <si>
    <t>其他现金流出</t>
  </si>
  <si>
    <t>净现金流量（一-二）</t>
  </si>
  <si>
    <t>净现金流量=现金流入-现金流出</t>
  </si>
  <si>
    <t>累计净现金流量</t>
  </si>
  <si>
    <t>年初（即前一年年末）累计净现金流量+当年净现金流</t>
  </si>
  <si>
    <t>所得税前净现金流量</t>
  </si>
  <si>
    <t>项目内部收益率为（税后）：</t>
  </si>
  <si>
    <t>财务净现值（税后）：</t>
  </si>
  <si>
    <t>项目内部收益率为（税前）：</t>
  </si>
  <si>
    <t>财务净现值（税前）：</t>
  </si>
  <si>
    <t>项目投资回收期：</t>
  </si>
  <si>
    <t>5956KW光伏；40MW/20MWh储能</t>
  </si>
  <si>
    <t>取值于辅助表6.2</t>
  </si>
  <si>
    <r>
      <t>代</t>
    </r>
    <r>
      <rPr>
        <rFont val="宋体"/>
        <charset val="-122"/>
        <family val="0"/>
        <b val="true"/>
        <sz val="9"/>
      </rPr>
      <t xml:space="preserve">        码</t>
    </r>
  </si>
  <si>
    <r>
      <t>类</t>
    </r>
    <r>
      <rPr>
        <rFont val="宋体"/>
        <charset val="-122"/>
        <family val="0"/>
        <b val="true"/>
        <sz val="9"/>
      </rPr>
      <t xml:space="preserve">   别</t>
    </r>
    <r>
      <rPr>
        <rFont val="宋体"/>
        <charset val="-122"/>
        <family val="0"/>
        <b val="true"/>
        <sz val="9"/>
      </rPr>
      <t xml:space="preserve">   名</t>
    </r>
    <r>
      <rPr>
        <rFont val="宋体"/>
        <charset val="-122"/>
        <family val="0"/>
        <b val="true"/>
        <sz val="9"/>
      </rPr>
      <t xml:space="preserve">   称</t>
    </r>
  </si>
  <si>
    <r>
      <t>说</t>
    </r>
    <r>
      <rPr>
        <rFont val="宋体"/>
        <charset val="-122"/>
        <family val="0"/>
        <b val="true"/>
        <sz val="9"/>
      </rPr>
      <t xml:space="preserve">                   明</t>
    </r>
  </si>
  <si>
    <r>
      <rPr>
        <rFont val="宋体"/>
        <charset val="-122"/>
        <family val="0"/>
        <sz val="9"/>
      </rPr>
      <t xml:space="preserve">  本门类包括</t>
    </r>
    <r>
      <rPr>
        <rFont val="Times New Roman"/>
        <family val="1"/>
        <sz val="9"/>
      </rPr>
      <t>01— 05大类。</t>
    </r>
  </si>
  <si>
    <r>
      <rPr>
        <rFont val="宋体"/>
        <charset val="-122"/>
        <family val="0"/>
        <sz val="9"/>
      </rPr>
      <t xml:space="preserve">  指对各种农作物的种植活动。</t>
    </r>
  </si>
  <si>
    <r>
      <rPr>
        <rFont val="宋体"/>
        <charset val="-122"/>
        <family val="0"/>
        <sz val="9"/>
      </rPr>
      <t xml:space="preserve">  谷物及其他作物的种植</t>
    </r>
  </si>
  <si>
    <r>
      <rPr>
        <rFont val="宋体"/>
        <charset val="-122"/>
        <family val="0"/>
        <sz val="9"/>
      </rPr>
      <t xml:space="preserve">    谷物的种植</t>
    </r>
  </si>
  <si>
    <r>
      <rPr>
        <rFont val="宋体"/>
        <charset val="-122"/>
        <family val="0"/>
        <sz val="9"/>
      </rPr>
      <t xml:space="preserve">  指以收获籽实为主，供人类食用的农作物的种植，如稻谷、小麦、玉米等农作物的种植。</t>
    </r>
  </si>
  <si>
    <r>
      <rPr>
        <rFont val="宋体"/>
        <charset val="-122"/>
        <family val="0"/>
        <sz val="9"/>
      </rPr>
      <t xml:space="preserve">    薯类的种植</t>
    </r>
  </si>
  <si>
    <r>
      <rPr>
        <rFont val="宋体"/>
        <charset val="-122"/>
        <family val="0"/>
        <sz val="9"/>
      </rPr>
      <t xml:space="preserve">    油料的种植</t>
    </r>
  </si>
  <si>
    <r>
      <rPr>
        <rFont val="宋体"/>
        <charset val="-122"/>
        <family val="0"/>
        <sz val="9"/>
      </rPr>
      <t xml:space="preserve">    豆类的种植</t>
    </r>
  </si>
  <si>
    <r>
      <rPr>
        <rFont val="宋体"/>
        <charset val="-122"/>
        <family val="0"/>
        <sz val="9"/>
      </rPr>
      <t xml:space="preserve">    棉花的种植</t>
    </r>
  </si>
  <si>
    <r>
      <rPr>
        <rFont val="宋体"/>
        <charset val="-122"/>
        <family val="0"/>
        <sz val="9"/>
      </rPr>
      <t xml:space="preserve">    麻类的种植</t>
    </r>
  </si>
  <si>
    <r>
      <rPr>
        <rFont val="宋体"/>
        <charset val="-122"/>
        <family val="0"/>
        <sz val="9"/>
      </rPr>
      <t xml:space="preserve">    糖料的种植</t>
    </r>
  </si>
  <si>
    <r>
      <rPr>
        <rFont val="宋体"/>
        <charset val="-122"/>
        <family val="0"/>
        <sz val="9"/>
      </rPr>
      <t xml:space="preserve">    烟草的种植</t>
    </r>
  </si>
  <si>
    <r>
      <rPr>
        <rFont val="宋体"/>
        <charset val="-122"/>
        <family val="0"/>
        <sz val="9"/>
      </rPr>
      <t xml:space="preserve">    其他作物的种植</t>
    </r>
  </si>
  <si>
    <r>
      <rPr>
        <rFont val="宋体"/>
        <charset val="-122"/>
        <family val="0"/>
        <sz val="9"/>
      </rPr>
      <t xml:space="preserve">  蔬菜、园艺作物的种植</t>
    </r>
  </si>
  <si>
    <r>
      <rPr>
        <rFont val="宋体"/>
        <charset val="-122"/>
        <family val="0"/>
        <sz val="9"/>
      </rPr>
      <t xml:space="preserve">    蔬菜的种植</t>
    </r>
  </si>
  <si>
    <r>
      <rPr>
        <rFont val="宋体"/>
        <charset val="-122"/>
        <family val="0"/>
        <sz val="9"/>
      </rPr>
      <t xml:space="preserve">    花卉的种植</t>
    </r>
  </si>
  <si>
    <r>
      <rPr>
        <rFont val="宋体"/>
        <charset val="-122"/>
        <family val="0"/>
        <sz val="9"/>
      </rPr>
      <t xml:space="preserve">    其他园艺作物的种植</t>
    </r>
  </si>
  <si>
    <r>
      <rPr>
        <rFont val="宋体"/>
        <charset val="-122"/>
        <family val="0"/>
        <sz val="9"/>
      </rPr>
      <t xml:space="preserve">  水果、坚果、饮料和香料作物的种植</t>
    </r>
  </si>
  <si>
    <r>
      <rPr>
        <rFont val="宋体"/>
        <charset val="-122"/>
        <family val="0"/>
        <sz val="9"/>
      </rPr>
      <t xml:space="preserve">    水果、坚果的种植</t>
    </r>
  </si>
  <si>
    <r>
      <rPr>
        <rFont val="宋体"/>
        <charset val="-122"/>
        <family val="0"/>
        <sz val="9"/>
      </rPr>
      <t xml:space="preserve">    茶及其他饮料作物的种植</t>
    </r>
  </si>
  <si>
    <r>
      <rPr>
        <rFont val="宋体"/>
        <charset val="-122"/>
        <family val="0"/>
        <sz val="9"/>
      </rPr>
      <t xml:space="preserve">    香料作物的种植</t>
    </r>
  </si>
  <si>
    <r>
      <rPr>
        <rFont val="宋体"/>
        <charset val="-122"/>
        <family val="0"/>
        <sz val="9"/>
      </rPr>
      <t xml:space="preserve">  中药材的种植</t>
    </r>
  </si>
  <si>
    <r>
      <rPr>
        <rFont val="宋体"/>
        <charset val="-122"/>
        <family val="0"/>
        <sz val="9"/>
      </rPr>
      <t xml:space="preserve">  指主要用于中药配制以及中成药加工的药材作物的种植。</t>
    </r>
  </si>
  <si>
    <r>
      <rPr>
        <rFont val="宋体"/>
        <charset val="-122"/>
        <family val="0"/>
        <sz val="9"/>
      </rPr>
      <t xml:space="preserve">  林木的培育和种植</t>
    </r>
  </si>
  <si>
    <r>
      <rPr>
        <rFont val="宋体"/>
        <charset val="-122"/>
        <family val="0"/>
        <sz val="9"/>
      </rPr>
      <t xml:space="preserve">    育种和育苗</t>
    </r>
  </si>
  <si>
    <r>
      <rPr>
        <rFont val="宋体"/>
        <charset val="-122"/>
        <family val="0"/>
        <sz val="9"/>
      </rPr>
      <t xml:space="preserve">    造林</t>
    </r>
  </si>
  <si>
    <r>
      <rPr>
        <rFont val="宋体"/>
        <charset val="-122"/>
        <family val="0"/>
        <sz val="9"/>
      </rPr>
      <t xml:space="preserve">  指在荒山、荒地、沙丘和退耕地等一切可以造林的土地上进行的林木和竹子的种植活动和恢复森林的活动。</t>
    </r>
  </si>
  <si>
    <r>
      <rPr>
        <rFont val="宋体"/>
        <charset val="-122"/>
        <family val="0"/>
        <sz val="9"/>
      </rPr>
      <t xml:space="preserve">    林木的抚育和管理</t>
    </r>
  </si>
  <si>
    <r>
      <rPr>
        <rFont val="宋体"/>
        <charset val="-122"/>
        <family val="0"/>
        <sz val="9"/>
      </rPr>
      <t xml:space="preserve">  指为促进林木生长发育，在林木生长的不同时期进行的促进林木生长发育的措施活动。</t>
    </r>
  </si>
  <si>
    <r>
      <rPr>
        <rFont val="宋体"/>
        <charset val="-122"/>
        <family val="0"/>
        <sz val="9"/>
      </rPr>
      <t xml:space="preserve">  木材和竹材的采运</t>
    </r>
  </si>
  <si>
    <r>
      <rPr>
        <rFont val="宋体"/>
        <charset val="-122"/>
        <family val="0"/>
        <sz val="9"/>
      </rPr>
      <t xml:space="preserve">  指对林木和竹木的采伐，并将其运出山场至贮木场的生产活动。</t>
    </r>
  </si>
  <si>
    <r>
      <rPr>
        <rFont val="宋体"/>
        <charset val="-122"/>
        <family val="0"/>
        <sz val="9"/>
      </rPr>
      <t xml:space="preserve">    木材的采运</t>
    </r>
  </si>
  <si>
    <r>
      <rPr>
        <rFont val="宋体"/>
        <charset val="-122"/>
        <family val="0"/>
        <sz val="9"/>
      </rPr>
      <t xml:space="preserve">    竹材的采运</t>
    </r>
  </si>
  <si>
    <r>
      <rPr>
        <rFont val="宋体"/>
        <charset val="-122"/>
        <family val="0"/>
        <sz val="9"/>
      </rPr>
      <t xml:space="preserve">  林产品的采集</t>
    </r>
  </si>
  <si>
    <r>
      <rPr>
        <rFont val="宋体"/>
        <charset val="-122"/>
        <family val="0"/>
        <sz val="9"/>
      </rPr>
      <t xml:space="preserve">  指在天然森林和人工林地进行的各种林木产品和其他野生植物的采集等活动。</t>
    </r>
  </si>
  <si>
    <r>
      <rPr>
        <rFont val="宋体"/>
        <charset val="-122"/>
        <family val="0"/>
        <sz val="9"/>
      </rPr>
      <t xml:space="preserve">  指为了获得各种畜禽产品而从事的动物饲养活动。</t>
    </r>
  </si>
  <si>
    <r>
      <rPr>
        <rFont val="宋体"/>
        <charset val="-122"/>
        <family val="0"/>
        <sz val="9"/>
      </rPr>
      <t xml:space="preserve">  牲畜的饲养</t>
    </r>
  </si>
  <si>
    <r>
      <rPr>
        <rFont val="宋体"/>
        <charset val="-122"/>
        <family val="0"/>
        <sz val="9"/>
      </rPr>
      <t xml:space="preserve">  指对牛、羊、马、驴、骡、骆驼等主要牲畜的饲养。</t>
    </r>
  </si>
  <si>
    <r>
      <rPr>
        <rFont val="宋体"/>
        <charset val="-122"/>
        <family val="0"/>
        <sz val="9"/>
      </rPr>
      <t xml:space="preserve">  猪的饲养</t>
    </r>
  </si>
  <si>
    <r>
      <rPr>
        <rFont val="宋体"/>
        <charset val="-122"/>
        <family val="0"/>
        <sz val="9"/>
      </rPr>
      <t xml:space="preserve">  家禽的饲养</t>
    </r>
  </si>
  <si>
    <r>
      <rPr>
        <rFont val="宋体"/>
        <charset val="-122"/>
        <family val="0"/>
        <sz val="9"/>
      </rPr>
      <t xml:space="preserve">  狩猎和捕捉动物</t>
    </r>
  </si>
  <si>
    <r>
      <rPr>
        <rFont val="宋体"/>
        <charset val="-122"/>
        <family val="0"/>
        <sz val="9"/>
      </rPr>
      <t xml:space="preserve">  指对各种野生动物的捕捉以及与此相关的活动。</t>
    </r>
  </si>
  <si>
    <r>
      <rPr>
        <rFont val="宋体"/>
        <charset val="-122"/>
        <family val="0"/>
        <sz val="9"/>
      </rPr>
      <t xml:space="preserve">  其他畜牧业</t>
    </r>
  </si>
  <si>
    <r>
      <rPr>
        <rFont val="宋体"/>
        <charset val="-122"/>
        <family val="0"/>
        <sz val="9"/>
      </rPr>
      <t xml:space="preserve">  海洋渔业</t>
    </r>
  </si>
  <si>
    <r>
      <rPr>
        <rFont val="宋体"/>
        <charset val="-122"/>
        <family val="0"/>
        <sz val="9"/>
      </rPr>
      <t xml:space="preserve">    海水养殖</t>
    </r>
  </si>
  <si>
    <r>
      <rPr>
        <rFont val="宋体"/>
        <charset val="-122"/>
        <family val="0"/>
        <sz val="9"/>
      </rPr>
      <t xml:space="preserve">  指利用海水对各种水生动植物的养殖活动。</t>
    </r>
  </si>
  <si>
    <r>
      <rPr>
        <rFont val="宋体"/>
        <charset val="-122"/>
        <family val="0"/>
        <sz val="9"/>
      </rPr>
      <t xml:space="preserve">    海洋捕捞</t>
    </r>
  </si>
  <si>
    <r>
      <rPr>
        <rFont val="宋体"/>
        <charset val="-122"/>
        <family val="0"/>
        <sz val="9"/>
      </rPr>
      <t xml:space="preserve">  指在海洋中对各种天然水生动植物的捕捞活动。</t>
    </r>
  </si>
  <si>
    <r>
      <rPr>
        <rFont val="宋体"/>
        <charset val="-122"/>
        <family val="0"/>
        <sz val="9"/>
      </rPr>
      <t xml:space="preserve">  内陆渔业</t>
    </r>
  </si>
  <si>
    <r>
      <rPr>
        <rFont val="宋体"/>
        <charset val="-122"/>
        <family val="0"/>
        <sz val="9"/>
      </rPr>
      <t xml:space="preserve">    内陆养殖</t>
    </r>
  </si>
  <si>
    <r>
      <rPr>
        <rFont val="宋体"/>
        <charset val="-122"/>
        <family val="0"/>
        <sz val="9"/>
      </rPr>
      <t xml:space="preserve">  指在内陆水域进行的各种水生动物的养殖。</t>
    </r>
  </si>
  <si>
    <r>
      <rPr>
        <rFont val="宋体"/>
        <charset val="-122"/>
        <family val="0"/>
        <sz val="9"/>
      </rPr>
      <t xml:space="preserve">    内陆捕捞</t>
    </r>
  </si>
  <si>
    <r>
      <rPr>
        <rFont val="宋体"/>
        <charset val="-122"/>
        <family val="0"/>
        <sz val="9"/>
      </rPr>
      <t xml:space="preserve">  指在内陆水域对各种天然水生动物的捕捞。</t>
    </r>
  </si>
  <si>
    <r>
      <rPr>
        <rFont val="宋体"/>
        <charset val="-122"/>
        <family val="0"/>
        <sz val="9"/>
      </rPr>
      <t xml:space="preserve">  指对农、林、牧、渔业生产活动进行的各种支持性服务活动。但不包括各种科学技术和专业技术服务活动。</t>
    </r>
  </si>
  <si>
    <r>
      <rPr>
        <rFont val="宋体"/>
        <charset val="-122"/>
        <family val="0"/>
        <sz val="9"/>
      </rPr>
      <t xml:space="preserve">  农业服务业</t>
    </r>
  </si>
  <si>
    <r>
      <rPr>
        <rFont val="宋体"/>
        <charset val="-122"/>
        <family val="0"/>
        <sz val="9"/>
      </rPr>
      <t xml:space="preserve">    灌溉服务</t>
    </r>
  </si>
  <si>
    <r>
      <rPr>
        <rFont val="宋体"/>
        <charset val="-122"/>
        <family val="0"/>
        <sz val="9"/>
      </rPr>
      <t xml:space="preserve">  指为农业生产服务的灌溉系统的经营与管理活动。</t>
    </r>
  </si>
  <si>
    <r>
      <rPr>
        <rFont val="宋体"/>
        <charset val="-122"/>
        <family val="0"/>
        <sz val="9"/>
      </rPr>
      <t xml:space="preserve">    农产品初加工服务</t>
    </r>
  </si>
  <si>
    <r>
      <rPr>
        <rFont val="宋体"/>
        <charset val="-122"/>
        <family val="0"/>
        <sz val="9"/>
      </rPr>
      <t xml:space="preserve">  指由农民家庭兼营或收购单位对收获的各种农产品（包括纺织纤维原料）进行去籽、净化、分类、晒干、剥皮、沤软或大批包装以提供初级市场的服务活动，以及其他农产品的初加工活动。</t>
    </r>
  </si>
  <si>
    <r>
      <rPr>
        <rFont val="宋体"/>
        <charset val="-122"/>
        <family val="0"/>
        <sz val="9"/>
      </rPr>
      <t xml:space="preserve">    其他农业服务</t>
    </r>
  </si>
  <si>
    <r>
      <rPr>
        <rFont val="宋体"/>
        <charset val="-122"/>
        <family val="0"/>
        <sz val="9"/>
      </rPr>
      <t xml:space="preserve">  指为农业生产提供农业机械并配备操作人员的活动，防止病虫害的活动，以及其他未列明的农业服务活动。</t>
    </r>
  </si>
  <si>
    <r>
      <rPr>
        <rFont val="宋体"/>
        <charset val="-122"/>
        <family val="0"/>
        <sz val="9"/>
      </rPr>
      <t xml:space="preserve">  林业服务业</t>
    </r>
  </si>
  <si>
    <r>
      <rPr>
        <rFont val="宋体"/>
        <charset val="-122"/>
        <family val="0"/>
        <sz val="9"/>
      </rPr>
      <t xml:space="preserve">  指为林业生产服务的病虫害的防治、森林防火等各种支持性活动。</t>
    </r>
  </si>
  <si>
    <r>
      <rPr>
        <rFont val="宋体"/>
        <charset val="-122"/>
        <family val="0"/>
        <sz val="9"/>
      </rPr>
      <t xml:space="preserve">  畜牧服务业</t>
    </r>
  </si>
  <si>
    <r>
      <rPr>
        <rFont val="宋体"/>
        <charset val="-122"/>
        <family val="0"/>
        <sz val="9"/>
      </rPr>
      <t xml:space="preserve">    兽医服务</t>
    </r>
  </si>
  <si>
    <r>
      <rPr>
        <rFont val="宋体"/>
        <charset val="-122"/>
        <family val="0"/>
        <sz val="9"/>
      </rPr>
      <t xml:space="preserve">  指对各种动物进行的病情诊断和医疗等活动。</t>
    </r>
  </si>
  <si>
    <r>
      <rPr>
        <rFont val="宋体"/>
        <charset val="-122"/>
        <family val="0"/>
        <sz val="9"/>
      </rPr>
      <t xml:space="preserve">    其他畜牧服务</t>
    </r>
  </si>
  <si>
    <r>
      <rPr>
        <rFont val="宋体"/>
        <charset val="-122"/>
        <family val="0"/>
        <sz val="9"/>
      </rPr>
      <t xml:space="preserve">  指除兽医以外的其他畜牧服务活动。</t>
    </r>
  </si>
  <si>
    <r>
      <rPr>
        <rFont val="宋体"/>
        <charset val="-122"/>
        <family val="0"/>
        <sz val="9"/>
      </rPr>
      <t xml:space="preserve">  渔业服务业</t>
    </r>
  </si>
  <si>
    <r>
      <rPr>
        <rFont val="宋体"/>
        <charset val="-122"/>
        <family val="0"/>
        <sz val="9"/>
      </rPr>
      <t xml:space="preserve">  指对渔业生产活动进行的各种支持性服务活动，包括鱼苗及鱼种场、水产良种场和水产增殖场等进行的活动。</t>
    </r>
  </si>
  <si>
    <r>
      <rPr>
        <rFont val="宋体"/>
        <charset val="-122"/>
        <family val="0"/>
        <sz val="9"/>
      </rPr>
      <t xml:space="preserve">  指对各种煤炭的开采、洗选、分级等生产活动。不包括煤制品的生产和煤炭勘探活动。</t>
    </r>
    <r>
      <rPr>
        <rFont val="Times New Roman"/>
        <family val="1"/>
        <sz val="9"/>
      </rPr>
      <t xml:space="preserve">                     </t>
    </r>
  </si>
  <si>
    <r>
      <rPr>
        <rFont val="宋体"/>
        <charset val="-122"/>
        <family val="0"/>
        <sz val="9"/>
      </rPr>
      <t xml:space="preserve">  烟煤和无烟煤的开采洗选</t>
    </r>
  </si>
  <si>
    <r>
      <rPr>
        <rFont val="宋体"/>
        <charset val="-122"/>
        <family val="0"/>
        <sz val="9"/>
      </rPr>
      <t xml:space="preserve">  指对地下或露天烟煤、无烟煤的开采，以及对采出的烟煤、无烟煤及其他硬煤进行洗选、分级等提高质量的活动。</t>
    </r>
  </si>
  <si>
    <r>
      <rPr>
        <rFont val="宋体"/>
        <charset val="-122"/>
        <family val="0"/>
        <sz val="9"/>
      </rPr>
      <t xml:space="preserve">  褐煤的开采洗选</t>
    </r>
  </si>
  <si>
    <r>
      <rPr>
        <rFont val="宋体"/>
        <charset val="-122"/>
        <family val="0"/>
        <sz val="9"/>
      </rPr>
      <t xml:space="preserve">  指对褐煤—煤化程度较低的一种燃料的地下或露天开采，以及对采出的褐煤进行洗选、分级等提高质量的活动。</t>
    </r>
  </si>
  <si>
    <r>
      <rPr>
        <rFont val="宋体"/>
        <charset val="-122"/>
        <family val="0"/>
        <sz val="9"/>
      </rPr>
      <t xml:space="preserve">  其他煤炭采选</t>
    </r>
  </si>
  <si>
    <r>
      <rPr>
        <rFont val="宋体"/>
        <charset val="-122"/>
        <family val="0"/>
        <sz val="9"/>
      </rPr>
      <t xml:space="preserve">  指对生长在古生代地层中的含碳量低、灰分高的煤炭资源（如石煤、泥炭）的开采。</t>
    </r>
  </si>
  <si>
    <r>
      <rPr>
        <rFont val="宋体"/>
        <charset val="-122"/>
        <family val="0"/>
        <sz val="9"/>
      </rPr>
      <t xml:space="preserve">  天然原油和天然气开采</t>
    </r>
  </si>
  <si>
    <r>
      <rPr>
        <rFont val="宋体"/>
        <charset val="-122"/>
        <family val="0"/>
        <sz val="9"/>
      </rPr>
      <t xml:space="preserve">  指在陆地或海洋，对天然原油、液态或气态天然气的开采，对煤矿瓦斯气（煤层气）的开采，为运输目的所进行的天然气液化和从天然气田气体中生产液化烃的活动。还包括对含沥青的页岩或油母页岩矿的开采，以及对焦油沙矿进行的同类作业。</t>
    </r>
  </si>
  <si>
    <r>
      <rPr>
        <rFont val="宋体"/>
        <charset val="-122"/>
        <family val="0"/>
        <sz val="9"/>
      </rPr>
      <t xml:space="preserve">  与石油和天然气开采有关的服务活动</t>
    </r>
  </si>
  <si>
    <r>
      <rPr>
        <rFont val="宋体"/>
        <charset val="-122"/>
        <family val="0"/>
        <sz val="9"/>
      </rPr>
      <t xml:space="preserve">  指为石油和天然气开采提供的服务活动。</t>
    </r>
  </si>
  <si>
    <r>
      <rPr>
        <rFont val="宋体"/>
        <charset val="-122"/>
        <family val="0"/>
        <sz val="9"/>
      </rPr>
      <t xml:space="preserve">  铁矿采选</t>
    </r>
  </si>
  <si>
    <r>
      <rPr>
        <rFont val="宋体"/>
        <charset val="-122"/>
        <family val="0"/>
        <sz val="9"/>
      </rPr>
      <t xml:space="preserve">  指对铁矿石的采矿、选矿活动。</t>
    </r>
  </si>
  <si>
    <r>
      <rPr>
        <rFont val="宋体"/>
        <charset val="-122"/>
        <family val="0"/>
        <sz val="9"/>
      </rPr>
      <t xml:space="preserve">  其他黑色金属矿采选</t>
    </r>
  </si>
  <si>
    <r>
      <rPr>
        <rFont val="宋体"/>
        <charset val="-122"/>
        <family val="0"/>
        <sz val="9"/>
      </rPr>
      <t xml:space="preserve">  指对锰矿、铬矿等钢铁工业黑色金属辅助原料矿的采矿、选矿活动。</t>
    </r>
  </si>
  <si>
    <r>
      <rPr>
        <rFont val="宋体"/>
        <charset val="-122"/>
        <family val="0"/>
        <sz val="9"/>
      </rPr>
      <t xml:space="preserve">  指对常用有色金属矿、贵金属矿，以及稀有稀土金属矿的开采、选矿活动。</t>
    </r>
  </si>
  <si>
    <r>
      <rPr>
        <rFont val="宋体"/>
        <charset val="-122"/>
        <family val="0"/>
        <sz val="9"/>
      </rPr>
      <t xml:space="preserve">  常用有色金属矿采选</t>
    </r>
  </si>
  <si>
    <r>
      <rPr>
        <rFont val="宋体"/>
        <charset val="-122"/>
        <family val="0"/>
        <sz val="9"/>
      </rPr>
      <t xml:space="preserve">  指对铜、铅锌、镍钴、锡、锑、铝、镁、汞、镉、铋等常用有色金属矿的采选活动。</t>
    </r>
  </si>
  <si>
    <r>
      <rPr>
        <rFont val="宋体"/>
        <charset val="-122"/>
        <family val="0"/>
        <sz val="9"/>
      </rPr>
      <t xml:space="preserve">    铜矿采选</t>
    </r>
  </si>
  <si>
    <r>
      <rPr>
        <rFont val="宋体"/>
        <charset val="-122"/>
        <family val="0"/>
        <sz val="9"/>
      </rPr>
      <t xml:space="preserve">    铅锌矿采选</t>
    </r>
  </si>
  <si>
    <r>
      <rPr>
        <rFont val="宋体"/>
        <charset val="-122"/>
        <family val="0"/>
        <sz val="9"/>
      </rPr>
      <t xml:space="preserve">    镍钴矿采选</t>
    </r>
  </si>
  <si>
    <r>
      <rPr>
        <rFont val="宋体"/>
        <charset val="-122"/>
        <family val="0"/>
        <sz val="9"/>
      </rPr>
      <t xml:space="preserve">    锡矿采选</t>
    </r>
  </si>
  <si>
    <r>
      <rPr>
        <rFont val="宋体"/>
        <charset val="-122"/>
        <family val="0"/>
        <sz val="9"/>
      </rPr>
      <t xml:space="preserve">    锑矿采选</t>
    </r>
  </si>
  <si>
    <r>
      <rPr>
        <rFont val="宋体"/>
        <charset val="-122"/>
        <family val="0"/>
        <sz val="9"/>
      </rPr>
      <t xml:space="preserve">    铝矿采选</t>
    </r>
  </si>
  <si>
    <r>
      <rPr>
        <rFont val="宋体"/>
        <charset val="-122"/>
        <family val="0"/>
        <sz val="9"/>
      </rPr>
      <t xml:space="preserve">    镁矿采选</t>
    </r>
  </si>
  <si>
    <r>
      <rPr>
        <rFont val="宋体"/>
        <charset val="-122"/>
        <family val="0"/>
        <sz val="9"/>
      </rPr>
      <t xml:space="preserve">    其他常用有色金属矿采选</t>
    </r>
  </si>
  <si>
    <r>
      <rPr>
        <rFont val="宋体"/>
        <charset val="-122"/>
        <family val="0"/>
        <sz val="9"/>
      </rPr>
      <t xml:space="preserve">  贵金属矿采选</t>
    </r>
  </si>
  <si>
    <r>
      <rPr>
        <rFont val="宋体"/>
        <charset val="-122"/>
        <family val="0"/>
        <sz val="9"/>
      </rPr>
      <t xml:space="preserve">  指对在地壳中含量极少的金、银和铂族元素（铂、铱、锇、钌、钯、铑）矿的采选活动。</t>
    </r>
  </si>
  <si>
    <r>
      <rPr>
        <rFont val="宋体"/>
        <charset val="-122"/>
        <family val="0"/>
        <sz val="9"/>
      </rPr>
      <t xml:space="preserve">    金矿采选</t>
    </r>
  </si>
  <si>
    <r>
      <rPr>
        <rFont val="宋体"/>
        <charset val="-122"/>
        <family val="0"/>
        <sz val="9"/>
      </rPr>
      <t xml:space="preserve">    银矿采选</t>
    </r>
  </si>
  <si>
    <r>
      <rPr>
        <rFont val="宋体"/>
        <charset val="-122"/>
        <family val="0"/>
        <sz val="9"/>
      </rPr>
      <t xml:space="preserve">    其他贵金属矿采选</t>
    </r>
  </si>
  <si>
    <r>
      <rPr>
        <rFont val="宋体"/>
        <charset val="-122"/>
        <family val="0"/>
        <sz val="9"/>
      </rPr>
      <t xml:space="preserve">  稀有稀土金属矿采选</t>
    </r>
  </si>
  <si>
    <r>
      <rPr>
        <rFont val="宋体"/>
        <charset val="-122"/>
        <family val="0"/>
        <sz val="9"/>
      </rPr>
      <t xml:space="preserve">  指对在自然界中含量较小，分布稀散或难以从原料中提取，以及研究和使用较晚的金属矿开采、精选活动。</t>
    </r>
  </si>
  <si>
    <r>
      <rPr>
        <rFont val="宋体"/>
        <charset val="-122"/>
        <family val="0"/>
        <sz val="9"/>
      </rPr>
      <t xml:space="preserve">    钨钼矿采选</t>
    </r>
  </si>
  <si>
    <r>
      <rPr>
        <rFont val="宋体"/>
        <charset val="-122"/>
        <family val="0"/>
        <sz val="9"/>
      </rPr>
      <t xml:space="preserve">    稀土金属矿采选</t>
    </r>
  </si>
  <si>
    <r>
      <rPr>
        <rFont val="宋体"/>
        <charset val="-122"/>
        <family val="0"/>
        <sz val="9"/>
      </rPr>
      <t xml:space="preserve">  指镧系金属及与镧系金属性质相近的金属矿的采选活动。</t>
    </r>
  </si>
  <si>
    <r>
      <rPr>
        <rFont val="宋体"/>
        <charset val="-122"/>
        <family val="0"/>
        <sz val="9"/>
      </rPr>
      <t xml:space="preserve">    放射性金属矿采选</t>
    </r>
  </si>
  <si>
    <r>
      <rPr>
        <rFont val="宋体"/>
        <charset val="-122"/>
        <family val="0"/>
        <sz val="9"/>
      </rPr>
      <t xml:space="preserve">  指对主要含钍和铀的矿石开采，以及对这类矿石的精选活动。</t>
    </r>
  </si>
  <si>
    <r>
      <rPr>
        <rFont val="宋体"/>
        <charset val="-122"/>
        <family val="0"/>
        <sz val="9"/>
      </rPr>
      <t xml:space="preserve">    其他稀有金属矿采选</t>
    </r>
  </si>
  <si>
    <r>
      <rPr>
        <rFont val="宋体"/>
        <charset val="-122"/>
        <family val="0"/>
        <sz val="9"/>
      </rPr>
      <t xml:space="preserve">  指对稀有轻金属矿、稀有高熔点金属矿、稀散金属矿，以及其他稀有金属矿的采选活动。</t>
    </r>
  </si>
  <si>
    <r>
      <t>非金属矿采选业</t>
    </r>
    <r>
      <rPr>
        <rFont val="Times New Roman"/>
        <family val="1"/>
        <b val="true"/>
        <sz val="9"/>
      </rPr>
      <t xml:space="preserve">  </t>
    </r>
  </si>
  <si>
    <r>
      <rPr>
        <rFont val="宋体"/>
        <charset val="-122"/>
        <family val="0"/>
        <sz val="9"/>
      </rPr>
      <t xml:space="preserve">  土砂石开采</t>
    </r>
  </si>
  <si>
    <r>
      <rPr>
        <rFont val="宋体"/>
        <charset val="-122"/>
        <family val="0"/>
        <sz val="9"/>
      </rPr>
      <t xml:space="preserve">    石灰石、石膏开采</t>
    </r>
  </si>
  <si>
    <r>
      <rPr>
        <rFont val="宋体"/>
        <charset val="-122"/>
        <family val="0"/>
        <sz val="9"/>
      </rPr>
      <t xml:space="preserve">  指对石灰、石膏，以及石灰石助熔剂的开采活动。</t>
    </r>
  </si>
  <si>
    <r>
      <rPr>
        <rFont val="宋体"/>
        <charset val="-122"/>
        <family val="0"/>
        <sz val="9"/>
      </rPr>
      <t xml:space="preserve">    建筑装饰用石开采</t>
    </r>
  </si>
  <si>
    <r>
      <rPr>
        <rFont val="宋体"/>
        <charset val="-122"/>
        <family val="0"/>
        <sz val="9"/>
      </rPr>
      <t xml:space="preserve">  指通常在采石场切制加工各种纪念碑及建筑用石料的活动。</t>
    </r>
  </si>
  <si>
    <r>
      <rPr>
        <rFont val="宋体"/>
        <charset val="-122"/>
        <family val="0"/>
        <sz val="9"/>
      </rPr>
      <t xml:space="preserve">    耐火土石开采</t>
    </r>
  </si>
  <si>
    <r>
      <rPr>
        <rFont val="宋体"/>
        <charset val="-122"/>
        <family val="0"/>
        <sz val="9"/>
      </rPr>
      <t xml:space="preserve">    粘土及其他土砂石开采</t>
    </r>
  </si>
  <si>
    <r>
      <rPr>
        <rFont val="宋体"/>
        <charset val="-122"/>
        <family val="0"/>
        <sz val="9"/>
      </rPr>
      <t xml:space="preserve">  指用于建筑、陶瓷等方面的粘土开采，以及用于铺路和建筑材料的石料、石渣、砂的开采。</t>
    </r>
  </si>
  <si>
    <r>
      <rPr>
        <rFont val="宋体"/>
        <charset val="-122"/>
        <family val="0"/>
        <sz val="9"/>
      </rPr>
      <t xml:space="preserve">  化学矿采选</t>
    </r>
  </si>
  <si>
    <r>
      <rPr>
        <rFont val="宋体"/>
        <charset val="-122"/>
        <family val="0"/>
        <sz val="9"/>
      </rPr>
      <t xml:space="preserve">  指对化学矿和肥料矿物的开采。</t>
    </r>
  </si>
  <si>
    <r>
      <rPr>
        <rFont val="宋体"/>
        <charset val="-122"/>
        <family val="0"/>
        <sz val="9"/>
      </rPr>
      <t xml:space="preserve">  采盐</t>
    </r>
  </si>
  <si>
    <r>
      <rPr>
        <rFont val="宋体"/>
        <charset val="-122"/>
        <family val="0"/>
        <sz val="9"/>
      </rPr>
      <t xml:space="preserve">  指通过以海水（含沿海浅层地下卤水）为原料晒制，或以钻井汲取地下卤水，或注水溶解地下岩盐为原料，经真空蒸发干燥，以及从盐湖中采掘制成的以氯化钠为主要成分的盐产品的开采、粉碎和筛选活动。</t>
    </r>
  </si>
  <si>
    <r>
      <rPr>
        <rFont val="宋体"/>
        <charset val="-122"/>
        <family val="0"/>
        <sz val="9"/>
      </rPr>
      <t xml:space="preserve">  石棉及其他非金属矿采选</t>
    </r>
  </si>
  <si>
    <r>
      <rPr>
        <rFont val="宋体"/>
        <charset val="-122"/>
        <family val="0"/>
        <sz val="9"/>
      </rPr>
      <t xml:space="preserve">  指对石棉、石墨、贵重宝石、金刚石、天然磨料，以及其他矿石的开采。</t>
    </r>
  </si>
  <si>
    <r>
      <rPr>
        <rFont val="宋体"/>
        <charset val="-122"/>
        <family val="0"/>
        <sz val="9"/>
      </rPr>
      <t xml:space="preserve">    石棉、云母矿采选</t>
    </r>
  </si>
  <si>
    <r>
      <rPr>
        <rFont val="宋体"/>
        <charset val="-122"/>
        <family val="0"/>
        <sz val="9"/>
      </rPr>
      <t xml:space="preserve">    石墨、滑石采选</t>
    </r>
  </si>
  <si>
    <r>
      <rPr>
        <rFont val="宋体"/>
        <charset val="-122"/>
        <family val="0"/>
        <sz val="9"/>
      </rPr>
      <t xml:space="preserve">  指对天然石墨、</t>
    </r>
    <r>
      <rPr>
        <rFont val="宋体"/>
        <charset val="-122"/>
        <family val="0"/>
        <sz val="9"/>
      </rPr>
      <t xml:space="preserve"> 滑石的开采。</t>
    </r>
  </si>
  <si>
    <r>
      <rPr>
        <rFont val="宋体"/>
        <charset val="-122"/>
        <family val="0"/>
        <sz val="9"/>
      </rPr>
      <t xml:space="preserve">    宝石、玉石开采</t>
    </r>
  </si>
  <si>
    <r>
      <rPr>
        <rFont val="宋体"/>
        <charset val="-122"/>
        <family val="0"/>
        <sz val="9"/>
      </rPr>
      <t xml:space="preserve">  指对贵重宝石、玉石、彩石的开采。</t>
    </r>
  </si>
  <si>
    <r>
      <rPr>
        <rFont val="宋体"/>
        <charset val="-122"/>
        <family val="0"/>
        <sz val="9"/>
      </rPr>
      <t xml:space="preserve">    其他非金属矿采选</t>
    </r>
  </si>
  <si>
    <r>
      <t>其他采矿业</t>
    </r>
    <r>
      <rPr>
        <rFont val="Times New Roman"/>
        <family val="1"/>
        <b val="true"/>
        <sz val="9"/>
      </rPr>
      <t xml:space="preserve">  </t>
    </r>
  </si>
  <si>
    <r>
      <rPr>
        <rFont val="宋体"/>
        <charset val="-122"/>
        <family val="0"/>
        <sz val="9"/>
      </rPr>
      <t xml:space="preserve">  其他采矿业</t>
    </r>
    <r>
      <rPr>
        <rFont val="Times New Roman"/>
        <family val="1"/>
        <sz val="9"/>
      </rPr>
      <t xml:space="preserve">  </t>
    </r>
  </si>
  <si>
    <r>
      <rPr>
        <rFont val="宋体"/>
        <charset val="-122"/>
        <family val="0"/>
        <sz val="9"/>
      </rPr>
      <t xml:space="preserve">  指对地热资源、矿泉水资源以及其他未列明的自然资源的开采活动。但不包括利用这些资源建立的热电厂和矿泉水厂。</t>
    </r>
  </si>
  <si>
    <r>
      <rPr>
        <rFont val="宋体"/>
        <charset val="-122"/>
        <family val="0"/>
        <sz val="9"/>
      </rPr>
      <t xml:space="preserve">  本门类包括</t>
    </r>
    <r>
      <rPr>
        <rFont val="Times New Roman"/>
        <family val="1"/>
        <sz val="9"/>
      </rPr>
      <t>13</t>
    </r>
    <r>
      <rPr>
        <rFont val="宋体"/>
        <charset val="-122"/>
        <family val="0"/>
        <sz val="9"/>
      </rPr>
      <t>—</t>
    </r>
    <r>
      <rPr>
        <rFont val="Times New Roman"/>
        <family val="1"/>
        <sz val="9"/>
      </rPr>
      <t>43</t>
    </r>
    <r>
      <rPr>
        <rFont val="宋体"/>
        <charset val="-122"/>
        <family val="0"/>
        <sz val="9"/>
      </rPr>
      <t>大类。指经物理变化或化学变化后成为了新的产品，不论是动力机械制造，还是手工制做；也不论产品是批发销售，还是零售，均视为制造。</t>
    </r>
  </si>
  <si>
    <r>
      <rPr>
        <rFont val="宋体"/>
        <charset val="-122"/>
        <family val="0"/>
        <sz val="9"/>
      </rPr>
      <t xml:space="preserve">  建筑物中的各种制成品零部件的生产应视为制造。但在建筑预制品工地，把主要部件组装成桥梁、仓库设备、铁路与高架公路、升降机与电梯、管道设备、喷水设备、暖气设备、通风设备与空调设备，照明与安装电线等组装活动，以及建筑物的装置，均列为建筑活动。</t>
    </r>
  </si>
  <si>
    <r>
      <rPr>
        <rFont val="宋体"/>
        <charset val="-122"/>
        <family val="0"/>
        <sz val="9"/>
      </rPr>
      <t xml:space="preserve">  在主要从事产品制造的企业（单位）中，为产品销售而进行的机械与设备的组装与安装活动，应按其主要活动归类。</t>
    </r>
  </si>
  <si>
    <r>
      <rPr>
        <rFont val="宋体"/>
        <charset val="-122"/>
        <family val="0"/>
        <sz val="9"/>
      </rPr>
      <t xml:space="preserve">  指直接以农、林、牧</t>
    </r>
    <r>
      <rPr>
        <rFont val="宋体"/>
        <charset val="-122"/>
        <family val="0"/>
        <sz val="9"/>
      </rPr>
      <t xml:space="preserve"> 、渔业产品为原料进行的谷物磨制、饲料加工、植物油和制糖加工、屠宰及肉类加工、水产品加工，以及蔬菜、水果和坚果等食品的加工活动。</t>
    </r>
  </si>
  <si>
    <r>
      <rPr>
        <rFont val="宋体"/>
        <charset val="-122"/>
        <family val="0"/>
        <sz val="9"/>
      </rPr>
      <t xml:space="preserve">  谷物磨制</t>
    </r>
  </si>
  <si>
    <r>
      <rPr>
        <rFont val="宋体"/>
        <charset val="-122"/>
        <family val="0"/>
        <sz val="9"/>
      </rPr>
      <t xml:space="preserve">  也称粮食加工，指将稻子、谷子、小麦、高粱等谷物去壳、碾磨及精加工的生产活动。</t>
    </r>
  </si>
  <si>
    <r>
      <rPr>
        <rFont val="宋体"/>
        <charset val="-122"/>
        <family val="0"/>
        <sz val="9"/>
      </rPr>
      <t xml:space="preserve">  饲料加工</t>
    </r>
    <r>
      <rPr>
        <rFont val="Times New Roman"/>
        <family val="1"/>
        <sz val="9"/>
      </rPr>
      <t xml:space="preserve">     </t>
    </r>
  </si>
  <si>
    <r>
      <rPr>
        <rFont val="宋体"/>
        <charset val="-122"/>
        <family val="0"/>
        <sz val="9"/>
      </rPr>
      <t xml:space="preserve">  指适用于农场、农户饲养牲畜、家禽的饲料生产加工活动，包括宠物食品的生产。</t>
    </r>
  </si>
  <si>
    <r>
      <rPr>
        <rFont val="宋体"/>
        <charset val="-122"/>
        <family val="0"/>
        <sz val="9"/>
      </rPr>
      <t xml:space="preserve">  植物油加工</t>
    </r>
  </si>
  <si>
    <r>
      <rPr>
        <rFont val="宋体"/>
        <charset val="-122"/>
        <family val="0"/>
        <sz val="9"/>
      </rPr>
      <t xml:space="preserve">    食用植物油加工</t>
    </r>
  </si>
  <si>
    <r>
      <rPr>
        <rFont val="宋体"/>
        <charset val="-122"/>
        <family val="0"/>
        <sz val="9"/>
      </rPr>
      <t xml:space="preserve">  指用各种食用植物油料生产油脂，以及精制食用油的加工活动。</t>
    </r>
  </si>
  <si>
    <r>
      <rPr>
        <rFont val="宋体"/>
        <charset val="-122"/>
        <family val="0"/>
        <sz val="9"/>
      </rPr>
      <t xml:space="preserve">    非食用植物油加工</t>
    </r>
  </si>
  <si>
    <r>
      <rPr>
        <rFont val="宋体"/>
        <charset val="-122"/>
        <family val="0"/>
        <sz val="9"/>
      </rPr>
      <t xml:space="preserve">  指用各种非食用植物油料生产油脂的活动。</t>
    </r>
    <r>
      <rPr>
        <rFont val="Times New Roman"/>
        <family val="1"/>
        <sz val="9"/>
      </rPr>
      <t xml:space="preserve">                      </t>
    </r>
  </si>
  <si>
    <r>
      <rPr>
        <rFont val="宋体"/>
        <charset val="-122"/>
        <family val="0"/>
        <sz val="9"/>
      </rPr>
      <t xml:space="preserve">  制糖</t>
    </r>
  </si>
  <si>
    <r>
      <rPr>
        <rFont val="宋体"/>
        <charset val="-122"/>
        <family val="0"/>
        <sz val="9"/>
      </rPr>
      <t xml:space="preserve">  指以甘蔗、甜菜为原料制作成品糖，以及以原糖或砂糖为原料精炼加工各种精制糖的生产活动。</t>
    </r>
  </si>
  <si>
    <r>
      <rPr>
        <rFont val="宋体"/>
        <charset val="-122"/>
        <family val="0"/>
        <sz val="9"/>
      </rPr>
      <t xml:space="preserve">  屠宰及肉类加工</t>
    </r>
  </si>
  <si>
    <r>
      <rPr>
        <rFont val="宋体"/>
        <charset val="-122"/>
        <family val="0"/>
        <sz val="9"/>
      </rPr>
      <t xml:space="preserve">    畜禽屠宰</t>
    </r>
  </si>
  <si>
    <r>
      <rPr>
        <rFont val="宋体"/>
        <charset val="-122"/>
        <family val="0"/>
        <sz val="9"/>
      </rPr>
      <t xml:space="preserve">  指对各种畜、禽进行宰杀，以及鲜肉冷冻等保鲜活动，但不包括商业冷藏。</t>
    </r>
  </si>
  <si>
    <r>
      <rPr>
        <rFont val="宋体"/>
        <charset val="-122"/>
        <family val="0"/>
        <sz val="9"/>
      </rPr>
      <t xml:space="preserve">    肉制品及副产品加工</t>
    </r>
  </si>
  <si>
    <r>
      <rPr>
        <rFont val="宋体"/>
        <charset val="-122"/>
        <family val="0"/>
        <sz val="9"/>
      </rPr>
      <t xml:space="preserve">  指主要以各种畜、禽肉为原料加工成熟肉制品，以及畜、禽副产品的加工活动。</t>
    </r>
  </si>
  <si>
    <r>
      <rPr>
        <rFont val="宋体"/>
        <charset val="-122"/>
        <family val="0"/>
        <sz val="9"/>
      </rPr>
      <t xml:space="preserve">  水产品加工</t>
    </r>
  </si>
  <si>
    <r>
      <rPr>
        <rFont val="宋体"/>
        <charset val="-122"/>
        <family val="0"/>
        <sz val="9"/>
      </rPr>
      <t xml:space="preserve">    水产品冷冻加工</t>
    </r>
  </si>
  <si>
    <r>
      <rPr>
        <rFont val="宋体"/>
        <charset val="-122"/>
        <family val="0"/>
        <sz val="9"/>
      </rPr>
      <t xml:space="preserve">  指为了保鲜，将海水、淡水养殖或捕捞的鱼类、虾类、甲壳类、贝类、藻类等水生动物或植物进行的冷冻加工活动，但不包括商业冷藏。</t>
    </r>
  </si>
  <si>
    <r>
      <rPr>
        <rFont val="宋体"/>
        <charset val="-122"/>
        <family val="0"/>
        <sz val="9"/>
      </rPr>
      <t xml:space="preserve">    鱼糜制品及水产品干腌制加工</t>
    </r>
  </si>
  <si>
    <r>
      <rPr>
        <rFont val="宋体"/>
        <charset val="-122"/>
        <family val="0"/>
        <sz val="9"/>
      </rPr>
      <t xml:space="preserve">  指鱼糜制品制造，以及水产品的干制、腌制等加工活动。</t>
    </r>
  </si>
  <si>
    <r>
      <rPr>
        <rFont val="宋体"/>
        <charset val="-122"/>
        <family val="0"/>
        <sz val="9"/>
      </rPr>
      <t xml:space="preserve">    水产饲料制造</t>
    </r>
  </si>
  <si>
    <r>
      <rPr>
        <rFont val="宋体"/>
        <charset val="-122"/>
        <family val="0"/>
        <sz val="9"/>
      </rPr>
      <t xml:space="preserve">  指用鱼骨、虾、贝等水产品生产饲料的加工活动。</t>
    </r>
  </si>
  <si>
    <r>
      <rPr>
        <rFont val="宋体"/>
        <charset val="-122"/>
        <family val="0"/>
        <sz val="9"/>
      </rPr>
      <t xml:space="preserve">    鱼油提取及制品的制造</t>
    </r>
  </si>
  <si>
    <r>
      <rPr>
        <rFont val="宋体"/>
        <charset val="-122"/>
        <family val="0"/>
        <sz val="9"/>
      </rPr>
      <t xml:space="preserve">  指从鱼或鱼肝中提取油脂，并生产制品的活动。</t>
    </r>
  </si>
  <si>
    <r>
      <rPr>
        <rFont val="宋体"/>
        <charset val="-122"/>
        <family val="0"/>
        <sz val="9"/>
      </rPr>
      <t xml:space="preserve">    其他水产品加工</t>
    </r>
  </si>
  <si>
    <r>
      <rPr>
        <rFont val="宋体"/>
        <charset val="-122"/>
        <family val="0"/>
        <sz val="9"/>
      </rPr>
      <t xml:space="preserve">  指对水生动物或水生植物进行的其他加工活动。</t>
    </r>
  </si>
  <si>
    <r>
      <rPr>
        <rFont val="宋体"/>
        <charset val="-122"/>
        <family val="0"/>
        <sz val="9"/>
      </rPr>
      <t xml:space="preserve">  蔬菜、水果和坚果加工</t>
    </r>
  </si>
  <si>
    <r>
      <rPr>
        <rFont val="宋体"/>
        <charset val="-122"/>
        <family val="0"/>
        <sz val="9"/>
      </rPr>
      <t xml:space="preserve">  指用脱水、干制、冷藏、冷冻、腌制等方法，对蔬菜、水果、坚果的加工活动。</t>
    </r>
  </si>
  <si>
    <r>
      <rPr>
        <rFont val="宋体"/>
        <charset val="-122"/>
        <family val="0"/>
        <sz val="9"/>
      </rPr>
      <t xml:space="preserve">  其他农副食品加工</t>
    </r>
    <r>
      <rPr>
        <rFont val="Times New Roman"/>
        <family val="1"/>
        <sz val="9"/>
      </rPr>
      <t xml:space="preserve">  </t>
    </r>
  </si>
  <si>
    <r>
      <rPr>
        <rFont val="宋体"/>
        <charset val="-122"/>
        <family val="0"/>
        <sz val="9"/>
      </rPr>
      <t xml:space="preserve">    淀粉及淀粉制品的制造</t>
    </r>
  </si>
  <si>
    <r>
      <rPr>
        <rFont val="宋体"/>
        <charset val="-122"/>
        <family val="0"/>
        <sz val="9"/>
      </rPr>
      <t xml:space="preserve">  指用玉米、薯类、豆类及其他植物原料制作淀粉和淀粉制品的生产。还包括以淀粉为原料，经酶法或酸法转换得到的糖品生产。</t>
    </r>
  </si>
  <si>
    <r>
      <rPr>
        <rFont val="宋体"/>
        <charset val="-122"/>
        <family val="0"/>
        <sz val="9"/>
      </rPr>
      <t xml:space="preserve">    豆制品制造</t>
    </r>
  </si>
  <si>
    <r>
      <rPr>
        <rFont val="宋体"/>
        <charset val="-122"/>
        <family val="0"/>
        <sz val="9"/>
      </rPr>
      <t xml:space="preserve">  指以大豆、小豆、绿豆、豌豆、蚕豆等豆类为主要原料，经加工制成食品的活动。</t>
    </r>
  </si>
  <si>
    <r>
      <rPr>
        <rFont val="宋体"/>
        <charset val="-122"/>
        <family val="0"/>
        <sz val="9"/>
      </rPr>
      <t xml:space="preserve">    蛋品加工</t>
    </r>
    <r>
      <rPr>
        <rFont val="Times New Roman"/>
        <family val="1"/>
        <sz val="9"/>
      </rPr>
      <t xml:space="preserve">      </t>
    </r>
  </si>
  <si>
    <r>
      <rPr>
        <rFont val="宋体"/>
        <charset val="-122"/>
        <family val="0"/>
        <sz val="9"/>
      </rPr>
      <t xml:space="preserve">    其他未列明的农副食品加工</t>
    </r>
    <r>
      <rPr>
        <rFont val="Times New Roman"/>
        <family val="1"/>
        <sz val="9"/>
      </rPr>
      <t xml:space="preserve">  </t>
    </r>
  </si>
  <si>
    <r>
      <rPr>
        <rFont val="宋体"/>
        <charset val="-122"/>
        <family val="0"/>
        <sz val="9"/>
      </rPr>
      <t xml:space="preserve">  焙烤食品制造</t>
    </r>
  </si>
  <si>
    <r>
      <rPr>
        <rFont val="宋体"/>
        <charset val="-122"/>
        <family val="0"/>
        <sz val="9"/>
      </rPr>
      <t xml:space="preserve">    糕点、面包制造</t>
    </r>
  </si>
  <si>
    <r>
      <rPr>
        <rFont val="宋体"/>
        <charset val="-122"/>
        <family val="0"/>
        <sz val="9"/>
      </rPr>
      <t xml:space="preserve">  指用米粉、面粉、豆粉为主要原料，配以辅料，经成型、油炸、烤制而成的各种食品生产活动。</t>
    </r>
  </si>
  <si>
    <r>
      <rPr>
        <rFont val="宋体"/>
        <charset val="-122"/>
        <family val="0"/>
        <sz val="9"/>
      </rPr>
      <t xml:space="preserve">    饼干及其他焙烤食品制造</t>
    </r>
  </si>
  <si>
    <r>
      <rPr>
        <rFont val="宋体"/>
        <charset val="-122"/>
        <family val="0"/>
        <sz val="9"/>
      </rPr>
      <t xml:space="preserve">  指以面粉（或糯米粉）、糖和油脂为主要原料，配以奶制品、蛋制品等辅料，经成型、焙烤制成的各种饼干，以及用薯类、谷类、豆类等制做的各种易于保存、食用方便、口感酥脆的焙烤食品生产活动。</t>
    </r>
  </si>
  <si>
    <r>
      <rPr>
        <rFont val="宋体"/>
        <charset val="-122"/>
        <family val="0"/>
        <sz val="9"/>
      </rPr>
      <t xml:space="preserve">  糖果、巧克力及蜜饯制造</t>
    </r>
  </si>
  <si>
    <r>
      <rPr>
        <rFont val="宋体"/>
        <charset val="-122"/>
        <family val="0"/>
        <sz val="9"/>
      </rPr>
      <t xml:space="preserve">    糖果、巧克力制造</t>
    </r>
  </si>
  <si>
    <r>
      <rPr>
        <rFont val="宋体"/>
        <charset val="-122"/>
        <family val="0"/>
        <sz val="9"/>
      </rPr>
      <t xml:space="preserve">  指以砂糖、葡萄糖浆或饴糖为主要原料，加入油脂、乳品、胶体、果仁、香料、食用色素等辅料制成甜味块状食品</t>
    </r>
    <r>
      <rPr>
        <rFont val="Times New Roman"/>
        <family val="1"/>
        <sz val="9"/>
      </rPr>
      <t>--</t>
    </r>
    <r>
      <rPr>
        <rFont val="宋体"/>
        <charset val="-122"/>
        <family val="0"/>
        <sz val="9"/>
      </rPr>
      <t>糖果的制造，以及以浆状、粉状或块状可可、可可脂、可可酱、砂糖、乳品等为主要原料加工制成巧克力及巧克力制品的生产活动。</t>
    </r>
  </si>
  <si>
    <r>
      <rPr>
        <rFont val="宋体"/>
        <charset val="-122"/>
        <family val="0"/>
        <sz val="9"/>
      </rPr>
      <t xml:space="preserve">    蜜饯制作</t>
    </r>
  </si>
  <si>
    <r>
      <rPr>
        <rFont val="宋体"/>
        <charset val="-122"/>
        <family val="0"/>
        <sz val="9"/>
      </rPr>
      <t xml:space="preserve">  指以水果、坚果、果皮及植物的其他部分制做糖果蜜饯的活动。</t>
    </r>
  </si>
  <si>
    <r>
      <rPr>
        <rFont val="宋体"/>
        <charset val="-122"/>
        <family val="0"/>
        <sz val="9"/>
      </rPr>
      <t xml:space="preserve">  方便食品制造</t>
    </r>
  </si>
  <si>
    <r>
      <rPr>
        <rFont val="宋体"/>
        <charset val="-122"/>
        <family val="0"/>
        <sz val="9"/>
      </rPr>
      <t xml:space="preserve">  指以米、面、杂粮等为主要原料加工制成，只需简单烹制即可作为主食的具有食用简便、携带方便，易于储藏等特点的食品制造。</t>
    </r>
  </si>
  <si>
    <r>
      <rPr>
        <rFont val="宋体"/>
        <charset val="-122"/>
        <family val="0"/>
        <sz val="9"/>
      </rPr>
      <t xml:space="preserve">    米、面制品制造</t>
    </r>
  </si>
  <si>
    <r>
      <rPr>
        <rFont val="宋体"/>
        <charset val="-122"/>
        <family val="0"/>
        <sz val="9"/>
      </rPr>
      <t xml:space="preserve">  指以大米、面粉为原料，经粗加工制成，未经烹制的各类米面制品的生产。</t>
    </r>
  </si>
  <si>
    <r>
      <rPr>
        <rFont val="宋体"/>
        <charset val="-122"/>
        <family val="0"/>
        <sz val="9"/>
      </rPr>
      <t xml:space="preserve">    速冻食品制造</t>
    </r>
  </si>
  <si>
    <r>
      <rPr>
        <rFont val="宋体"/>
        <charset val="-122"/>
        <family val="0"/>
        <sz val="9"/>
      </rPr>
      <t xml:space="preserve">  指以米、面、杂粮等为主要原料，以肉类、蔬菜等为辅料，经加工制成各类烹制或未烹制的主食品后，立即采用速冻工艺制成的，并可以在冻结条件下运输储存及销售的各类主食品的生产。</t>
    </r>
  </si>
  <si>
    <r>
      <rPr>
        <rFont val="宋体"/>
        <charset val="-122"/>
        <family val="0"/>
        <sz val="9"/>
      </rPr>
      <t xml:space="preserve">    方便面及其他方便食品制造</t>
    </r>
  </si>
  <si>
    <r>
      <rPr>
        <rFont val="宋体"/>
        <charset val="-122"/>
        <family val="0"/>
        <sz val="9"/>
      </rPr>
      <t xml:space="preserve">  指用米、面、杂粮等为主要原料加工制成的，可以直接食用或只需简单蒸煮即可作为主食的各种方便主食品的生产，以及其他未列明的方便食品制造。</t>
    </r>
  </si>
  <si>
    <r>
      <rPr>
        <rFont val="宋体"/>
        <charset val="-122"/>
        <family val="0"/>
        <sz val="9"/>
      </rPr>
      <t xml:space="preserve">  液体乳及乳制品制造</t>
    </r>
  </si>
  <si>
    <r>
      <rPr>
        <rFont val="宋体"/>
        <charset val="-122"/>
        <family val="0"/>
        <sz val="9"/>
      </rPr>
      <t xml:space="preserve">  指以牛、羊乳为主要原料，经分级、净乳、杀菌、浓缩、干燥、发酵等加工制成的液体乳及乳制品的生产。</t>
    </r>
  </si>
  <si>
    <r>
      <rPr>
        <rFont val="宋体"/>
        <charset val="-122"/>
        <family val="0"/>
        <sz val="9"/>
      </rPr>
      <t xml:space="preserve">  罐头制造</t>
    </r>
  </si>
  <si>
    <r>
      <rPr>
        <rFont val="宋体"/>
        <charset val="-122"/>
        <family val="0"/>
        <sz val="9"/>
      </rPr>
      <t xml:space="preserve">  指将符合要求的原料经处理、分选、修整、烹调（或不经烹调）、装罐、密封、杀菌、冷却（或无菌包装）等罐头生产工艺制成的，达到商业无菌要求，并可以在常温下储存的罐头食品的制造。</t>
    </r>
  </si>
  <si>
    <r>
      <rPr>
        <rFont val="宋体"/>
        <charset val="-122"/>
        <family val="0"/>
        <sz val="9"/>
      </rPr>
      <t xml:space="preserve">    肉、禽类罐头制造</t>
    </r>
  </si>
  <si>
    <r>
      <rPr>
        <rFont val="宋体"/>
        <charset val="-122"/>
        <family val="0"/>
        <sz val="9"/>
      </rPr>
      <t xml:space="preserve">    水产品罐头制造</t>
    </r>
  </si>
  <si>
    <r>
      <rPr>
        <rFont val="宋体"/>
        <charset val="-122"/>
        <family val="0"/>
        <sz val="9"/>
      </rPr>
      <t xml:space="preserve">    蔬菜、水果罐头制造</t>
    </r>
  </si>
  <si>
    <r>
      <rPr>
        <rFont val="宋体"/>
        <charset val="-122"/>
        <family val="0"/>
        <sz val="9"/>
      </rPr>
      <t xml:space="preserve">    其他罐头食品制造</t>
    </r>
  </si>
  <si>
    <r>
      <rPr>
        <rFont val="宋体"/>
        <charset val="-122"/>
        <family val="0"/>
        <sz val="9"/>
      </rPr>
      <t xml:space="preserve">  指婴幼儿辅助食品类罐头、米面食品类罐头（如八宝粥罐头等）及上述未列明的罐头食品制造。</t>
    </r>
  </si>
  <si>
    <r>
      <rPr>
        <rFont val="宋体"/>
        <charset val="-122"/>
        <family val="0"/>
        <sz val="9"/>
      </rPr>
      <t xml:space="preserve">  调味品、发酵制品制造</t>
    </r>
  </si>
  <si>
    <r>
      <rPr>
        <rFont val="宋体"/>
        <charset val="-122"/>
        <family val="0"/>
        <sz val="9"/>
      </rPr>
      <t xml:space="preserve">    味精制造</t>
    </r>
  </si>
  <si>
    <r>
      <rPr>
        <rFont val="宋体"/>
        <charset val="-122"/>
        <family val="0"/>
        <sz val="9"/>
      </rPr>
      <t xml:space="preserve">  指以淀粉或糖蜜为原料，经微生物发酵、提取、精制等工序制成的，谷氨酸钠含量在</t>
    </r>
    <r>
      <rPr>
        <rFont val="Times New Roman"/>
        <family val="1"/>
        <sz val="9"/>
      </rPr>
      <t>80</t>
    </r>
    <r>
      <rPr>
        <rFont val="宋体"/>
        <charset val="-122"/>
        <family val="0"/>
        <sz val="9"/>
      </rPr>
      <t>％及以上的鲜味剂的生产。</t>
    </r>
  </si>
  <si>
    <r>
      <rPr>
        <rFont val="宋体"/>
        <charset val="-122"/>
        <family val="0"/>
        <sz val="9"/>
      </rPr>
      <t xml:space="preserve">    酱油、食醋及类似制品的制造</t>
    </r>
  </si>
  <si>
    <r>
      <rPr>
        <rFont val="宋体"/>
        <charset val="-122"/>
        <family val="0"/>
        <sz val="9"/>
      </rPr>
      <t xml:space="preserve">  指以大豆和（或）脱脂大豆，小麦和（或）麸皮为原料，经微生物发酵制成的各种酱油和酱类制品，以及以单独或混合使用各种含有淀粉、糖的物料或酒精，经微生物发酵酿制的酸性调味品的生产。</t>
    </r>
  </si>
  <si>
    <r>
      <rPr>
        <rFont val="宋体"/>
        <charset val="-122"/>
        <family val="0"/>
        <sz val="9"/>
      </rPr>
      <t xml:space="preserve">    其他调味品、发酵制品制造</t>
    </r>
  </si>
  <si>
    <r>
      <rPr>
        <rFont val="宋体"/>
        <charset val="-122"/>
        <family val="0"/>
        <sz val="9"/>
      </rPr>
      <t xml:space="preserve">  其他食品制造</t>
    </r>
  </si>
  <si>
    <r>
      <rPr>
        <rFont val="宋体"/>
        <charset val="-122"/>
        <family val="0"/>
        <sz val="9"/>
      </rPr>
      <t xml:space="preserve">    营养、保健食品制造</t>
    </r>
  </si>
  <si>
    <r>
      <rPr>
        <rFont val="宋体"/>
        <charset val="-122"/>
        <family val="0"/>
        <sz val="9"/>
      </rPr>
      <t xml:space="preserve">  指主要适宜伤残者、老年人的，含肉、鱼、水果、蔬菜、奶、麦精、钙等均质配料的营养、保健食品的生产。</t>
    </r>
  </si>
  <si>
    <r>
      <rPr>
        <rFont val="宋体"/>
        <charset val="-122"/>
        <family val="0"/>
        <sz val="9"/>
      </rPr>
      <t xml:space="preserve">    冷冻饮品及食用冰制造</t>
    </r>
  </si>
  <si>
    <r>
      <rPr>
        <rFont val="宋体"/>
        <charset val="-122"/>
        <family val="0"/>
        <sz val="9"/>
      </rPr>
      <t xml:space="preserve">  指以砂糖、乳制品、豆制品、蛋制品、油脂、果料和食用添加剂等经混合配制、加热杀菌、均质、老化、冻结（凝冻）而成的冷食饮品的制造。</t>
    </r>
  </si>
  <si>
    <r>
      <rPr>
        <rFont val="宋体"/>
        <charset val="-122"/>
        <family val="0"/>
        <sz val="9"/>
      </rPr>
      <t xml:space="preserve">    盐加工</t>
    </r>
    <r>
      <rPr>
        <rFont val="Times New Roman"/>
        <family val="1"/>
        <sz val="9"/>
      </rPr>
      <t xml:space="preserve">   </t>
    </r>
  </si>
  <si>
    <r>
      <rPr>
        <rFont val="宋体"/>
        <charset val="-122"/>
        <family val="0"/>
        <sz val="9"/>
      </rPr>
      <t xml:space="preserve">  指以原盐为原料，经过化卤、蒸发、洗涤、粉碎、干燥、脱水、筛分等工序，或在其中添加碘酸钾及调味品等加工制成盐产品的生产活动。</t>
    </r>
  </si>
  <si>
    <r>
      <rPr>
        <rFont val="宋体"/>
        <charset val="-122"/>
        <family val="0"/>
        <sz val="9"/>
      </rPr>
      <t xml:space="preserve">    食品及饲料添加剂制造</t>
    </r>
  </si>
  <si>
    <r>
      <rPr>
        <rFont val="宋体"/>
        <charset val="-122"/>
        <family val="0"/>
        <sz val="9"/>
      </rPr>
      <t xml:space="preserve">  指增加或改善食品特色的化学品，以及补充动物饲料的营养成分和促进生长、防治疫病的制剂的生产。</t>
    </r>
  </si>
  <si>
    <r>
      <rPr>
        <rFont val="宋体"/>
        <charset val="-122"/>
        <family val="0"/>
        <sz val="9"/>
      </rPr>
      <t xml:space="preserve">    其他未列明的食品制造</t>
    </r>
  </si>
  <si>
    <r>
      <rPr>
        <rFont val="宋体"/>
        <charset val="-122"/>
        <family val="0"/>
        <sz val="9"/>
      </rPr>
      <t xml:space="preserve">  酒精制造</t>
    </r>
  </si>
  <si>
    <r>
      <rPr>
        <rFont val="宋体"/>
        <charset val="-122"/>
        <family val="0"/>
        <sz val="9"/>
      </rPr>
      <t xml:space="preserve">  指用玉米、小麦、薯类等淀粉质原料或用糖蜜等含糖质原料，经蒸煮、糖化、发酵及蒸馏等工艺制成的酒精产品的生产。</t>
    </r>
  </si>
  <si>
    <r>
      <rPr>
        <rFont val="宋体"/>
        <charset val="-122"/>
        <family val="0"/>
        <sz val="9"/>
      </rPr>
      <t xml:space="preserve">  酒的制造</t>
    </r>
  </si>
  <si>
    <r>
      <rPr>
        <rFont val="宋体"/>
        <charset val="-122"/>
        <family val="0"/>
        <sz val="9"/>
      </rPr>
      <t xml:space="preserve">    白酒制造</t>
    </r>
  </si>
  <si>
    <r>
      <rPr>
        <rFont val="宋体"/>
        <charset val="-122"/>
        <family val="0"/>
        <sz val="9"/>
      </rPr>
      <t xml:space="preserve">  指以高粱等粮谷为主要原料，以大曲、小曲或麸曲及酒母等为糖化发酵剂，经蒸煮、糖化、发酵、蒸馏、陈酿、勾兑而制成的，酒精度</t>
    </r>
    <r>
      <rPr>
        <rFont val="Times New Roman"/>
        <family val="1"/>
        <sz val="9"/>
      </rPr>
      <t>(</t>
    </r>
    <r>
      <rPr>
        <rFont val="宋体"/>
        <charset val="-122"/>
        <family val="0"/>
        <sz val="9"/>
      </rPr>
      <t>体积分数</t>
    </r>
    <r>
      <rPr>
        <rFont val="Times New Roman"/>
        <family val="1"/>
        <sz val="9"/>
      </rPr>
      <t>)</t>
    </r>
    <r>
      <rPr>
        <rFont val="宋体"/>
        <charset val="-122"/>
        <family val="0"/>
        <sz val="9"/>
      </rPr>
      <t>在</t>
    </r>
    <r>
      <rPr>
        <rFont val="Times New Roman"/>
        <family val="1"/>
        <sz val="9"/>
      </rPr>
      <t>18</t>
    </r>
    <r>
      <rPr>
        <rFont val="宋体"/>
        <charset val="-122"/>
        <family val="0"/>
        <sz val="9"/>
      </rPr>
      <t>％～</t>
    </r>
    <r>
      <rPr>
        <rFont val="Times New Roman"/>
        <family val="1"/>
        <sz val="9"/>
      </rPr>
      <t xml:space="preserve"> 60</t>
    </r>
    <r>
      <rPr>
        <rFont val="宋体"/>
        <charset val="-122"/>
        <family val="0"/>
        <sz val="9"/>
      </rPr>
      <t>％的蒸馏酒产品的生产。</t>
    </r>
  </si>
  <si>
    <r>
      <rPr>
        <rFont val="宋体"/>
        <charset val="-122"/>
        <family val="0"/>
        <sz val="9"/>
      </rPr>
      <t xml:space="preserve">    啤酒制造</t>
    </r>
  </si>
  <si>
    <r>
      <rPr>
        <rFont val="宋体"/>
        <charset val="-122"/>
        <family val="0"/>
        <sz val="9"/>
      </rPr>
      <t xml:space="preserve">  指以麦芽（包括特种麦芽）为主要原料，加酒花，经酵母发酵酿制而成，含二氧化碳、起泡、低酒精度</t>
    </r>
    <r>
      <rPr>
        <rFont val="Times New Roman"/>
        <family val="1"/>
        <sz val="9"/>
      </rPr>
      <t>(</t>
    </r>
    <r>
      <rPr>
        <rFont val="宋体"/>
        <charset val="-122"/>
        <family val="0"/>
        <sz val="9"/>
      </rPr>
      <t>体积分数</t>
    </r>
    <r>
      <rPr>
        <rFont val="Times New Roman"/>
        <family val="1"/>
        <sz val="9"/>
      </rPr>
      <t>)2.5</t>
    </r>
    <r>
      <rPr>
        <rFont val="宋体"/>
        <charset val="-122"/>
        <family val="0"/>
        <sz val="9"/>
      </rPr>
      <t>％～</t>
    </r>
    <r>
      <rPr>
        <rFont val="Times New Roman"/>
        <family val="1"/>
        <sz val="9"/>
      </rPr>
      <t xml:space="preserve"> 7.5</t>
    </r>
    <r>
      <rPr>
        <rFont val="宋体"/>
        <charset val="-122"/>
        <family val="0"/>
        <sz val="9"/>
      </rPr>
      <t>％的发酵酒产品的生产，以及啤酒专用原料麦芽的生产。</t>
    </r>
  </si>
  <si>
    <r>
      <rPr>
        <rFont val="宋体"/>
        <charset val="-122"/>
        <family val="0"/>
        <sz val="9"/>
      </rPr>
      <t xml:space="preserve">    黄酒制造</t>
    </r>
  </si>
  <si>
    <r>
      <rPr>
        <rFont val="宋体"/>
        <charset val="-122"/>
        <family val="0"/>
        <sz val="9"/>
      </rPr>
      <t xml:space="preserve">  指以稻米、黍米、黑米、小麦、玉米等为原料，加曲、酵母等糖化发酵剂发酵酿制而成的发酵酒产品的生产。</t>
    </r>
  </si>
  <si>
    <r>
      <rPr>
        <rFont val="宋体"/>
        <charset val="-122"/>
        <family val="0"/>
        <sz val="9"/>
      </rPr>
      <t xml:space="preserve">    葡萄酒制造</t>
    </r>
  </si>
  <si>
    <r>
      <rPr>
        <rFont val="宋体"/>
        <charset val="-122"/>
        <family val="0"/>
        <sz val="9"/>
      </rPr>
      <t xml:space="preserve">    其他酒制造</t>
    </r>
  </si>
  <si>
    <r>
      <rPr>
        <rFont val="宋体"/>
        <charset val="-122"/>
        <family val="0"/>
        <sz val="9"/>
      </rPr>
      <t xml:space="preserve">  指除葡萄酒以外的其他果酒、配制酒以及上述未列明的其他酒产品的生产。</t>
    </r>
  </si>
  <si>
    <r>
      <rPr>
        <rFont val="宋体"/>
        <charset val="-122"/>
        <family val="0"/>
        <sz val="9"/>
      </rPr>
      <t xml:space="preserve">  软饮料制造</t>
    </r>
  </si>
  <si>
    <r>
      <rPr>
        <rFont val="宋体"/>
        <charset val="-122"/>
        <family val="0"/>
        <sz val="9"/>
      </rPr>
      <t xml:space="preserve">    碳酸饮料制造</t>
    </r>
  </si>
  <si>
    <r>
      <rPr>
        <rFont val="宋体"/>
        <charset val="-122"/>
        <family val="0"/>
        <sz val="9"/>
      </rPr>
      <t xml:space="preserve">  指在一定条件下充入二氧化碳气的饮用品制造。其成品中二氧化碳气的含量（</t>
    </r>
    <r>
      <rPr>
        <rFont val="Times New Roman"/>
        <family val="1"/>
        <sz val="9"/>
      </rPr>
      <t>20</t>
    </r>
    <r>
      <rPr>
        <rFont val="宋体"/>
        <charset val="-122"/>
        <family val="0"/>
        <sz val="9"/>
      </rPr>
      <t>℃时的体积倍数）不低于</t>
    </r>
    <r>
      <rPr>
        <rFont val="Times New Roman"/>
        <family val="1"/>
        <sz val="9"/>
      </rPr>
      <t>2.0</t>
    </r>
    <r>
      <rPr>
        <rFont val="宋体"/>
        <charset val="-122"/>
        <family val="0"/>
        <sz val="9"/>
      </rPr>
      <t>倍。</t>
    </r>
  </si>
  <si>
    <r>
      <rPr>
        <rFont val="宋体"/>
        <charset val="-122"/>
        <family val="0"/>
        <sz val="9"/>
      </rPr>
      <t xml:space="preserve">    瓶（罐）装饮用水制造</t>
    </r>
  </si>
  <si>
    <r>
      <rPr>
        <rFont val="宋体"/>
        <charset val="-122"/>
        <family val="0"/>
        <sz val="9"/>
      </rPr>
      <t xml:space="preserve">  指以地下矿泉水和符合生活饮用水卫生标准的水为水源加工制成的，密封于塑料瓶（罐）、玻璃瓶或其他容器中，不含任何添加剂，可直接饮用水的生产。</t>
    </r>
  </si>
  <si>
    <r>
      <rPr>
        <rFont val="宋体"/>
        <charset val="-122"/>
        <family val="0"/>
        <sz val="9"/>
      </rPr>
      <t xml:space="preserve">    果菜汁及果菜汁饮料制造</t>
    </r>
  </si>
  <si>
    <r>
      <rPr>
        <rFont val="宋体"/>
        <charset val="-122"/>
        <family val="0"/>
        <sz val="9"/>
      </rPr>
      <t xml:space="preserve">  指以新鲜或冷藏水果和蔬菜为原料，经加工制得的果菜汁液制品生产，以及在果汁或浓缩果汁、蔬菜汁中加入水、糖液、酸味剂等，经调制而成的可直接饮用的饮品（果汁含量不低于</t>
    </r>
    <r>
      <rPr>
        <rFont val="Times New Roman"/>
        <family val="1"/>
        <sz val="9"/>
      </rPr>
      <t>10</t>
    </r>
    <r>
      <rPr>
        <rFont val="宋体"/>
        <charset val="-122"/>
        <family val="0"/>
        <sz val="9"/>
      </rPr>
      <t>％）的生产。</t>
    </r>
  </si>
  <si>
    <r>
      <rPr>
        <rFont val="宋体"/>
        <charset val="-122"/>
        <family val="0"/>
        <sz val="9"/>
      </rPr>
      <t xml:space="preserve">    含乳饮料和植物蛋白饮料制造</t>
    </r>
  </si>
  <si>
    <r>
      <rPr>
        <rFont val="宋体"/>
        <charset val="-122"/>
        <family val="0"/>
        <sz val="9"/>
      </rPr>
      <t xml:space="preserve">  指以鲜乳或乳制品为原料（经发酵或未经发酵），加入水、糖液等调制而成的可直接饮用的含乳饮品的生产；以及以蛋白质含量较高的植物的果实、种子或核果类、坚果类的果仁等为原料，在其加工制得的浆液中加入水、糖液等调制而成的可直接饮用的植物蛋白饮品的生产。</t>
    </r>
  </si>
  <si>
    <r>
      <rPr>
        <rFont val="宋体"/>
        <charset val="-122"/>
        <family val="0"/>
        <sz val="9"/>
      </rPr>
      <t xml:space="preserve">    固体饮料制造</t>
    </r>
  </si>
  <si>
    <r>
      <rPr>
        <rFont val="宋体"/>
        <charset val="-122"/>
        <family val="0"/>
        <sz val="9"/>
      </rPr>
      <t xml:space="preserve">  指以糖、食品添加剂、果汁或植物抽提物等为原料，加工制成粉末状、颗粒状或块状制品</t>
    </r>
    <r>
      <rPr>
        <rFont val="Times New Roman"/>
        <family val="1"/>
        <sz val="9"/>
      </rPr>
      <t>[</t>
    </r>
    <r>
      <rPr>
        <rFont val="宋体"/>
        <charset val="-122"/>
        <family val="0"/>
        <sz val="9"/>
      </rPr>
      <t>其成品水分</t>
    </r>
    <r>
      <rPr>
        <rFont val="Times New Roman"/>
        <family val="1"/>
        <sz val="9"/>
      </rPr>
      <t>(</t>
    </r>
    <r>
      <rPr>
        <rFont val="宋体"/>
        <charset val="-122"/>
        <family val="0"/>
        <sz val="9"/>
      </rPr>
      <t>质量分数</t>
    </r>
    <r>
      <rPr>
        <rFont val="Times New Roman"/>
        <family val="1"/>
        <sz val="9"/>
      </rPr>
      <t>)</t>
    </r>
    <r>
      <rPr>
        <rFont val="宋体"/>
        <charset val="-122"/>
        <family val="0"/>
        <sz val="9"/>
      </rPr>
      <t>不高于</t>
    </r>
    <r>
      <rPr>
        <rFont val="Times New Roman"/>
        <family val="1"/>
        <sz val="9"/>
      </rPr>
      <t>5</t>
    </r>
    <r>
      <rPr>
        <rFont val="宋体"/>
        <charset val="-122"/>
        <family val="0"/>
        <sz val="9"/>
      </rPr>
      <t>％</t>
    </r>
    <r>
      <rPr>
        <rFont val="Times New Roman"/>
        <family val="1"/>
        <sz val="9"/>
      </rPr>
      <t>]</t>
    </r>
    <r>
      <rPr>
        <rFont val="宋体"/>
        <charset val="-122"/>
        <family val="0"/>
        <sz val="9"/>
      </rPr>
      <t>的生产。</t>
    </r>
  </si>
  <si>
    <r>
      <rPr>
        <rFont val="宋体"/>
        <charset val="-122"/>
        <family val="0"/>
        <sz val="9"/>
      </rPr>
      <t xml:space="preserve">    茶饮料及其他软饮料制造</t>
    </r>
  </si>
  <si>
    <r>
      <rPr>
        <rFont val="宋体"/>
        <charset val="-122"/>
        <family val="0"/>
        <sz val="9"/>
      </rPr>
      <t xml:space="preserve">  指未列入上述各类的茶饮料、特殊用途饮料等其他软饮料的制造。</t>
    </r>
    <r>
      <rPr>
        <rFont val="Times New Roman"/>
        <family val="1"/>
        <sz val="9"/>
      </rPr>
      <t xml:space="preserve">  </t>
    </r>
  </si>
  <si>
    <r>
      <rPr>
        <rFont val="宋体"/>
        <charset val="-122"/>
        <family val="0"/>
        <sz val="9"/>
      </rPr>
      <t xml:space="preserve">  精制茶加工</t>
    </r>
  </si>
  <si>
    <r>
      <rPr>
        <rFont val="宋体"/>
        <charset val="-122"/>
        <family val="0"/>
        <sz val="9"/>
      </rPr>
      <t xml:space="preserve">  指对毛茶或半成品原料茶进行筛分、轧切、风选、干燥、匀堆、拼配等精制加工茶叶的生产。</t>
    </r>
  </si>
  <si>
    <r>
      <rPr>
        <rFont val="宋体"/>
        <charset val="-122"/>
        <family val="0"/>
        <sz val="9"/>
      </rPr>
      <t xml:space="preserve">  烟叶复烤</t>
    </r>
  </si>
  <si>
    <r>
      <rPr>
        <rFont val="宋体"/>
        <charset val="-122"/>
        <family val="0"/>
        <sz val="9"/>
      </rPr>
      <t xml:space="preserve">  指在原烟（初烤）基础上进行第二次烟叶水分调整的活动。</t>
    </r>
  </si>
  <si>
    <r>
      <rPr>
        <rFont val="宋体"/>
        <charset val="-122"/>
        <family val="0"/>
        <sz val="9"/>
      </rPr>
      <t xml:space="preserve">  卷烟制造</t>
    </r>
  </si>
  <si>
    <r>
      <rPr>
        <rFont val="宋体"/>
        <charset val="-122"/>
        <family val="0"/>
        <sz val="9"/>
      </rPr>
      <t xml:space="preserve">  指各种卷烟生产，但不包括生产烟用滤嘴棒的纤维丝束原料的制造。</t>
    </r>
  </si>
  <si>
    <r>
      <rPr>
        <rFont val="宋体"/>
        <charset val="-122"/>
        <family val="0"/>
        <sz val="9"/>
      </rPr>
      <t xml:space="preserve">  其他烟草制品加工</t>
    </r>
  </si>
  <si>
    <r>
      <rPr>
        <rFont val="宋体"/>
        <charset val="-122"/>
        <family val="0"/>
        <sz val="9"/>
      </rPr>
      <t xml:space="preserve">  棉、化纤纺织及印染精加工</t>
    </r>
  </si>
  <si>
    <r>
      <rPr>
        <rFont val="宋体"/>
        <charset val="-122"/>
        <family val="0"/>
        <sz val="9"/>
      </rPr>
      <t xml:space="preserve">    棉、化纤纺织加工</t>
    </r>
  </si>
  <si>
    <r>
      <rPr>
        <rFont val="宋体"/>
        <charset val="-122"/>
        <family val="0"/>
        <sz val="9"/>
      </rPr>
      <t xml:space="preserve">  指以棉及棉型化学纤维为主要原料进行的纺纱、织布，以及用于织布和缝纫的线的生产活动。</t>
    </r>
  </si>
  <si>
    <r>
      <rPr>
        <rFont val="宋体"/>
        <charset val="-122"/>
        <family val="0"/>
        <sz val="9"/>
      </rPr>
      <t xml:space="preserve">    棉、化纤印染精加工</t>
    </r>
  </si>
  <si>
    <r>
      <rPr>
        <rFont val="宋体"/>
        <charset val="-122"/>
        <family val="0"/>
        <sz val="9"/>
      </rPr>
      <t xml:space="preserve">  指对非自产的棉和化学纤维纺织品进行漂白、染色、印花、轧光、起绒、缩水等工序的加工。</t>
    </r>
  </si>
  <si>
    <r>
      <rPr>
        <rFont val="宋体"/>
        <charset val="-122"/>
        <family val="0"/>
        <sz val="9"/>
      </rPr>
      <t xml:space="preserve">  毛纺织和染整精加工</t>
    </r>
  </si>
  <si>
    <r>
      <rPr>
        <rFont val="宋体"/>
        <charset val="-122"/>
        <family val="0"/>
        <sz val="9"/>
      </rPr>
      <t xml:space="preserve">    毛条加工</t>
    </r>
  </si>
  <si>
    <r>
      <rPr>
        <rFont val="宋体"/>
        <charset val="-122"/>
        <family val="0"/>
        <sz val="9"/>
      </rPr>
      <t xml:space="preserve">  指以毛及毛型化学纤维为原料进行梳条的加工活动。</t>
    </r>
  </si>
  <si>
    <r>
      <rPr>
        <rFont val="宋体"/>
        <charset val="-122"/>
        <family val="0"/>
        <sz val="9"/>
      </rPr>
      <t xml:space="preserve">    毛纺织</t>
    </r>
  </si>
  <si>
    <r>
      <rPr>
        <rFont val="宋体"/>
        <charset val="-122"/>
        <family val="0"/>
        <sz val="9"/>
      </rPr>
      <t xml:space="preserve">  指以毛条及毛型化学纤维为原料进行的纺、织生产活动。</t>
    </r>
  </si>
  <si>
    <r>
      <rPr>
        <rFont val="宋体"/>
        <charset val="-122"/>
        <family val="0"/>
        <sz val="9"/>
      </rPr>
      <t xml:space="preserve">    毛染整精加工</t>
    </r>
  </si>
  <si>
    <r>
      <rPr>
        <rFont val="宋体"/>
        <charset val="-122"/>
        <family val="0"/>
        <sz val="9"/>
      </rPr>
      <t xml:space="preserve">  指对非自产的毛纺织品进行漂白、染色、印花等工序的染整精加工。</t>
    </r>
  </si>
  <si>
    <r>
      <rPr>
        <rFont val="宋体"/>
        <charset val="-122"/>
        <family val="0"/>
        <sz val="9"/>
      </rPr>
      <t xml:space="preserve">  麻纺织</t>
    </r>
  </si>
  <si>
    <r>
      <rPr>
        <rFont val="宋体"/>
        <charset val="-122"/>
        <family val="0"/>
        <sz val="9"/>
      </rPr>
      <t xml:space="preserve">  指以苎麻、亚麻、大麻等为主要原料进行的纺、织生产活动。</t>
    </r>
  </si>
  <si>
    <r>
      <rPr>
        <rFont val="宋体"/>
        <charset val="-122"/>
        <family val="0"/>
        <sz val="9"/>
      </rPr>
      <t xml:space="preserve">  丝绢纺织及精加工</t>
    </r>
  </si>
  <si>
    <r>
      <rPr>
        <rFont val="宋体"/>
        <charset val="-122"/>
        <family val="0"/>
        <sz val="9"/>
      </rPr>
      <t xml:space="preserve">    缫丝加工</t>
    </r>
  </si>
  <si>
    <r>
      <rPr>
        <rFont val="宋体"/>
        <charset val="-122"/>
        <family val="0"/>
        <sz val="9"/>
      </rPr>
      <t xml:space="preserve">  指由蚕茧经过加工缫制成丝的活动。</t>
    </r>
  </si>
  <si>
    <r>
      <rPr>
        <rFont val="宋体"/>
        <charset val="-122"/>
        <family val="0"/>
        <sz val="9"/>
      </rPr>
      <t xml:space="preserve">    绢纺和丝织加工</t>
    </r>
  </si>
  <si>
    <r>
      <rPr>
        <rFont val="宋体"/>
        <charset val="-122"/>
        <family val="0"/>
        <sz val="9"/>
      </rPr>
      <t xml:space="preserve">  指以丝及化纤丝为主要原料进行的丝织生产活动。</t>
    </r>
  </si>
  <si>
    <r>
      <rPr>
        <rFont val="宋体"/>
        <charset val="-122"/>
        <family val="0"/>
        <sz val="9"/>
      </rPr>
      <t xml:space="preserve">    丝印染精加工</t>
    </r>
  </si>
  <si>
    <r>
      <rPr>
        <rFont val="宋体"/>
        <charset val="-122"/>
        <family val="0"/>
        <sz val="9"/>
      </rPr>
      <t xml:space="preserve">  指对非自产的丝织品进行漂白、染色、轧光、起绒、缩水或印染等工序的加工。</t>
    </r>
  </si>
  <si>
    <r>
      <rPr>
        <rFont val="宋体"/>
        <charset val="-122"/>
        <family val="0"/>
        <sz val="9"/>
      </rPr>
      <t xml:space="preserve">  纺织制成品制造</t>
    </r>
  </si>
  <si>
    <r>
      <rPr>
        <rFont val="宋体"/>
        <charset val="-122"/>
        <family val="0"/>
        <sz val="9"/>
      </rPr>
      <t xml:space="preserve">  指以棉、化纤、毛以及各种麻和丝纺织制成品的生产活动。</t>
    </r>
  </si>
  <si>
    <r>
      <rPr>
        <rFont val="宋体"/>
        <charset val="-122"/>
        <family val="0"/>
        <sz val="9"/>
      </rPr>
      <t xml:space="preserve">    棉及化纤制品制造</t>
    </r>
  </si>
  <si>
    <r>
      <rPr>
        <rFont val="宋体"/>
        <charset val="-122"/>
        <family val="0"/>
        <sz val="9"/>
      </rPr>
      <t xml:space="preserve">    毛制品制造</t>
    </r>
  </si>
  <si>
    <r>
      <rPr>
        <rFont val="宋体"/>
        <charset val="-122"/>
        <family val="0"/>
        <sz val="9"/>
      </rPr>
      <t xml:space="preserve">    麻制品制造</t>
    </r>
  </si>
  <si>
    <r>
      <rPr>
        <rFont val="宋体"/>
        <charset val="-122"/>
        <family val="0"/>
        <sz val="9"/>
      </rPr>
      <t xml:space="preserve">    丝制品制造</t>
    </r>
  </si>
  <si>
    <r>
      <rPr>
        <rFont val="宋体"/>
        <charset val="-122"/>
        <family val="0"/>
        <sz val="9"/>
      </rPr>
      <t xml:space="preserve">    绳、索、缆的制造</t>
    </r>
  </si>
  <si>
    <r>
      <rPr>
        <rFont val="宋体"/>
        <charset val="-122"/>
        <family val="0"/>
        <sz val="9"/>
      </rPr>
      <t xml:space="preserve">  指用天然纤维和化学纤维制造绳、索具、缆绳、合股线的生产活动。</t>
    </r>
  </si>
  <si>
    <r>
      <rPr>
        <rFont val="宋体"/>
        <charset val="-122"/>
        <family val="0"/>
        <sz val="9"/>
      </rPr>
      <t xml:space="preserve">    纺织带和帘子布制造</t>
    </r>
  </si>
  <si>
    <r>
      <rPr>
        <rFont val="宋体"/>
        <charset val="-122"/>
        <family val="0"/>
        <sz val="9"/>
      </rPr>
      <t xml:space="preserve">    无纺布制造</t>
    </r>
  </si>
  <si>
    <r>
      <rPr>
        <rFont val="宋体"/>
        <charset val="-122"/>
        <family val="0"/>
        <sz val="9"/>
      </rPr>
      <t xml:space="preserve">  指以化学纤维为基本原料，经化学（或热熔）粘合而成的类似布的产品制造。因其不进行纺织，故又称为非织造布。</t>
    </r>
  </si>
  <si>
    <r>
      <rPr>
        <rFont val="宋体"/>
        <charset val="-122"/>
        <family val="0"/>
        <sz val="9"/>
      </rPr>
      <t xml:space="preserve">    其他纺织制成品制造</t>
    </r>
  </si>
  <si>
    <r>
      <rPr>
        <rFont val="宋体"/>
        <charset val="-122"/>
        <family val="0"/>
        <sz val="9"/>
      </rPr>
      <t xml:space="preserve">  指废旧纤维纺织品，特种纺织品以及其他未列明的纺织制成品的制造。</t>
    </r>
  </si>
  <si>
    <r>
      <rPr>
        <rFont val="宋体"/>
        <charset val="-122"/>
        <family val="0"/>
        <sz val="9"/>
      </rPr>
      <t xml:space="preserve">  针织品、编织品及其制品制造</t>
    </r>
  </si>
  <si>
    <r>
      <rPr>
        <rFont val="宋体"/>
        <charset val="-122"/>
        <family val="0"/>
        <sz val="9"/>
      </rPr>
      <t xml:space="preserve">  指纯粹由手工织成或钩成，或由机器针织、钩针编织成形的制品制造。</t>
    </r>
  </si>
  <si>
    <r>
      <rPr>
        <rFont val="宋体"/>
        <charset val="-122"/>
        <family val="0"/>
        <sz val="9"/>
      </rPr>
      <t xml:space="preserve">    棉、化纤针织品及编织品制造</t>
    </r>
  </si>
  <si>
    <r>
      <rPr>
        <rFont val="宋体"/>
        <charset val="-122"/>
        <family val="0"/>
        <sz val="9"/>
      </rPr>
      <t xml:space="preserve">  指以棉及棉型化学纤维为主要原料，纯粹由手工织成或钩成，或由机器针织、钩针编织织物的制作活动。</t>
    </r>
  </si>
  <si>
    <r>
      <rPr>
        <rFont val="宋体"/>
        <charset val="-122"/>
        <family val="0"/>
        <sz val="9"/>
      </rPr>
      <t xml:space="preserve">    毛针织品及编织品制造</t>
    </r>
  </si>
  <si>
    <r>
      <rPr>
        <rFont val="宋体"/>
        <charset val="-122"/>
        <family val="0"/>
        <sz val="9"/>
      </rPr>
      <t xml:space="preserve">  指以毛及毛型化学纤维为主要原料，纯粹由手工织成或钩成，或由机器针织、钩针编织织物的制作活动。</t>
    </r>
  </si>
  <si>
    <r>
      <rPr>
        <rFont val="宋体"/>
        <charset val="-122"/>
        <family val="0"/>
        <sz val="9"/>
      </rPr>
      <t xml:space="preserve">    丝针织品及编织品制造</t>
    </r>
  </si>
  <si>
    <r>
      <rPr>
        <rFont val="宋体"/>
        <charset val="-122"/>
        <family val="0"/>
        <sz val="9"/>
      </rPr>
      <t xml:space="preserve">  指以丝及化纤长丝为主要原料，纯粹由手工织成或钩成，或由机器针织、钩针编织织物的制作活动。</t>
    </r>
  </si>
  <si>
    <r>
      <rPr>
        <rFont val="宋体"/>
        <charset val="-122"/>
        <family val="0"/>
        <sz val="9"/>
      </rPr>
      <t xml:space="preserve">    其他针织品及编织品制造</t>
    </r>
  </si>
  <si>
    <r>
      <rPr>
        <rFont val="宋体"/>
        <charset val="-122"/>
        <family val="0"/>
        <sz val="9"/>
      </rPr>
      <t xml:space="preserve">  纺织服装制造</t>
    </r>
  </si>
  <si>
    <r>
      <rPr>
        <rFont val="宋体"/>
        <charset val="-122"/>
        <family val="0"/>
        <sz val="9"/>
      </rPr>
      <t xml:space="preserve">  指以纺织面料为主要原料，经裁剪后缝制各种男、女服装，以及儿童成衣的活动。包括非自产原料制作的服装，以及固定生产地点的服装制做。</t>
    </r>
  </si>
  <si>
    <r>
      <rPr>
        <rFont val="宋体"/>
        <charset val="-122"/>
        <family val="0"/>
        <sz val="9"/>
      </rPr>
      <t xml:space="preserve">  纺织面料鞋的制造</t>
    </r>
  </si>
  <si>
    <r>
      <rPr>
        <rFont val="宋体"/>
        <charset val="-122"/>
        <family val="0"/>
        <sz val="9"/>
      </rPr>
      <t xml:space="preserve">  指用各种纺织面料、木材、棕草等原料缝制、模压或编制各种鞋的生产活动。</t>
    </r>
  </si>
  <si>
    <r>
      <rPr>
        <rFont val="宋体"/>
        <charset val="-122"/>
        <family val="0"/>
        <sz val="9"/>
      </rPr>
      <t xml:space="preserve">  制帽</t>
    </r>
  </si>
  <si>
    <r>
      <rPr>
        <rFont val="宋体"/>
        <charset val="-122"/>
        <family val="0"/>
        <sz val="9"/>
      </rPr>
      <t xml:space="preserve">  指用各种纺织原料、皮革和毛皮原料，经剪裁、缝制或压制帽子的制作，以及针织或钩针编织成毛线帽的活动。</t>
    </r>
  </si>
  <si>
    <r>
      <t>皮革、毛皮、羽毛</t>
    </r>
    <r>
      <rPr>
        <rFont val="Times New Roman"/>
        <family val="1"/>
        <b val="true"/>
        <sz val="9"/>
      </rPr>
      <t>(</t>
    </r>
    <r>
      <rPr>
        <rFont val="宋体"/>
        <charset val="-122"/>
        <family val="0"/>
        <b val="true"/>
        <sz val="9"/>
      </rPr>
      <t>绒</t>
    </r>
    <r>
      <rPr>
        <rFont val="Times New Roman"/>
        <family val="1"/>
        <b val="true"/>
        <sz val="9"/>
      </rPr>
      <t>)</t>
    </r>
    <r>
      <rPr>
        <rFont val="宋体"/>
        <charset val="-122"/>
        <family val="0"/>
        <b val="true"/>
        <sz val="9"/>
      </rPr>
      <t>及其制品业</t>
    </r>
  </si>
  <si>
    <r>
      <rPr>
        <rFont val="宋体"/>
        <charset val="-122"/>
        <family val="0"/>
        <sz val="9"/>
      </rPr>
      <t xml:space="preserve">  皮革鞣制加工</t>
    </r>
  </si>
  <si>
    <r>
      <rPr>
        <rFont val="宋体"/>
        <charset val="-122"/>
        <family val="0"/>
        <sz val="9"/>
      </rPr>
      <t xml:space="preserve">  指动物生皮经脱毛、鞣制等物理和化学方法加工，再经涂饰和整理，制成具有不易腐烂、柔韧、透气等性能的皮革生产活动。</t>
    </r>
  </si>
  <si>
    <r>
      <rPr>
        <rFont val="宋体"/>
        <charset val="-122"/>
        <family val="0"/>
        <sz val="9"/>
      </rPr>
      <t xml:space="preserve">  皮革制品制造</t>
    </r>
  </si>
  <si>
    <r>
      <rPr>
        <rFont val="宋体"/>
        <charset val="-122"/>
        <family val="0"/>
        <sz val="9"/>
      </rPr>
      <t xml:space="preserve">    皮鞋制造</t>
    </r>
  </si>
  <si>
    <r>
      <rPr>
        <rFont val="宋体"/>
        <charset val="-122"/>
        <family val="0"/>
        <sz val="9"/>
      </rPr>
      <t xml:space="preserve">  指全部或大部分用皮革、人造革、合成革为面料，以橡胶、塑料或合成材料等为外底，按缝绱、胶粘、模压、注塑等工艺方法制作各种皮鞋的生产活动。</t>
    </r>
  </si>
  <si>
    <r>
      <rPr>
        <rFont val="宋体"/>
        <charset val="-122"/>
        <family val="0"/>
        <sz val="9"/>
      </rPr>
      <t xml:space="preserve">    皮革服装制造</t>
    </r>
  </si>
  <si>
    <r>
      <rPr>
        <rFont val="宋体"/>
        <charset val="-122"/>
        <family val="0"/>
        <sz val="9"/>
      </rPr>
      <t xml:space="preserve">  指全部或大部分用皮革、人造革、合成革为面料，制作各式服装的活动。</t>
    </r>
  </si>
  <si>
    <r>
      <rPr>
        <rFont val="宋体"/>
        <charset val="-122"/>
        <family val="0"/>
        <sz val="9"/>
      </rPr>
      <t xml:space="preserve">    皮箱、包</t>
    </r>
    <r>
      <rPr>
        <rFont val="Times New Roman"/>
        <family val="1"/>
        <sz val="9"/>
      </rPr>
      <t>(</t>
    </r>
    <r>
      <rPr>
        <rFont val="宋体"/>
        <charset val="-122"/>
        <family val="0"/>
        <sz val="9"/>
      </rPr>
      <t>袋</t>
    </r>
    <r>
      <rPr>
        <rFont val="Times New Roman"/>
        <family val="1"/>
        <sz val="9"/>
      </rPr>
      <t>)</t>
    </r>
    <r>
      <rPr>
        <rFont val="宋体"/>
        <charset val="-122"/>
        <family val="0"/>
        <sz val="9"/>
      </rPr>
      <t>制造</t>
    </r>
  </si>
  <si>
    <r>
      <rPr>
        <rFont val="宋体"/>
        <charset val="-122"/>
        <family val="0"/>
        <sz val="9"/>
      </rPr>
      <t xml:space="preserve">  指全部或大部分用皮革、人造革、合成革为材料，或者以塑料、纺织物为材料，制作各种用途的皮箱、皮包</t>
    </r>
    <r>
      <rPr>
        <rFont val="Times New Roman"/>
        <family val="1"/>
        <sz val="9"/>
      </rPr>
      <t>(</t>
    </r>
    <r>
      <rPr>
        <rFont val="宋体"/>
        <charset val="-122"/>
        <family val="0"/>
        <sz val="9"/>
      </rPr>
      <t>袋</t>
    </r>
    <r>
      <rPr>
        <rFont val="Times New Roman"/>
        <family val="1"/>
        <sz val="9"/>
      </rPr>
      <t>)</t>
    </r>
    <r>
      <rPr>
        <rFont val="宋体"/>
        <charset val="-122"/>
        <family val="0"/>
        <sz val="9"/>
      </rPr>
      <t>或其他材料的箱、包</t>
    </r>
    <r>
      <rPr>
        <rFont val="Times New Roman"/>
        <family val="1"/>
        <sz val="9"/>
      </rPr>
      <t>(</t>
    </r>
    <r>
      <rPr>
        <rFont val="宋体"/>
        <charset val="-122"/>
        <family val="0"/>
        <sz val="9"/>
      </rPr>
      <t>袋</t>
    </r>
    <r>
      <rPr>
        <rFont val="Times New Roman"/>
        <family val="1"/>
        <sz val="9"/>
      </rPr>
      <t>)</t>
    </r>
    <r>
      <rPr>
        <rFont val="宋体"/>
        <charset val="-122"/>
        <family val="0"/>
        <sz val="9"/>
      </rPr>
      <t>等的制作活动。</t>
    </r>
  </si>
  <si>
    <r>
      <rPr>
        <rFont val="宋体"/>
        <charset val="-122"/>
        <family val="0"/>
        <sz val="9"/>
      </rPr>
      <t xml:space="preserve">    皮手套及皮装饰制品制造</t>
    </r>
    <r>
      <rPr>
        <rFont val="Times New Roman"/>
        <family val="1"/>
        <sz val="9"/>
      </rPr>
      <t xml:space="preserve"> </t>
    </r>
  </si>
  <si>
    <r>
      <rPr>
        <rFont val="宋体"/>
        <charset val="-122"/>
        <family val="0"/>
        <sz val="9"/>
      </rPr>
      <t xml:space="preserve">  指全部或大部分用皮革、人造革、合成革为材料制成的皮手套、皮带，以及皮领带等皮装饰制品的生产活动。</t>
    </r>
  </si>
  <si>
    <r>
      <rPr>
        <rFont val="宋体"/>
        <charset val="-122"/>
        <family val="0"/>
        <sz val="9"/>
      </rPr>
      <t xml:space="preserve">    其他皮革制品制造</t>
    </r>
  </si>
  <si>
    <r>
      <rPr>
        <rFont val="宋体"/>
        <charset val="-122"/>
        <family val="0"/>
        <sz val="9"/>
      </rPr>
      <t xml:space="preserve">  指全部或大部分用皮革、人造革、合成革为材料制成上述类别未列明的其他各种皮革制品的生产活动。</t>
    </r>
  </si>
  <si>
    <r>
      <rPr>
        <rFont val="宋体"/>
        <charset val="-122"/>
        <family val="0"/>
        <sz val="9"/>
      </rPr>
      <t xml:space="preserve">  毛皮鞣制及制品加工</t>
    </r>
  </si>
  <si>
    <r>
      <rPr>
        <rFont val="宋体"/>
        <charset val="-122"/>
        <family val="0"/>
        <sz val="9"/>
      </rPr>
      <t xml:space="preserve">    毛皮鞣制加工</t>
    </r>
  </si>
  <si>
    <r>
      <rPr>
        <rFont val="宋体"/>
        <charset val="-122"/>
        <family val="0"/>
        <sz val="9"/>
      </rPr>
      <t xml:space="preserve">  指带毛动物生皮经鞣制等化学和物理方法处理后，保持其绒毛形态及特点的毛皮</t>
    </r>
    <r>
      <rPr>
        <rFont val="Times New Roman"/>
        <family val="1"/>
        <sz val="9"/>
      </rPr>
      <t>(</t>
    </r>
    <r>
      <rPr>
        <rFont val="宋体"/>
        <charset val="-122"/>
        <family val="0"/>
        <sz val="9"/>
      </rPr>
      <t>又称裘皮</t>
    </r>
    <r>
      <rPr>
        <rFont val="Times New Roman"/>
        <family val="1"/>
        <sz val="9"/>
      </rPr>
      <t>)</t>
    </r>
    <r>
      <rPr>
        <rFont val="宋体"/>
        <charset val="-122"/>
        <family val="0"/>
        <sz val="9"/>
      </rPr>
      <t>的生产活动。</t>
    </r>
  </si>
  <si>
    <r>
      <rPr>
        <rFont val="宋体"/>
        <charset val="-122"/>
        <family val="0"/>
        <sz val="9"/>
      </rPr>
      <t xml:space="preserve">    毛皮服装加工</t>
    </r>
  </si>
  <si>
    <r>
      <rPr>
        <rFont val="宋体"/>
        <charset val="-122"/>
        <family val="0"/>
        <sz val="9"/>
      </rPr>
      <t xml:space="preserve">  指用各种动物毛皮和人造毛皮为面料或里料，加工制作毛皮服装的生产活动。</t>
    </r>
  </si>
  <si>
    <r>
      <rPr>
        <rFont val="宋体"/>
        <charset val="-122"/>
        <family val="0"/>
        <sz val="9"/>
      </rPr>
      <t xml:space="preserve">    其他毛皮制品加工</t>
    </r>
  </si>
  <si>
    <r>
      <rPr>
        <rFont val="宋体"/>
        <charset val="-122"/>
        <family val="0"/>
        <sz val="9"/>
      </rPr>
      <t xml:space="preserve">  指用各种动物毛皮和人造毛皮为材料，加工制作上述类别未列明的其他各种用途毛皮制品的生产。</t>
    </r>
  </si>
  <si>
    <r>
      <rPr>
        <rFont val="宋体"/>
        <charset val="-122"/>
        <family val="0"/>
        <sz val="9"/>
      </rPr>
      <t xml:space="preserve">  羽毛</t>
    </r>
    <r>
      <rPr>
        <rFont val="Times New Roman"/>
        <family val="1"/>
        <sz val="9"/>
      </rPr>
      <t>(</t>
    </r>
    <r>
      <rPr>
        <rFont val="宋体"/>
        <charset val="-122"/>
        <family val="0"/>
        <sz val="9"/>
      </rPr>
      <t>绒</t>
    </r>
    <r>
      <rPr>
        <rFont val="Times New Roman"/>
        <family val="1"/>
        <sz val="9"/>
      </rPr>
      <t>)</t>
    </r>
    <r>
      <rPr>
        <rFont val="宋体"/>
        <charset val="-122"/>
        <family val="0"/>
        <sz val="9"/>
      </rPr>
      <t>加工及制品制造</t>
    </r>
  </si>
  <si>
    <r>
      <rPr>
        <rFont val="宋体"/>
        <charset val="-122"/>
        <family val="0"/>
        <sz val="9"/>
      </rPr>
      <t xml:space="preserve">    羽毛</t>
    </r>
    <r>
      <rPr>
        <rFont val="Times New Roman"/>
        <family val="1"/>
        <sz val="9"/>
      </rPr>
      <t>(</t>
    </r>
    <r>
      <rPr>
        <rFont val="宋体"/>
        <charset val="-122"/>
        <family val="0"/>
        <sz val="9"/>
      </rPr>
      <t>绒</t>
    </r>
    <r>
      <rPr>
        <rFont val="Times New Roman"/>
        <family val="1"/>
        <sz val="9"/>
      </rPr>
      <t>)</t>
    </r>
    <r>
      <rPr>
        <rFont val="宋体"/>
        <charset val="-122"/>
        <family val="0"/>
        <sz val="9"/>
      </rPr>
      <t>加工</t>
    </r>
  </si>
  <si>
    <r>
      <rPr>
        <rFont val="宋体"/>
        <charset val="-122"/>
        <family val="0"/>
        <sz val="9"/>
      </rPr>
      <t xml:space="preserve">  指对鹅、鸭等禽类羽毛进行加工成标准毛的生产活动。</t>
    </r>
  </si>
  <si>
    <r>
      <rPr>
        <rFont val="宋体"/>
        <charset val="-122"/>
        <family val="0"/>
        <sz val="9"/>
      </rPr>
      <t xml:space="preserve">    羽毛</t>
    </r>
    <r>
      <rPr>
        <rFont val="Times New Roman"/>
        <family val="1"/>
        <sz val="9"/>
      </rPr>
      <t>(</t>
    </r>
    <r>
      <rPr>
        <rFont val="宋体"/>
        <charset val="-122"/>
        <family val="0"/>
        <sz val="9"/>
      </rPr>
      <t>绒</t>
    </r>
    <r>
      <rPr>
        <rFont val="Times New Roman"/>
        <family val="1"/>
        <sz val="9"/>
      </rPr>
      <t>)</t>
    </r>
    <r>
      <rPr>
        <rFont val="宋体"/>
        <charset val="-122"/>
        <family val="0"/>
        <sz val="9"/>
      </rPr>
      <t>制品加工</t>
    </r>
  </si>
  <si>
    <r>
      <rPr>
        <rFont val="宋体"/>
        <charset val="-122"/>
        <family val="0"/>
        <sz val="9"/>
      </rPr>
      <t xml:space="preserve">  指用加工过的羽毛</t>
    </r>
    <r>
      <rPr>
        <rFont val="Times New Roman"/>
        <family val="1"/>
        <sz val="9"/>
      </rPr>
      <t>(</t>
    </r>
    <r>
      <rPr>
        <rFont val="宋体"/>
        <charset val="-122"/>
        <family val="0"/>
        <sz val="9"/>
      </rPr>
      <t>绒</t>
    </r>
    <r>
      <rPr>
        <rFont val="Times New Roman"/>
        <family val="1"/>
        <sz val="9"/>
      </rPr>
      <t>)</t>
    </r>
    <r>
      <rPr>
        <rFont val="宋体"/>
        <charset val="-122"/>
        <family val="0"/>
        <sz val="9"/>
      </rPr>
      <t>作为填充物制作各种用途的羽绒制品的生产活动。</t>
    </r>
  </si>
  <si>
    <r>
      <rPr>
        <rFont val="宋体"/>
        <charset val="-122"/>
        <family val="0"/>
        <sz val="9"/>
      </rPr>
      <t xml:space="preserve">  锯材、木片加工</t>
    </r>
  </si>
  <si>
    <r>
      <rPr>
        <rFont val="宋体"/>
        <charset val="-122"/>
        <family val="0"/>
        <sz val="9"/>
      </rPr>
      <t xml:space="preserve">    锯材加工</t>
    </r>
  </si>
  <si>
    <r>
      <rPr>
        <rFont val="宋体"/>
        <charset val="-122"/>
        <family val="0"/>
        <sz val="9"/>
      </rPr>
      <t xml:space="preserve">  指以原木为原料，利用锯木机械或手工工具将原木纵向锯成具有一定断面尺寸（宽、厚度）的木材加工生产活动，用防腐剂和其他物质浸渍木料或对木料进行化学处理的加工活动，以及地板毛料的制造。</t>
    </r>
  </si>
  <si>
    <r>
      <rPr>
        <rFont val="宋体"/>
        <charset val="-122"/>
        <family val="0"/>
        <sz val="9"/>
      </rPr>
      <t xml:space="preserve">    木片加工</t>
    </r>
  </si>
  <si>
    <r>
      <rPr>
        <rFont val="宋体"/>
        <charset val="-122"/>
        <family val="0"/>
        <sz val="9"/>
      </rPr>
      <t xml:space="preserve">  指利用森林采伐、造材、加工等剩余物和定向培育的木材，经削（刨）片机加工成一定规格的产品生产。</t>
    </r>
  </si>
  <si>
    <r>
      <rPr>
        <rFont val="宋体"/>
        <charset val="-122"/>
        <family val="0"/>
        <sz val="9"/>
      </rPr>
      <t xml:space="preserve">  人造板制造</t>
    </r>
  </si>
  <si>
    <r>
      <rPr>
        <rFont val="宋体"/>
        <charset val="-122"/>
        <family val="0"/>
        <sz val="9"/>
      </rPr>
      <t xml:space="preserve">  指用木材及其剩余物、棉秆、甘蔗渣和芦苇等植物纤维为原料，加工成符合国家标准的胶合板、纤维板、刨花板、细木工板和木丝板等产品的生产，以及人造板二次加工装饰板的制造。</t>
    </r>
  </si>
  <si>
    <r>
      <rPr>
        <rFont val="宋体"/>
        <charset val="-122"/>
        <family val="0"/>
        <sz val="9"/>
      </rPr>
      <t xml:space="preserve">    胶合板制造</t>
    </r>
  </si>
  <si>
    <r>
      <rPr>
        <rFont val="宋体"/>
        <charset val="-122"/>
        <family val="0"/>
        <sz val="9"/>
      </rPr>
      <t xml:space="preserve">  指具有一定规格的原木经旋（刨）切成单板，再经干燥、涂胶、组坯、热压而成的符合国家标准及供需双方协定标准的产品生产。</t>
    </r>
  </si>
  <si>
    <r>
      <rPr>
        <rFont val="宋体"/>
        <charset val="-122"/>
        <family val="0"/>
        <sz val="9"/>
      </rPr>
      <t xml:space="preserve">    纤维板制造</t>
    </r>
  </si>
  <si>
    <r>
      <rPr>
        <rFont val="宋体"/>
        <charset val="-122"/>
        <family val="0"/>
        <sz val="9"/>
      </rPr>
      <t xml:space="preserve">  指用木材碎料（包括木片）、棉秆、甘蔗渣、芦苇等植物纤维作原料，经削片纤维分离，铺装成型，热压而成的产品生产。</t>
    </r>
  </si>
  <si>
    <r>
      <rPr>
        <rFont val="宋体"/>
        <charset val="-122"/>
        <family val="0"/>
        <sz val="9"/>
      </rPr>
      <t xml:space="preserve">    刨花板制造</t>
    </r>
  </si>
  <si>
    <r>
      <rPr>
        <rFont val="宋体"/>
        <charset val="-122"/>
        <family val="0"/>
        <sz val="9"/>
      </rPr>
      <t xml:space="preserve">  指用木材碎料（包括木片）和其他植物纤维作原料，制成刨花，经干燥、施胶，铺装成型，热压而成的产品生产。</t>
    </r>
  </si>
  <si>
    <r>
      <rPr>
        <rFont val="宋体"/>
        <charset val="-122"/>
        <family val="0"/>
        <sz val="9"/>
      </rPr>
      <t xml:space="preserve">    其他人造板、材制造</t>
    </r>
  </si>
  <si>
    <r>
      <rPr>
        <rFont val="宋体"/>
        <charset val="-122"/>
        <family val="0"/>
        <sz val="9"/>
      </rPr>
      <t xml:space="preserve">  指人造板二次加工装饰板及其他未列明的人造板材的制造。</t>
    </r>
  </si>
  <si>
    <r>
      <rPr>
        <rFont val="宋体"/>
        <charset val="-122"/>
        <family val="0"/>
        <sz val="9"/>
      </rPr>
      <t xml:space="preserve">  木制品制造</t>
    </r>
  </si>
  <si>
    <r>
      <rPr>
        <rFont val="宋体"/>
        <charset val="-122"/>
        <family val="0"/>
        <sz val="9"/>
      </rPr>
      <t xml:space="preserve">  指以木材为原料加工成建筑用木料和木材组件、木容器、软木制品及其他木制品的生产活动。但不包括木质家具的制造。</t>
    </r>
  </si>
  <si>
    <r>
      <rPr>
        <rFont val="宋体"/>
        <charset val="-122"/>
        <family val="0"/>
        <sz val="9"/>
      </rPr>
      <t xml:space="preserve">    建筑用木料及木材组件加工</t>
    </r>
  </si>
  <si>
    <r>
      <rPr>
        <rFont val="宋体"/>
        <charset val="-122"/>
        <family val="0"/>
        <sz val="9"/>
      </rPr>
      <t xml:space="preserve">  指主要用于建筑施工工程的木质制品，如建筑施工用的大木工或其他支撑物，以及建筑木工的生产活动。</t>
    </r>
  </si>
  <si>
    <r>
      <rPr>
        <rFont val="宋体"/>
        <charset val="-122"/>
        <family val="0"/>
        <sz val="9"/>
      </rPr>
      <t xml:space="preserve">    木容器制造</t>
    </r>
  </si>
  <si>
    <r>
      <rPr>
        <rFont val="宋体"/>
        <charset val="-122"/>
        <family val="0"/>
        <sz val="9"/>
      </rPr>
      <t xml:space="preserve">    软木制品及其他木制品制造</t>
    </r>
  </si>
  <si>
    <r>
      <rPr>
        <rFont val="宋体"/>
        <charset val="-122"/>
        <family val="0"/>
        <sz val="9"/>
      </rPr>
      <t xml:space="preserve">  指天然软木除去表皮，经初加工后获得的结块软木及其制品，以及其他未列明的木质产品的生产活动。</t>
    </r>
  </si>
  <si>
    <r>
      <rPr>
        <rFont val="宋体"/>
        <charset val="-122"/>
        <family val="0"/>
        <sz val="9"/>
      </rPr>
      <t xml:space="preserve">  竹、藤、棕、草制品制造</t>
    </r>
  </si>
  <si>
    <r>
      <rPr>
        <rFont val="宋体"/>
        <charset val="-122"/>
        <family val="0"/>
        <sz val="9"/>
      </rPr>
      <t xml:space="preserve">  指除木材以外，以</t>
    </r>
    <r>
      <rPr>
        <rFont val="宋体"/>
        <charset val="-122"/>
        <family val="0"/>
        <sz val="9"/>
      </rPr>
      <t xml:space="preserve"> 竹、藤、棕、草等天然植物为原料生产制品的活动。但不包括家具的制造。</t>
    </r>
  </si>
  <si>
    <r>
      <rPr>
        <rFont val="宋体"/>
        <charset val="-122"/>
        <family val="0"/>
        <sz val="9"/>
      </rPr>
      <t xml:space="preserve">  指用木材、金属、塑料、竹、藤等材料制作的，具有坐卧、凭倚、储藏、间隔等功能，可用于住宅、旅馆、办公室、学校、餐馆、医院、剧场、公园、船舰、飞机、机动车等任何场所的各种家具的制造。</t>
    </r>
  </si>
  <si>
    <r>
      <rPr>
        <rFont val="宋体"/>
        <charset val="-122"/>
        <family val="0"/>
        <sz val="9"/>
      </rPr>
      <t xml:space="preserve">  木质家具制造</t>
    </r>
  </si>
  <si>
    <r>
      <rPr>
        <rFont val="宋体"/>
        <charset val="-122"/>
        <family val="0"/>
        <sz val="9"/>
      </rPr>
      <t xml:space="preserve">  指以天然木材和木质人造板为主要材料，配以其他辅料（如油漆、贴面材料、玻璃、五金配件等）制作各种家具的生产活动。</t>
    </r>
  </si>
  <si>
    <r>
      <rPr>
        <rFont val="宋体"/>
        <charset val="-122"/>
        <family val="0"/>
        <sz val="9"/>
      </rPr>
      <t xml:space="preserve">  竹、藤家具制造</t>
    </r>
  </si>
  <si>
    <r>
      <rPr>
        <rFont val="宋体"/>
        <charset val="-122"/>
        <family val="0"/>
        <sz val="9"/>
      </rPr>
      <t xml:space="preserve">  指以竹材和藤材为主要材料，配以其他辅料制作各种家具的生产活动。</t>
    </r>
  </si>
  <si>
    <r>
      <rPr>
        <rFont val="宋体"/>
        <charset val="-122"/>
        <family val="0"/>
        <sz val="9"/>
      </rPr>
      <t xml:space="preserve">  金属家具制造</t>
    </r>
  </si>
  <si>
    <r>
      <rPr>
        <rFont val="宋体"/>
        <charset val="-122"/>
        <family val="0"/>
        <sz val="9"/>
      </rPr>
      <t xml:space="preserve">  指支</t>
    </r>
    <r>
      <rPr>
        <rFont val="Times New Roman"/>
        <family val="1"/>
        <sz val="9"/>
      </rPr>
      <t>(</t>
    </r>
    <r>
      <rPr>
        <rFont val="宋体"/>
        <charset val="-122"/>
        <family val="0"/>
        <sz val="9"/>
      </rPr>
      <t>框</t>
    </r>
    <r>
      <rPr>
        <rFont val="Times New Roman"/>
        <family val="1"/>
        <sz val="9"/>
      </rPr>
      <t>)</t>
    </r>
    <r>
      <rPr>
        <rFont val="宋体"/>
        <charset val="-122"/>
        <family val="0"/>
        <sz val="9"/>
      </rPr>
      <t>架及主要部件以铸铁、钢材、钢板、钢管、合金等金属为主要材料，结合使用木、竹、塑等材料，配以人造革、尼龙布、泡沫塑料等其他辅料制作各种家具的生产活动。</t>
    </r>
  </si>
  <si>
    <r>
      <rPr>
        <rFont val="宋体"/>
        <charset val="-122"/>
        <family val="0"/>
        <sz val="9"/>
      </rPr>
      <t xml:space="preserve">  塑料家具制造</t>
    </r>
  </si>
  <si>
    <r>
      <rPr>
        <rFont val="宋体"/>
        <charset val="-122"/>
        <family val="0"/>
        <sz val="9"/>
      </rPr>
      <t xml:space="preserve">  指用塑料管、板、异型材加工或用塑料、玻璃钢（即增强塑料）直接在模具中成型的家具的生产活动。</t>
    </r>
  </si>
  <si>
    <r>
      <rPr>
        <rFont val="宋体"/>
        <charset val="-122"/>
        <family val="0"/>
        <sz val="9"/>
      </rPr>
      <t xml:space="preserve">  其他家具制造</t>
    </r>
  </si>
  <si>
    <r>
      <rPr>
        <rFont val="宋体"/>
        <charset val="-122"/>
        <family val="0"/>
        <sz val="9"/>
      </rPr>
      <t xml:space="preserve">  指主要由弹性材料</t>
    </r>
    <r>
      <rPr>
        <rFont val="Times New Roman"/>
        <family val="1"/>
        <sz val="9"/>
      </rPr>
      <t>(</t>
    </r>
    <r>
      <rPr>
        <rFont val="宋体"/>
        <charset val="-122"/>
        <family val="0"/>
        <sz val="9"/>
      </rPr>
      <t>如弹簧、蛇簧、拉簧等</t>
    </r>
    <r>
      <rPr>
        <rFont val="Times New Roman"/>
        <family val="1"/>
        <sz val="9"/>
      </rPr>
      <t>)</t>
    </r>
    <r>
      <rPr>
        <rFont val="宋体"/>
        <charset val="-122"/>
        <family val="0"/>
        <sz val="9"/>
      </rPr>
      <t>和软质材料</t>
    </r>
    <r>
      <rPr>
        <rFont val="Times New Roman"/>
        <family val="1"/>
        <sz val="9"/>
      </rPr>
      <t>(</t>
    </r>
    <r>
      <rPr>
        <rFont val="宋体"/>
        <charset val="-122"/>
        <family val="0"/>
        <sz val="9"/>
      </rPr>
      <t>如棕丝、棉花、乳胶海绵、泡沫塑料等</t>
    </r>
    <r>
      <rPr>
        <rFont val="Times New Roman"/>
        <family val="1"/>
        <sz val="9"/>
      </rPr>
      <t>)</t>
    </r>
    <r>
      <rPr>
        <rFont val="宋体"/>
        <charset val="-122"/>
        <family val="0"/>
        <sz val="9"/>
      </rPr>
      <t>，辅以绷结材料</t>
    </r>
    <r>
      <rPr>
        <rFont val="Times New Roman"/>
        <family val="1"/>
        <sz val="9"/>
      </rPr>
      <t>(</t>
    </r>
    <r>
      <rPr>
        <rFont val="宋体"/>
        <charset val="-122"/>
        <family val="0"/>
        <sz val="9"/>
      </rPr>
      <t>如绷绳、绷带、麻布等</t>
    </r>
    <r>
      <rPr>
        <rFont val="Times New Roman"/>
        <family val="1"/>
        <sz val="9"/>
      </rPr>
      <t>)</t>
    </r>
    <r>
      <rPr>
        <rFont val="宋体"/>
        <charset val="-122"/>
        <family val="0"/>
        <sz val="9"/>
      </rPr>
      <t>和装饰面料及饰物</t>
    </r>
    <r>
      <rPr>
        <rFont val="Times New Roman"/>
        <family val="1"/>
        <sz val="9"/>
      </rPr>
      <t>(</t>
    </r>
    <r>
      <rPr>
        <rFont val="宋体"/>
        <charset val="-122"/>
        <family val="0"/>
        <sz val="9"/>
      </rPr>
      <t>如棉、毛、化纤织物及牛皮、羊皮、人造革等</t>
    </r>
    <r>
      <rPr>
        <rFont val="Times New Roman"/>
        <family val="1"/>
        <sz val="9"/>
      </rPr>
      <t>)</t>
    </r>
    <r>
      <rPr>
        <rFont val="宋体"/>
        <charset val="-122"/>
        <family val="0"/>
        <sz val="9"/>
      </rPr>
      <t>制成的各种软家具；以玻璃为主要材料，辅以木材或金属材料制成的各种玻璃家具，以及其他未列明的原材料制作各种家具的活动。</t>
    </r>
  </si>
  <si>
    <r>
      <rPr>
        <rFont val="宋体"/>
        <charset val="-122"/>
        <family val="0"/>
        <sz val="9"/>
      </rPr>
      <t xml:space="preserve">  纸浆制造</t>
    </r>
  </si>
  <si>
    <r>
      <rPr>
        <rFont val="宋体"/>
        <charset val="-122"/>
        <family val="0"/>
        <sz val="9"/>
      </rPr>
      <t xml:space="preserve">  指经机械或化学方法加工纸浆的生产活动。</t>
    </r>
  </si>
  <si>
    <r>
      <rPr>
        <rFont val="宋体"/>
        <charset val="-122"/>
        <family val="0"/>
        <sz val="9"/>
      </rPr>
      <t xml:space="preserve">  造纸</t>
    </r>
  </si>
  <si>
    <r>
      <rPr>
        <rFont val="宋体"/>
        <charset val="-122"/>
        <family val="0"/>
        <sz val="9"/>
      </rPr>
      <t xml:space="preserve">  指用纸浆或其他原料（如矿渣棉、云母、石棉等）悬浮在流体中的纤维，经过造纸机或其他设备成型，或手工操作而成的纸及纸板的制造活动。</t>
    </r>
  </si>
  <si>
    <r>
      <rPr>
        <rFont val="宋体"/>
        <charset val="-122"/>
        <family val="0"/>
        <sz val="9"/>
      </rPr>
      <t xml:space="preserve">    机制纸及纸板制造</t>
    </r>
  </si>
  <si>
    <r>
      <rPr>
        <rFont val="宋体"/>
        <charset val="-122"/>
        <family val="0"/>
        <sz val="9"/>
      </rPr>
      <t xml:space="preserve">    手工纸制造</t>
    </r>
  </si>
  <si>
    <r>
      <rPr>
        <rFont val="宋体"/>
        <charset val="-122"/>
        <family val="0"/>
        <sz val="9"/>
      </rPr>
      <t xml:space="preserve">  指采用手工操作成型，制成纸的生产活动。</t>
    </r>
  </si>
  <si>
    <r>
      <rPr>
        <rFont val="宋体"/>
        <charset val="-122"/>
        <family val="0"/>
        <sz val="9"/>
      </rPr>
      <t xml:space="preserve">    加工纸制造</t>
    </r>
  </si>
  <si>
    <r>
      <rPr>
        <rFont val="宋体"/>
        <charset val="-122"/>
        <family val="0"/>
        <sz val="9"/>
      </rPr>
      <t xml:space="preserve">  指对原纸及纸板进一步加工的生产活动。</t>
    </r>
  </si>
  <si>
    <r>
      <rPr>
        <rFont val="宋体"/>
        <charset val="-122"/>
        <family val="0"/>
        <sz val="9"/>
      </rPr>
      <t xml:space="preserve">  纸制品制造</t>
    </r>
  </si>
  <si>
    <r>
      <rPr>
        <rFont val="宋体"/>
        <charset val="-122"/>
        <family val="0"/>
        <sz val="9"/>
      </rPr>
      <t xml:space="preserve">  指用纸及纸板为原料，进一步加工制成纸制品的生产活动。</t>
    </r>
  </si>
  <si>
    <r>
      <rPr>
        <rFont val="宋体"/>
        <charset val="-122"/>
        <family val="0"/>
        <sz val="9"/>
      </rPr>
      <t xml:space="preserve">    纸和纸板容器的制造</t>
    </r>
  </si>
  <si>
    <r>
      <rPr>
        <rFont val="宋体"/>
        <charset val="-122"/>
        <family val="0"/>
        <sz val="9"/>
      </rPr>
      <t xml:space="preserve">    其他纸制品制造</t>
    </r>
  </si>
  <si>
    <r>
      <rPr>
        <rFont val="宋体"/>
        <charset val="-122"/>
        <family val="0"/>
        <sz val="9"/>
      </rPr>
      <t xml:space="preserve">  指符合出售规格或包装要求的纸制品，以及其他未列明的纸制品的制造。</t>
    </r>
  </si>
  <si>
    <r>
      <rPr>
        <rFont val="宋体"/>
        <charset val="-122"/>
        <family val="0"/>
        <sz val="9"/>
      </rPr>
      <t xml:space="preserve">  印刷</t>
    </r>
  </si>
  <si>
    <r>
      <rPr>
        <rFont val="宋体"/>
        <charset val="-122"/>
        <family val="0"/>
        <sz val="9"/>
      </rPr>
      <t xml:space="preserve">    书、报、刊印刷</t>
    </r>
  </si>
  <si>
    <r>
      <rPr>
        <rFont val="宋体"/>
        <charset val="-122"/>
        <family val="0"/>
        <sz val="9"/>
      </rPr>
      <t xml:space="preserve">    本册印制</t>
    </r>
  </si>
  <si>
    <r>
      <rPr>
        <rFont val="宋体"/>
        <charset val="-122"/>
        <family val="0"/>
        <sz val="9"/>
      </rPr>
      <t xml:space="preserve">  指由各种纸及纸板制作的，用于书写和其他用途的本册生产。</t>
    </r>
  </si>
  <si>
    <r>
      <rPr>
        <rFont val="宋体"/>
        <charset val="-122"/>
        <family val="0"/>
        <sz val="9"/>
      </rPr>
      <t xml:space="preserve">    包装装潢及其他印刷</t>
    </r>
  </si>
  <si>
    <r>
      <rPr>
        <rFont val="宋体"/>
        <charset val="-122"/>
        <family val="0"/>
        <sz val="9"/>
      </rPr>
      <t xml:space="preserve">  指根据一定的商品属性、形态，采用一定的包装材料，经过对商品包装的造型结构艺术和图案文字的设计与安排来装饰美化商品的印刷，以及其他印刷活动。</t>
    </r>
  </si>
  <si>
    <r>
      <rPr>
        <rFont val="宋体"/>
        <charset val="-122"/>
        <family val="0"/>
        <sz val="9"/>
      </rPr>
      <t xml:space="preserve">  装订及其他印刷服务活动</t>
    </r>
  </si>
  <si>
    <r>
      <rPr>
        <rFont val="宋体"/>
        <charset val="-122"/>
        <family val="0"/>
        <sz val="9"/>
      </rPr>
      <t xml:space="preserve">  指专门企业从事的装订、压印媒介制造等与印刷有关的服务活动。</t>
    </r>
  </si>
  <si>
    <r>
      <rPr>
        <rFont val="宋体"/>
        <charset val="-122"/>
        <family val="0"/>
        <sz val="9"/>
      </rPr>
      <t xml:space="preserve">  记录媒介的复制</t>
    </r>
  </si>
  <si>
    <r>
      <rPr>
        <rFont val="宋体"/>
        <charset val="-122"/>
        <family val="0"/>
        <sz val="9"/>
      </rPr>
      <t xml:space="preserve">  指将母带、母盘上的信息进行批量翻录的生产活动。</t>
    </r>
  </si>
  <si>
    <r>
      <rPr>
        <rFont val="宋体"/>
        <charset val="-122"/>
        <family val="0"/>
        <sz val="9"/>
      </rPr>
      <t xml:space="preserve">  文化用品制造</t>
    </r>
  </si>
  <si>
    <r>
      <rPr>
        <rFont val="宋体"/>
        <charset val="-122"/>
        <family val="0"/>
        <sz val="9"/>
      </rPr>
      <t xml:space="preserve">    文具制造</t>
    </r>
  </si>
  <si>
    <r>
      <rPr>
        <rFont val="宋体"/>
        <charset val="-122"/>
        <family val="0"/>
        <sz val="9"/>
      </rPr>
      <t xml:space="preserve">  指办公、学习等使用的各种文具的制造。</t>
    </r>
  </si>
  <si>
    <r>
      <rPr>
        <rFont val="宋体"/>
        <charset val="-122"/>
        <family val="0"/>
        <sz val="9"/>
      </rPr>
      <t xml:space="preserve">    笔的制造</t>
    </r>
  </si>
  <si>
    <r>
      <rPr>
        <rFont val="宋体"/>
        <charset val="-122"/>
        <family val="0"/>
        <sz val="9"/>
      </rPr>
      <t xml:space="preserve">  指用于学习、办公或绘画等用途的各种笔制品的制造。</t>
    </r>
  </si>
  <si>
    <r>
      <rPr>
        <rFont val="宋体"/>
        <charset val="-122"/>
        <family val="0"/>
        <sz val="9"/>
      </rPr>
      <t xml:space="preserve">    教学用模型及教具制造</t>
    </r>
  </si>
  <si>
    <r>
      <rPr>
        <rFont val="宋体"/>
        <charset val="-122"/>
        <family val="0"/>
        <sz val="9"/>
      </rPr>
      <t xml:space="preserve">  指主要用于教学的各种专用模型、标本及教具的制造。</t>
    </r>
  </si>
  <si>
    <r>
      <rPr>
        <rFont val="宋体"/>
        <charset val="-122"/>
        <family val="0"/>
        <sz val="9"/>
      </rPr>
      <t xml:space="preserve">    墨水、墨汁制造</t>
    </r>
  </si>
  <si>
    <r>
      <rPr>
        <rFont val="宋体"/>
        <charset val="-122"/>
        <family val="0"/>
        <sz val="9"/>
      </rPr>
      <t xml:space="preserve">  指书写、绘画等使用的墨水、墨汁及类似制品的生产。</t>
    </r>
  </si>
  <si>
    <r>
      <rPr>
        <rFont val="宋体"/>
        <charset val="-122"/>
        <family val="0"/>
        <sz val="9"/>
      </rPr>
      <t xml:space="preserve">    其他文化用品制造</t>
    </r>
  </si>
  <si>
    <r>
      <rPr>
        <rFont val="宋体"/>
        <charset val="-122"/>
        <family val="0"/>
        <sz val="9"/>
      </rPr>
      <t xml:space="preserve">  体育用品制造</t>
    </r>
  </si>
  <si>
    <r>
      <rPr>
        <rFont val="宋体"/>
        <charset val="-122"/>
        <family val="0"/>
        <sz val="9"/>
      </rPr>
      <t xml:space="preserve">    球类制造</t>
    </r>
  </si>
  <si>
    <r>
      <rPr>
        <rFont val="宋体"/>
        <charset val="-122"/>
        <family val="0"/>
        <sz val="9"/>
      </rPr>
      <t xml:space="preserve">  指各种皮制、胶制、革制的可充气的运动用球，以及其他材料制成的各种运动用硬球、软球等球类产品的生产。</t>
    </r>
  </si>
  <si>
    <r>
      <rPr>
        <rFont val="宋体"/>
        <charset val="-122"/>
        <family val="0"/>
        <sz val="9"/>
      </rPr>
      <t xml:space="preserve">    体育器材及配件制造</t>
    </r>
  </si>
  <si>
    <r>
      <rPr>
        <rFont val="宋体"/>
        <charset val="-122"/>
        <family val="0"/>
        <sz val="9"/>
      </rPr>
      <t xml:space="preserve">  指各项竞技比赛和训练用器材及用品，体育场馆设施及器件的生产。</t>
    </r>
  </si>
  <si>
    <r>
      <rPr>
        <rFont val="宋体"/>
        <charset val="-122"/>
        <family val="0"/>
        <sz val="9"/>
      </rPr>
      <t xml:space="preserve">    训练健身器材制造</t>
    </r>
  </si>
  <si>
    <r>
      <rPr>
        <rFont val="宋体"/>
        <charset val="-122"/>
        <family val="0"/>
        <sz val="9"/>
      </rPr>
      <t xml:space="preserve">  指供健身房、家庭或体育训练用的健身器材及运动物品的制造。</t>
    </r>
  </si>
  <si>
    <r>
      <rPr>
        <rFont val="宋体"/>
        <charset val="-122"/>
        <family val="0"/>
        <sz val="9"/>
      </rPr>
      <t xml:space="preserve">    运动防护用具制造</t>
    </r>
  </si>
  <si>
    <r>
      <rPr>
        <rFont val="宋体"/>
        <charset val="-122"/>
        <family val="0"/>
        <sz val="9"/>
      </rPr>
      <t xml:space="preserve">  指用各种材质，为各项运动特制手套、鞋、帽和护具的生产活动。</t>
    </r>
  </si>
  <si>
    <r>
      <rPr>
        <rFont val="宋体"/>
        <charset val="-122"/>
        <family val="0"/>
        <sz val="9"/>
      </rPr>
      <t xml:space="preserve">    其他体育用品制造</t>
    </r>
  </si>
  <si>
    <r>
      <rPr>
        <rFont val="宋体"/>
        <charset val="-122"/>
        <family val="0"/>
        <sz val="9"/>
      </rPr>
      <t xml:space="preserve">  指钓鱼专用的各种用具及用品，以及上述未列明的体育用品制造。</t>
    </r>
  </si>
  <si>
    <r>
      <rPr>
        <rFont val="宋体"/>
        <charset val="-122"/>
        <family val="0"/>
        <sz val="9"/>
      </rPr>
      <t xml:space="preserve">  乐器制造</t>
    </r>
  </si>
  <si>
    <r>
      <rPr>
        <rFont val="宋体"/>
        <charset val="-122"/>
        <family val="0"/>
        <sz val="9"/>
      </rPr>
      <t xml:space="preserve">  指中国民族乐器、西乐器等各种乐器及乐器零部件和配套产品的制造，但不包括玩具乐器的制造。</t>
    </r>
  </si>
  <si>
    <r>
      <rPr>
        <rFont val="宋体"/>
        <charset val="-122"/>
        <family val="0"/>
        <sz val="9"/>
      </rPr>
      <t xml:space="preserve">    中乐器制造</t>
    </r>
  </si>
  <si>
    <r>
      <rPr>
        <rFont val="宋体"/>
        <charset val="-122"/>
        <family val="0"/>
        <sz val="9"/>
      </rPr>
      <t xml:space="preserve">    西乐器制造</t>
    </r>
  </si>
  <si>
    <r>
      <rPr>
        <rFont val="宋体"/>
        <charset val="-122"/>
        <family val="0"/>
        <sz val="9"/>
      </rPr>
      <t xml:space="preserve">    电子乐器制造</t>
    </r>
  </si>
  <si>
    <r>
      <rPr>
        <rFont val="宋体"/>
        <charset val="-122"/>
        <family val="0"/>
        <sz val="9"/>
      </rPr>
      <t xml:space="preserve">    其他乐器及零件制造</t>
    </r>
  </si>
  <si>
    <r>
      <rPr>
        <rFont val="宋体"/>
        <charset val="-122"/>
        <family val="0"/>
        <sz val="9"/>
      </rPr>
      <t xml:space="preserve">  指其他未列明的乐器、乐器零件及配套产品的制造。</t>
    </r>
  </si>
  <si>
    <r>
      <rPr>
        <rFont val="宋体"/>
        <charset val="-122"/>
        <family val="0"/>
        <sz val="9"/>
      </rPr>
      <t xml:space="preserve">  玩具制造</t>
    </r>
  </si>
  <si>
    <r>
      <rPr>
        <rFont val="宋体"/>
        <charset val="-122"/>
        <family val="0"/>
        <sz val="9"/>
      </rPr>
      <t xml:space="preserve">  指以儿童为主要使用者，具备娱乐性、教育性和安全性三个基本特征的娱乐器具的制造。</t>
    </r>
    <r>
      <rPr>
        <rFont val="Times New Roman"/>
        <family val="1"/>
        <sz val="9"/>
      </rPr>
      <t xml:space="preserve"> </t>
    </r>
  </si>
  <si>
    <r>
      <rPr>
        <rFont val="宋体"/>
        <charset val="-122"/>
        <family val="0"/>
        <sz val="9"/>
      </rPr>
      <t xml:space="preserve">  游艺器材及娱乐用品制造</t>
    </r>
  </si>
  <si>
    <r>
      <rPr>
        <rFont val="宋体"/>
        <charset val="-122"/>
        <family val="0"/>
        <sz val="9"/>
      </rPr>
      <t xml:space="preserve">    露天游乐场所游乐设备制造</t>
    </r>
  </si>
  <si>
    <r>
      <rPr>
        <rFont val="宋体"/>
        <charset val="-122"/>
        <family val="0"/>
        <sz val="9"/>
      </rPr>
      <t xml:space="preserve">  指主要安装在公园、游乐园、水上乐园、儿童乐园等露天游乐场所的电动及非电动游乐设备和游艺器材的制造。</t>
    </r>
  </si>
  <si>
    <r>
      <rPr>
        <rFont val="宋体"/>
        <charset val="-122"/>
        <family val="0"/>
        <sz val="9"/>
      </rPr>
      <t xml:space="preserve">    游艺用品及室内游艺器材制造</t>
    </r>
  </si>
  <si>
    <r>
      <rPr>
        <rFont val="宋体"/>
        <charset val="-122"/>
        <family val="0"/>
        <sz val="9"/>
      </rPr>
      <t xml:space="preserve">  指主要供室内、桌上等游艺及娱乐场所使用的游乐设备、游艺器材和游艺娱乐用品，以及主要安装在室内游乐场所的电子游乐设备的制造。</t>
    </r>
  </si>
  <si>
    <r>
      <rPr>
        <rFont val="宋体"/>
        <charset val="-122"/>
        <family val="0"/>
        <sz val="9"/>
      </rPr>
      <t xml:space="preserve">  精炼石油产品的制造</t>
    </r>
  </si>
  <si>
    <r>
      <rPr>
        <rFont val="宋体"/>
        <charset val="-122"/>
        <family val="0"/>
        <sz val="9"/>
      </rPr>
      <t xml:space="preserve">    原油加工及石油制品制造</t>
    </r>
  </si>
  <si>
    <r>
      <rPr>
        <rFont val="宋体"/>
        <charset val="-122"/>
        <family val="0"/>
        <sz val="9"/>
      </rPr>
      <t xml:space="preserve">  指从天然原油、人造原油中提炼液态或气态燃料，以及石油制品的生产。</t>
    </r>
  </si>
  <si>
    <r>
      <rPr>
        <rFont val="宋体"/>
        <charset val="-122"/>
        <family val="0"/>
        <sz val="9"/>
      </rPr>
      <t xml:space="preserve">    人造原油生产</t>
    </r>
  </si>
  <si>
    <r>
      <rPr>
        <rFont val="宋体"/>
        <charset val="-122"/>
        <family val="0"/>
        <sz val="9"/>
      </rPr>
      <t xml:space="preserve">  指从油母页岩中提炼原油的生产活动。</t>
    </r>
  </si>
  <si>
    <r>
      <rPr>
        <rFont val="宋体"/>
        <charset val="-122"/>
        <family val="0"/>
        <sz val="9"/>
      </rPr>
      <t xml:space="preserve">  炼焦</t>
    </r>
  </si>
  <si>
    <r>
      <rPr>
        <rFont val="宋体"/>
        <charset val="-122"/>
        <family val="0"/>
        <sz val="9"/>
      </rPr>
      <t xml:space="preserve">  指主要从硬煤和褐煤中生产焦炭、干馏炭及煤焦油或沥青等副产品的炼焦炉的操作活动。</t>
    </r>
  </si>
  <si>
    <r>
      <rPr>
        <rFont val="宋体"/>
        <charset val="-122"/>
        <family val="0"/>
        <sz val="9"/>
      </rPr>
      <t xml:space="preserve">  核燃料加工</t>
    </r>
  </si>
  <si>
    <r>
      <rPr>
        <rFont val="宋体"/>
        <charset val="-122"/>
        <family val="0"/>
        <sz val="9"/>
      </rPr>
      <t xml:space="preserve">  指从沥青铀矿或其他含铀矿石中提取铀、浓缩铀的生产，对铀金属的冶炼、加工的生产，以及其他放射性元素、同位素标记、核反应堆燃料元件的制造。还包括核废物处置活动。</t>
    </r>
  </si>
  <si>
    <r>
      <rPr>
        <rFont val="宋体"/>
        <charset val="-122"/>
        <family val="0"/>
        <sz val="9"/>
      </rPr>
      <t xml:space="preserve">  基础化学原料制造</t>
    </r>
  </si>
  <si>
    <r>
      <rPr>
        <rFont val="宋体"/>
        <charset val="-122"/>
        <family val="0"/>
        <sz val="9"/>
      </rPr>
      <t xml:space="preserve">    无机酸制造</t>
    </r>
  </si>
  <si>
    <r>
      <rPr>
        <rFont val="宋体"/>
        <charset val="-122"/>
        <family val="0"/>
        <sz val="9"/>
      </rPr>
      <t xml:space="preserve">    无机碱制造</t>
    </r>
  </si>
  <si>
    <r>
      <rPr>
        <rFont val="宋体"/>
        <charset val="-122"/>
        <family val="0"/>
        <sz val="9"/>
      </rPr>
      <t xml:space="preserve">  指烧碱、纯碱的生产。</t>
    </r>
  </si>
  <si>
    <r>
      <rPr>
        <rFont val="宋体"/>
        <charset val="-122"/>
        <family val="0"/>
        <sz val="9"/>
      </rPr>
      <t xml:space="preserve">    无机盐制造</t>
    </r>
  </si>
  <si>
    <r>
      <rPr>
        <rFont val="宋体"/>
        <charset val="-122"/>
        <family val="0"/>
        <sz val="9"/>
      </rPr>
      <t xml:space="preserve">    有机化学原料制造</t>
    </r>
  </si>
  <si>
    <r>
      <rPr>
        <rFont val="宋体"/>
        <charset val="-122"/>
        <family val="0"/>
        <sz val="9"/>
      </rPr>
      <t xml:space="preserve">    其他基础化学原料制造</t>
    </r>
  </si>
  <si>
    <r>
      <rPr>
        <rFont val="宋体"/>
        <charset val="-122"/>
        <family val="0"/>
        <sz val="9"/>
      </rPr>
      <t xml:space="preserve">  肥料制造</t>
    </r>
  </si>
  <si>
    <r>
      <rPr>
        <rFont val="宋体"/>
        <charset val="-122"/>
        <family val="0"/>
        <sz val="9"/>
      </rPr>
      <t xml:space="preserve">  指化学肥料、有机肥料及微生物肥料的制造。</t>
    </r>
  </si>
  <si>
    <r>
      <rPr>
        <rFont val="宋体"/>
        <charset val="-122"/>
        <family val="0"/>
        <sz val="9"/>
      </rPr>
      <t xml:space="preserve">    氮肥制造</t>
    </r>
  </si>
  <si>
    <r>
      <rPr>
        <rFont val="宋体"/>
        <charset val="-122"/>
        <family val="0"/>
        <sz val="9"/>
      </rPr>
      <t xml:space="preserve">  指矿物氮肥及用化学方法制成含有作物营养元素氮的化肥的生产。</t>
    </r>
  </si>
  <si>
    <r>
      <rPr>
        <rFont val="宋体"/>
        <charset val="-122"/>
        <family val="0"/>
        <sz val="9"/>
      </rPr>
      <t xml:space="preserve">    磷肥制造</t>
    </r>
  </si>
  <si>
    <r>
      <rPr>
        <rFont val="宋体"/>
        <charset val="-122"/>
        <family val="0"/>
        <sz val="9"/>
      </rPr>
      <t xml:space="preserve">  指以磷矿石为主要原料，用化学或物理方法制成含有作物营养元素磷的化肥的生产。</t>
    </r>
  </si>
  <si>
    <r>
      <rPr>
        <rFont val="宋体"/>
        <charset val="-122"/>
        <family val="0"/>
        <sz val="9"/>
      </rPr>
      <t xml:space="preserve">    钾肥制造</t>
    </r>
  </si>
  <si>
    <r>
      <rPr>
        <rFont val="宋体"/>
        <charset val="-122"/>
        <family val="0"/>
        <sz val="9"/>
      </rPr>
      <t xml:space="preserve">  指用天然钾盐矿经富集精制加工制成含有作物营养元素钾的化肥的生产。</t>
    </r>
  </si>
  <si>
    <r>
      <rPr>
        <rFont val="宋体"/>
        <charset val="-122"/>
        <family val="0"/>
        <sz val="9"/>
      </rPr>
      <t xml:space="preserve">    复混肥料制造</t>
    </r>
  </si>
  <si>
    <r>
      <rPr>
        <rFont val="宋体"/>
        <charset val="-122"/>
        <family val="0"/>
        <sz val="9"/>
      </rPr>
      <t xml:space="preserve">  指经过化学或物理方法加工制成的，含有两种以上作物所需主要营养元素（氮、磷、钾）的化肥的生产。包括通用型复混肥料和专用型复混肥料。</t>
    </r>
  </si>
  <si>
    <r>
      <rPr>
        <rFont val="宋体"/>
        <charset val="-122"/>
        <family val="0"/>
        <sz val="9"/>
      </rPr>
      <t xml:space="preserve">    有机肥料及微生物肥料制造</t>
    </r>
  </si>
  <si>
    <r>
      <rPr>
        <rFont val="宋体"/>
        <charset val="-122"/>
        <family val="0"/>
        <sz val="9"/>
      </rPr>
      <t xml:space="preserve">  指来源于动植物，经发酵或腐熟等化学处理后，适用于土壤并提供植物养分供给的，其主要成分为含氮物质的肥料制造。</t>
    </r>
  </si>
  <si>
    <r>
      <rPr>
        <rFont val="宋体"/>
        <charset val="-122"/>
        <family val="0"/>
        <sz val="9"/>
      </rPr>
      <t xml:space="preserve">    其他肥料制造</t>
    </r>
  </si>
  <si>
    <r>
      <rPr>
        <rFont val="宋体"/>
        <charset val="-122"/>
        <family val="0"/>
        <sz val="9"/>
      </rPr>
      <t xml:space="preserve">  指上述未列明的微量元素肥料及其他肥料的生产。</t>
    </r>
  </si>
  <si>
    <r>
      <rPr>
        <rFont val="宋体"/>
        <charset val="-122"/>
        <family val="0"/>
        <sz val="9"/>
      </rPr>
      <t xml:space="preserve">  农药制造</t>
    </r>
  </si>
  <si>
    <r>
      <rPr>
        <rFont val="宋体"/>
        <charset val="-122"/>
        <family val="0"/>
        <sz val="9"/>
      </rPr>
      <t xml:space="preserve">  指用于防治农业、林业作物的病、虫、草、鼠和其他有害生物，调节植物生长的各种化学农药、微生物农药、生物化学农药，以及仓储、农林产品的防蚀、河流堤坝、铁路、机场、建筑物及其他场所用药的原药和制剂的生产。</t>
    </r>
  </si>
  <si>
    <r>
      <rPr>
        <rFont val="宋体"/>
        <charset val="-122"/>
        <family val="0"/>
        <sz val="9"/>
      </rPr>
      <t xml:space="preserve">    化学农药制造</t>
    </r>
  </si>
  <si>
    <r>
      <rPr>
        <rFont val="宋体"/>
        <charset val="-122"/>
        <family val="0"/>
        <sz val="9"/>
      </rPr>
      <t xml:space="preserve">  指化学农药原药，以及经过机械粉碎、混合或稀释制成粉状、乳状和水状的化学农药制剂的生产。</t>
    </r>
  </si>
  <si>
    <r>
      <rPr>
        <rFont val="宋体"/>
        <charset val="-122"/>
        <family val="0"/>
        <sz val="9"/>
      </rPr>
      <t xml:space="preserve">    生物化学农药及微生物农药制造</t>
    </r>
  </si>
  <si>
    <r>
      <rPr>
        <rFont val="宋体"/>
        <charset val="-122"/>
        <family val="0"/>
        <sz val="9"/>
      </rPr>
      <t xml:space="preserve">  指由细菌、真菌、病毒和原生动物或基因修饰的微生物等自然产生，以及由植物提取的防治病、虫、草、鼠和其他有害生物的农药制剂生产。</t>
    </r>
  </si>
  <si>
    <r>
      <rPr>
        <rFont val="宋体"/>
        <charset val="-122"/>
        <family val="0"/>
        <sz val="9"/>
      </rPr>
      <t xml:space="preserve">  涂料、油墨、颜料及类似产品制造</t>
    </r>
  </si>
  <si>
    <r>
      <rPr>
        <rFont val="宋体"/>
        <charset val="-122"/>
        <family val="0"/>
        <sz val="9"/>
      </rPr>
      <t xml:space="preserve">    涂料制造</t>
    </r>
  </si>
  <si>
    <r>
      <rPr>
        <rFont val="宋体"/>
        <charset val="-122"/>
        <family val="0"/>
        <sz val="9"/>
      </rPr>
      <t xml:space="preserve">  指在天然树脂或合成树脂中加入颜料、溶剂和辅助材料，经加工后制成的覆盖材料的生产。</t>
    </r>
    <r>
      <rPr>
        <rFont val="Times New Roman"/>
        <family val="1"/>
        <sz val="9"/>
      </rPr>
      <t xml:space="preserve">      </t>
    </r>
  </si>
  <si>
    <r>
      <rPr>
        <rFont val="宋体"/>
        <charset val="-122"/>
        <family val="0"/>
        <sz val="9"/>
      </rPr>
      <t xml:space="preserve">    油墨及类似产品制造</t>
    </r>
  </si>
  <si>
    <r>
      <rPr>
        <rFont val="宋体"/>
        <charset val="-122"/>
        <family val="0"/>
        <sz val="9"/>
      </rPr>
      <t xml:space="preserve">    颜料制造</t>
    </r>
  </si>
  <si>
    <r>
      <rPr>
        <rFont val="宋体"/>
        <charset val="-122"/>
        <family val="0"/>
        <sz val="9"/>
      </rPr>
      <t xml:space="preserve">  指用于陶瓷、搪瓷、玻璃等工业的无机颜料及类似材料的生产，以及油画、水粉画、广告等艺术用颜料的制造。</t>
    </r>
  </si>
  <si>
    <r>
      <rPr>
        <rFont val="宋体"/>
        <charset val="-122"/>
        <family val="0"/>
        <sz val="9"/>
      </rPr>
      <t xml:space="preserve">    染料制造</t>
    </r>
  </si>
  <si>
    <r>
      <rPr>
        <rFont val="宋体"/>
        <charset val="-122"/>
        <family val="0"/>
        <sz val="9"/>
      </rPr>
      <t xml:space="preserve">  指有机合成、植物性或动物性色料，以及有机颜料的生产。</t>
    </r>
  </si>
  <si>
    <r>
      <rPr>
        <rFont val="宋体"/>
        <charset val="-122"/>
        <family val="0"/>
        <sz val="9"/>
      </rPr>
      <t xml:space="preserve">    密封用填料及类似品制造</t>
    </r>
  </si>
  <si>
    <r>
      <rPr>
        <rFont val="宋体"/>
        <charset val="-122"/>
        <family val="0"/>
        <sz val="9"/>
      </rPr>
      <t xml:space="preserve">  指用于建筑涂料、密封和漆工用的填充料，以及其他类似化学材料的制造。</t>
    </r>
  </si>
  <si>
    <r>
      <rPr>
        <rFont val="宋体"/>
        <charset val="-122"/>
        <family val="0"/>
        <sz val="9"/>
      </rPr>
      <t xml:space="preserve">  合成材料制造</t>
    </r>
  </si>
  <si>
    <r>
      <rPr>
        <rFont val="宋体"/>
        <charset val="-122"/>
        <family val="0"/>
        <sz val="9"/>
      </rPr>
      <t xml:space="preserve">    初级形态的塑料及合成树脂制造</t>
    </r>
  </si>
  <si>
    <r>
      <rPr>
        <rFont val="宋体"/>
        <charset val="-122"/>
        <family val="0"/>
        <sz val="9"/>
      </rPr>
      <t xml:space="preserve">  也称初级塑料或原状塑料生产，包括通用塑料、工程塑料、功能高分子塑料的制造。</t>
    </r>
  </si>
  <si>
    <r>
      <rPr>
        <rFont val="宋体"/>
        <charset val="-122"/>
        <family val="0"/>
        <sz val="9"/>
      </rPr>
      <t xml:space="preserve">    合成橡胶制造</t>
    </r>
  </si>
  <si>
    <r>
      <rPr>
        <rFont val="宋体"/>
        <charset val="-122"/>
        <family val="0"/>
        <sz val="9"/>
      </rPr>
      <t xml:space="preserve">  指人造橡胶或合成橡胶及高分子弹性体的生产。</t>
    </r>
  </si>
  <si>
    <r>
      <rPr>
        <rFont val="宋体"/>
        <charset val="-122"/>
        <family val="0"/>
        <sz val="9"/>
      </rPr>
      <t xml:space="preserve">    合成纤维单</t>
    </r>
    <r>
      <rPr>
        <rFont val="Times New Roman"/>
        <family val="1"/>
        <sz val="9"/>
      </rPr>
      <t>(</t>
    </r>
    <r>
      <rPr>
        <rFont val="宋体"/>
        <charset val="-122"/>
        <family val="0"/>
        <sz val="9"/>
      </rPr>
      <t>聚合</t>
    </r>
    <r>
      <rPr>
        <rFont val="Times New Roman"/>
        <family val="1"/>
        <sz val="9"/>
      </rPr>
      <t>)</t>
    </r>
    <r>
      <rPr>
        <rFont val="宋体"/>
        <charset val="-122"/>
        <family val="0"/>
        <sz val="9"/>
      </rPr>
      <t>体的制造</t>
    </r>
  </si>
  <si>
    <r>
      <rPr>
        <rFont val="宋体"/>
        <charset val="-122"/>
        <family val="0"/>
        <sz val="9"/>
      </rPr>
      <t xml:space="preserve">  指合成纤维单体和合成纤维聚合物的生产。</t>
    </r>
  </si>
  <si>
    <r>
      <rPr>
        <rFont val="宋体"/>
        <charset val="-122"/>
        <family val="0"/>
        <sz val="9"/>
      </rPr>
      <t xml:space="preserve">    其他合成材料制造</t>
    </r>
  </si>
  <si>
    <r>
      <rPr>
        <rFont val="宋体"/>
        <charset val="-122"/>
        <family val="0"/>
        <sz val="9"/>
      </rPr>
      <t xml:space="preserve">  专用化学产品制造</t>
    </r>
  </si>
  <si>
    <r>
      <rPr>
        <rFont val="宋体"/>
        <charset val="-122"/>
        <family val="0"/>
        <sz val="9"/>
      </rPr>
      <t xml:space="preserve">    化学试剂和助剂制造</t>
    </r>
  </si>
  <si>
    <r>
      <rPr>
        <rFont val="宋体"/>
        <charset val="-122"/>
        <family val="0"/>
        <sz val="9"/>
      </rPr>
      <t xml:space="preserve">  指各种化学试剂、催化剂及专用助剂的生产。</t>
    </r>
  </si>
  <si>
    <r>
      <rPr>
        <rFont val="宋体"/>
        <charset val="-122"/>
        <family val="0"/>
        <sz val="9"/>
      </rPr>
      <t xml:space="preserve">    专项化学用品制造</t>
    </r>
  </si>
  <si>
    <r>
      <rPr>
        <rFont val="宋体"/>
        <charset val="-122"/>
        <family val="0"/>
        <sz val="9"/>
      </rPr>
      <t xml:space="preserve">  指水处理化学品、造纸化学品、皮革化学品、油脂化学品、油田化学品、生物工程化学品、日化产品专用化学品、化学陶瓷纤维等特种纤维及高功能化工产品，以及其他各种用途的专项化学用品的制造。</t>
    </r>
  </si>
  <si>
    <r>
      <rPr>
        <rFont val="宋体"/>
        <charset val="-122"/>
        <family val="0"/>
        <sz val="9"/>
      </rPr>
      <t xml:space="preserve">    林产化学产品制造</t>
    </r>
  </si>
  <si>
    <r>
      <rPr>
        <rFont val="宋体"/>
        <charset val="-122"/>
        <family val="0"/>
        <sz val="9"/>
      </rPr>
      <t xml:space="preserve">  指以林产品为原料，经过化学和物理加工方法生产产品的活动。</t>
    </r>
  </si>
  <si>
    <r>
      <rPr>
        <rFont val="宋体"/>
        <charset val="-122"/>
        <family val="0"/>
        <sz val="9"/>
      </rPr>
      <t xml:space="preserve">    炸药及火工产品制造</t>
    </r>
  </si>
  <si>
    <r>
      <rPr>
        <rFont val="宋体"/>
        <charset val="-122"/>
        <family val="0"/>
        <sz val="9"/>
      </rPr>
      <t xml:space="preserve">  指各种军用和民用炸药、雷管及类似的火工产品，节日用焰火制品及类似品的制造。</t>
    </r>
  </si>
  <si>
    <r>
      <rPr>
        <rFont val="宋体"/>
        <charset val="-122"/>
        <family val="0"/>
        <sz val="9"/>
      </rPr>
      <t xml:space="preserve">    信息化学品制造</t>
    </r>
  </si>
  <si>
    <r>
      <rPr>
        <rFont val="宋体"/>
        <charset val="-122"/>
        <family val="0"/>
        <sz val="9"/>
      </rPr>
      <t xml:space="preserve">  指电影、照相、医用、幻灯及投影用感光材料、冲洗套药，磁、光记录材料，光纤维通讯用辅助材料，及其专用化学制剂的制造。</t>
    </r>
  </si>
  <si>
    <r>
      <rPr>
        <rFont val="宋体"/>
        <charset val="-122"/>
        <family val="0"/>
        <sz val="9"/>
      </rPr>
      <t xml:space="preserve">    环境污染处理专用药剂材料制造</t>
    </r>
  </si>
  <si>
    <r>
      <rPr>
        <rFont val="宋体"/>
        <charset val="-122"/>
        <family val="0"/>
        <sz val="9"/>
      </rPr>
      <t xml:space="preserve">  指对水污染、空气污染、固体废物等污染物处理所专用的化学药剂及材料的制造。</t>
    </r>
  </si>
  <si>
    <r>
      <rPr>
        <rFont val="宋体"/>
        <charset val="-122"/>
        <family val="0"/>
        <sz val="9"/>
      </rPr>
      <t xml:space="preserve">    动物胶制造</t>
    </r>
  </si>
  <si>
    <r>
      <rPr>
        <rFont val="宋体"/>
        <charset val="-122"/>
        <family val="0"/>
        <sz val="9"/>
      </rPr>
      <t xml:space="preserve">  指以动物骨、皮为原料，经一系列工艺处理制成有一定透明度、粘度、纯度的胶产品的生产。</t>
    </r>
  </si>
  <si>
    <r>
      <rPr>
        <rFont val="宋体"/>
        <charset val="-122"/>
        <family val="0"/>
        <sz val="9"/>
      </rPr>
      <t xml:space="preserve">    其他专用化学产品制造</t>
    </r>
  </si>
  <si>
    <r>
      <rPr>
        <rFont val="宋体"/>
        <charset val="-122"/>
        <family val="0"/>
        <sz val="9"/>
      </rPr>
      <t xml:space="preserve">  日用化学产品制造</t>
    </r>
  </si>
  <si>
    <r>
      <rPr>
        <rFont val="宋体"/>
        <charset val="-122"/>
        <family val="0"/>
        <sz val="9"/>
      </rPr>
      <t xml:space="preserve">    肥皂及合成洗涤剂制造</t>
    </r>
  </si>
  <si>
    <r>
      <rPr>
        <rFont val="宋体"/>
        <charset val="-122"/>
        <family val="0"/>
        <sz val="9"/>
      </rPr>
      <t xml:space="preserve">    化妆品制造</t>
    </r>
  </si>
  <si>
    <r>
      <rPr>
        <rFont val="宋体"/>
        <charset val="-122"/>
        <family val="0"/>
        <sz val="9"/>
      </rPr>
      <t xml:space="preserve">  指以涂抹、喷洒或其他类似方法，施于人体表面（如表皮、毛发、指甲、口唇等），起到清洁、保养、修饰、美化或消除不良气味，以及可对使用部位有缓和作用的产品制造。</t>
    </r>
  </si>
  <si>
    <r>
      <rPr>
        <rFont val="宋体"/>
        <charset val="-122"/>
        <family val="0"/>
        <sz val="9"/>
      </rPr>
      <t xml:space="preserve">    口腔清洁用品制造</t>
    </r>
  </si>
  <si>
    <r>
      <rPr>
        <rFont val="宋体"/>
        <charset val="-122"/>
        <family val="0"/>
        <sz val="9"/>
      </rPr>
      <t xml:space="preserve">  指用于口腔或牙齿清洁卫生制品的生产。</t>
    </r>
  </si>
  <si>
    <r>
      <rPr>
        <rFont val="宋体"/>
        <charset val="-122"/>
        <family val="0"/>
        <sz val="9"/>
      </rPr>
      <t xml:space="preserve">    香料、香精制造</t>
    </r>
  </si>
  <si>
    <r>
      <rPr>
        <rFont val="宋体"/>
        <charset val="-122"/>
        <family val="0"/>
        <sz val="9"/>
      </rPr>
      <t xml:space="preserve">  指具有香气和香味，用于调配香精的物质</t>
    </r>
    <r>
      <rPr>
        <rFont val="Times New Roman"/>
        <family val="1"/>
        <sz val="9"/>
      </rPr>
      <t>--</t>
    </r>
    <r>
      <rPr>
        <rFont val="宋体"/>
        <charset val="-122"/>
        <family val="0"/>
        <sz val="9"/>
      </rPr>
      <t>香料的生产；以及以多种天然香料和合成香料为主要原料，并与其他辅料一起按合理的配方和工艺调配制得的具有一定香型的复杂混合物，主要用于各类加香产品中的香精的生产。</t>
    </r>
  </si>
  <si>
    <r>
      <rPr>
        <rFont val="宋体"/>
        <charset val="-122"/>
        <family val="0"/>
        <sz val="9"/>
      </rPr>
      <t xml:space="preserve">    其他日用化学产品制造</t>
    </r>
  </si>
  <si>
    <r>
      <rPr>
        <rFont val="宋体"/>
        <charset val="-122"/>
        <family val="0"/>
        <sz val="9"/>
      </rPr>
      <t xml:space="preserve">  化学药品原药制造</t>
    </r>
  </si>
  <si>
    <r>
      <rPr>
        <rFont val="宋体"/>
        <charset val="-122"/>
        <family val="0"/>
        <sz val="9"/>
      </rPr>
      <t xml:space="preserve">  指供进一步加工药品制剂所需的原药生产。</t>
    </r>
  </si>
  <si>
    <r>
      <rPr>
        <rFont val="宋体"/>
        <charset val="-122"/>
        <family val="0"/>
        <sz val="9"/>
      </rPr>
      <t xml:space="preserve">  化学药品制剂制造</t>
    </r>
  </si>
  <si>
    <r>
      <rPr>
        <rFont val="宋体"/>
        <charset val="-122"/>
        <family val="0"/>
        <sz val="9"/>
      </rPr>
      <t xml:space="preserve">  指直接用于人体疾病防治、诊断的化学药品制剂的制造。</t>
    </r>
  </si>
  <si>
    <r>
      <rPr>
        <rFont val="宋体"/>
        <charset val="-122"/>
        <family val="0"/>
        <sz val="9"/>
      </rPr>
      <t xml:space="preserve">  中药饮片加工</t>
    </r>
  </si>
  <si>
    <r>
      <rPr>
        <rFont val="宋体"/>
        <charset val="-122"/>
        <family val="0"/>
        <sz val="9"/>
      </rPr>
      <t xml:space="preserve">  指对采集的天然或人工种植、养殖的动物和植物及中草药进行加工、处理的活动。</t>
    </r>
  </si>
  <si>
    <r>
      <rPr>
        <rFont val="宋体"/>
        <charset val="-122"/>
        <family val="0"/>
        <sz val="9"/>
      </rPr>
      <t xml:space="preserve">  中成药制造</t>
    </r>
  </si>
  <si>
    <r>
      <rPr>
        <rFont val="宋体"/>
        <charset val="-122"/>
        <family val="0"/>
        <sz val="9"/>
      </rPr>
      <t xml:space="preserve">  指直接用于人体疾病防治的传统药的加工生产。</t>
    </r>
  </si>
  <si>
    <r>
      <rPr>
        <rFont val="宋体"/>
        <charset val="-122"/>
        <family val="0"/>
        <sz val="9"/>
      </rPr>
      <t xml:space="preserve">  兽用药品制造</t>
    </r>
  </si>
  <si>
    <r>
      <rPr>
        <rFont val="宋体"/>
        <charset val="-122"/>
        <family val="0"/>
        <sz val="9"/>
      </rPr>
      <t xml:space="preserve">  指用于动物疾病防治医药的制造。</t>
    </r>
  </si>
  <si>
    <r>
      <rPr>
        <rFont val="宋体"/>
        <charset val="-122"/>
        <family val="0"/>
        <sz val="9"/>
      </rPr>
      <t xml:space="preserve">  生物、生化制品的制造</t>
    </r>
  </si>
  <si>
    <r>
      <rPr>
        <rFont val="宋体"/>
        <charset val="-122"/>
        <family val="0"/>
        <sz val="9"/>
      </rPr>
      <t xml:space="preserve">  指利用生物技术生产生物化学药品、基因工程药物的生产活动。</t>
    </r>
  </si>
  <si>
    <r>
      <rPr>
        <rFont val="宋体"/>
        <charset val="-122"/>
        <family val="0"/>
        <sz val="9"/>
      </rPr>
      <t xml:space="preserve">  卫生材料及医药用品制造</t>
    </r>
  </si>
  <si>
    <r>
      <rPr>
        <rFont val="宋体"/>
        <charset val="-122"/>
        <family val="0"/>
        <sz val="9"/>
      </rPr>
      <t xml:space="preserve">  指卫生材料、外科敷料、药用包装材料以及其他内、外科用医药制品的制造。</t>
    </r>
    <r>
      <rPr>
        <rFont val="Times New Roman"/>
        <family val="1"/>
        <sz val="9"/>
      </rPr>
      <t xml:space="preserve"> </t>
    </r>
  </si>
  <si>
    <r>
      <rPr>
        <rFont val="宋体"/>
        <charset val="-122"/>
        <family val="0"/>
        <sz val="9"/>
      </rPr>
      <t xml:space="preserve">  纤维素纤维原料及纤维制造</t>
    </r>
  </si>
  <si>
    <r>
      <rPr>
        <rFont val="宋体"/>
        <charset val="-122"/>
        <family val="0"/>
        <sz val="9"/>
      </rPr>
      <t xml:space="preserve">    化纤浆粕制造</t>
    </r>
  </si>
  <si>
    <r>
      <rPr>
        <rFont val="宋体"/>
        <charset val="-122"/>
        <family val="0"/>
        <sz val="9"/>
      </rPr>
      <t xml:space="preserve">  指生产纺织用粘胶纤维的基本原料生产。</t>
    </r>
  </si>
  <si>
    <r>
      <rPr>
        <rFont val="宋体"/>
        <charset val="-122"/>
        <family val="0"/>
        <sz val="9"/>
      </rPr>
      <t xml:space="preserve">    人造纤维（纤维素纤维）制造</t>
    </r>
  </si>
  <si>
    <r>
      <rPr>
        <rFont val="宋体"/>
        <charset val="-122"/>
        <family val="0"/>
        <sz val="9"/>
      </rPr>
      <t xml:space="preserve">  指用化纤浆粕经机械加工生产纤维的活动。</t>
    </r>
  </si>
  <si>
    <r>
      <rPr>
        <rFont val="宋体"/>
        <charset val="-122"/>
        <family val="0"/>
        <sz val="9"/>
      </rPr>
      <t xml:space="preserve">  合成纤维制造</t>
    </r>
  </si>
  <si>
    <r>
      <rPr>
        <rFont val="宋体"/>
        <charset val="-122"/>
        <family val="0"/>
        <sz val="9"/>
      </rPr>
      <t xml:space="preserve">  指以石油、天然气、煤等为主要原料，用有机合成的方法制成单体，聚合后经纺丝加工生产纤维的活动。</t>
    </r>
  </si>
  <si>
    <r>
      <rPr>
        <rFont val="宋体"/>
        <charset val="-122"/>
        <family val="0"/>
        <sz val="9"/>
      </rPr>
      <t xml:space="preserve">    锦纶纤维制造</t>
    </r>
  </si>
  <si>
    <r>
      <rPr>
        <rFont val="宋体"/>
        <charset val="-122"/>
        <family val="0"/>
        <sz val="9"/>
      </rPr>
      <t xml:space="preserve">  也称聚酰胺纤维，指由尼龙</t>
    </r>
    <r>
      <rPr>
        <rFont val="Times New Roman"/>
        <family val="1"/>
        <sz val="9"/>
      </rPr>
      <t>66</t>
    </r>
    <r>
      <rPr>
        <rFont val="宋体"/>
        <charset val="-122"/>
        <family val="0"/>
        <sz val="9"/>
      </rPr>
      <t>盐和聚己内酰胺为主要原料生产合成纤维的活动。</t>
    </r>
  </si>
  <si>
    <r>
      <rPr>
        <rFont val="宋体"/>
        <charset val="-122"/>
        <family val="0"/>
        <sz val="9"/>
      </rPr>
      <t xml:space="preserve">    涤纶纤维制造</t>
    </r>
  </si>
  <si>
    <r>
      <rPr>
        <rFont val="宋体"/>
        <charset val="-122"/>
        <family val="0"/>
        <sz val="9"/>
      </rPr>
      <t xml:space="preserve">  也称聚酯纤维，指以聚对苯二甲酸乙二醇酯（简称聚酯）为原料生产合成纤维的活动。</t>
    </r>
  </si>
  <si>
    <r>
      <rPr>
        <rFont val="宋体"/>
        <charset val="-122"/>
        <family val="0"/>
        <sz val="9"/>
      </rPr>
      <t xml:space="preserve">    腈纶纤维制造</t>
    </r>
  </si>
  <si>
    <r>
      <rPr>
        <rFont val="宋体"/>
        <charset val="-122"/>
        <family val="0"/>
        <sz val="9"/>
      </rPr>
      <t xml:space="preserve">  也称聚丙烯腈纤维，指以丙烯腈为主要原料（含丙烯腈</t>
    </r>
    <r>
      <rPr>
        <rFont val="Times New Roman"/>
        <family val="1"/>
        <sz val="9"/>
      </rPr>
      <t>85%</t>
    </r>
    <r>
      <rPr>
        <rFont val="宋体"/>
        <charset val="-122"/>
        <family val="0"/>
        <sz val="9"/>
      </rPr>
      <t>以上）生产合成纤维的活动。</t>
    </r>
  </si>
  <si>
    <r>
      <rPr>
        <rFont val="宋体"/>
        <charset val="-122"/>
        <family val="0"/>
        <sz val="9"/>
      </rPr>
      <t xml:space="preserve">    维纶纤维制造</t>
    </r>
  </si>
  <si>
    <r>
      <rPr>
        <rFont val="宋体"/>
        <charset val="-122"/>
        <family val="0"/>
        <sz val="9"/>
      </rPr>
      <t xml:space="preserve">  也称聚乙烯醇纤维，指以聚乙烯醇为主要原料生产合成纤维的活动。</t>
    </r>
  </si>
  <si>
    <r>
      <rPr>
        <rFont val="宋体"/>
        <charset val="-122"/>
        <family val="0"/>
        <sz val="9"/>
      </rPr>
      <t xml:space="preserve">    其他合成纤维制造</t>
    </r>
  </si>
  <si>
    <r>
      <rPr>
        <rFont val="宋体"/>
        <charset val="-122"/>
        <family val="0"/>
        <sz val="9"/>
      </rPr>
      <t xml:space="preserve">  指以天然及合成橡胶为原料生产各种橡胶制品的活动，还包括利用废橡胶再生产的橡胶制品。</t>
    </r>
  </si>
  <si>
    <r>
      <rPr>
        <rFont val="宋体"/>
        <charset val="-122"/>
        <family val="0"/>
        <sz val="9"/>
      </rPr>
      <t xml:space="preserve">  轮胎制造</t>
    </r>
  </si>
  <si>
    <r>
      <rPr>
        <rFont val="宋体"/>
        <charset val="-122"/>
        <family val="0"/>
        <sz val="9"/>
      </rPr>
      <t xml:space="preserve">    车辆、飞机及工程机械轮胎制造</t>
    </r>
  </si>
  <si>
    <r>
      <rPr>
        <rFont val="宋体"/>
        <charset val="-122"/>
        <family val="0"/>
        <sz val="9"/>
      </rPr>
      <t xml:space="preserve">  指充气轮胎外胎、内胎和实心轮胎的制造。</t>
    </r>
  </si>
  <si>
    <r>
      <rPr>
        <rFont val="宋体"/>
        <charset val="-122"/>
        <family val="0"/>
        <sz val="9"/>
      </rPr>
      <t xml:space="preserve">    力车胎制造</t>
    </r>
  </si>
  <si>
    <r>
      <rPr>
        <rFont val="宋体"/>
        <charset val="-122"/>
        <family val="0"/>
        <sz val="9"/>
      </rPr>
      <t xml:space="preserve">  指自行车、手推车和其他非机动车内胎、外胎的制造。</t>
    </r>
  </si>
  <si>
    <r>
      <rPr>
        <rFont val="宋体"/>
        <charset val="-122"/>
        <family val="0"/>
        <sz val="9"/>
      </rPr>
      <t xml:space="preserve">    轮胎翻新加工</t>
    </r>
  </si>
  <si>
    <r>
      <rPr>
        <rFont val="宋体"/>
        <charset val="-122"/>
        <family val="0"/>
        <sz val="9"/>
      </rPr>
      <t xml:space="preserve">  指将废轮胎翻新，以及轮胎零件的生产活动。</t>
    </r>
  </si>
  <si>
    <r>
      <rPr>
        <rFont val="宋体"/>
        <charset val="-122"/>
        <family val="0"/>
        <sz val="9"/>
      </rPr>
      <t xml:space="preserve">  橡胶板、管、带的制造</t>
    </r>
  </si>
  <si>
    <r>
      <rPr>
        <rFont val="宋体"/>
        <charset val="-122"/>
        <family val="0"/>
        <sz val="9"/>
      </rPr>
      <t xml:space="preserve">  指用未硫化的、硫化的或硬质橡胶生产橡胶板状、片状、管状、带状、棒状和异型橡胶制品的活动，以及以橡胶为主要成分，用橡胶灌注、涂层、覆盖或层叠的纺织物、纱绳、钢丝（钢缆）等制作的传动带或输送带的生产活动。</t>
    </r>
  </si>
  <si>
    <r>
      <rPr>
        <rFont val="宋体"/>
        <charset val="-122"/>
        <family val="0"/>
        <sz val="9"/>
      </rPr>
      <t xml:space="preserve">  橡胶零件制造</t>
    </r>
  </si>
  <si>
    <r>
      <rPr>
        <rFont val="宋体"/>
        <charset val="-122"/>
        <family val="0"/>
        <sz val="9"/>
      </rPr>
      <t xml:space="preserve">  指各种用途的橡胶异形制品、橡胶零配件制品的生产。</t>
    </r>
  </si>
  <si>
    <r>
      <rPr>
        <rFont val="宋体"/>
        <charset val="-122"/>
        <family val="0"/>
        <sz val="9"/>
      </rPr>
      <t xml:space="preserve">  再生橡胶制造</t>
    </r>
  </si>
  <si>
    <r>
      <rPr>
        <rFont val="宋体"/>
        <charset val="-122"/>
        <family val="0"/>
        <sz val="9"/>
      </rPr>
      <t xml:space="preserve">  指用废橡胶生产再生橡胶的活动。</t>
    </r>
  </si>
  <si>
    <r>
      <rPr>
        <rFont val="宋体"/>
        <charset val="-122"/>
        <family val="0"/>
        <sz val="9"/>
      </rPr>
      <t xml:space="preserve">  日用及医用橡胶制品制造</t>
    </r>
  </si>
  <si>
    <r>
      <rPr>
        <rFont val="宋体"/>
        <charset val="-122"/>
        <family val="0"/>
        <sz val="9"/>
      </rPr>
      <t xml:space="preserve">  橡胶靴鞋制造</t>
    </r>
  </si>
  <si>
    <r>
      <rPr>
        <rFont val="宋体"/>
        <charset val="-122"/>
        <family val="0"/>
        <sz val="9"/>
      </rPr>
      <t xml:space="preserve">  指以橡胶作为鞋底、鞋帮的橡胶鞋及其橡胶鞋部件的生产活动。</t>
    </r>
  </si>
  <si>
    <r>
      <rPr>
        <rFont val="宋体"/>
        <charset val="-122"/>
        <family val="0"/>
        <sz val="9"/>
      </rPr>
      <t xml:space="preserve">  其他橡胶制品制造</t>
    </r>
  </si>
  <si>
    <r>
      <rPr>
        <rFont val="宋体"/>
        <charset val="-122"/>
        <family val="0"/>
        <sz val="9"/>
      </rPr>
      <t xml:space="preserve">  指以合成树脂（高分子化合物）为主要原料，经采用挤塑、注塑、吹塑、压延、层压等工艺加工成型的各种制品的生产；以及利用回收的废旧塑料加工再生产塑料制品的活动。</t>
    </r>
  </si>
  <si>
    <r>
      <rPr>
        <rFont val="宋体"/>
        <charset val="-122"/>
        <family val="0"/>
        <sz val="9"/>
      </rPr>
      <t xml:space="preserve">  塑料薄膜制造</t>
    </r>
  </si>
  <si>
    <r>
      <rPr>
        <rFont val="宋体"/>
        <charset val="-122"/>
        <family val="0"/>
        <sz val="9"/>
      </rPr>
      <t xml:space="preserve">  指用于农业覆盖，工业、商业及日用包装薄膜的制造。</t>
    </r>
  </si>
  <si>
    <r>
      <rPr>
        <rFont val="宋体"/>
        <charset val="-122"/>
        <family val="0"/>
        <sz val="9"/>
      </rPr>
      <t xml:space="preserve">  塑料板、管、型材的制造</t>
    </r>
  </si>
  <si>
    <r>
      <rPr>
        <rFont val="宋体"/>
        <charset val="-122"/>
        <family val="0"/>
        <sz val="9"/>
      </rPr>
      <t xml:space="preserve">  指各种塑料板、管及管件、棒材、薄片等的生产，以及以聚氯乙烯为主要原料，经连续挤出成型的塑料异型材的生产。</t>
    </r>
  </si>
  <si>
    <r>
      <rPr>
        <rFont val="宋体"/>
        <charset val="-122"/>
        <family val="0"/>
        <sz val="9"/>
      </rPr>
      <t xml:space="preserve">  塑料丝、绳及编织品的制造</t>
    </r>
  </si>
  <si>
    <r>
      <rPr>
        <rFont val="宋体"/>
        <charset val="-122"/>
        <family val="0"/>
        <sz val="9"/>
      </rPr>
      <t xml:space="preserve">  泡沫塑料制造</t>
    </r>
  </si>
  <si>
    <r>
      <rPr>
        <rFont val="宋体"/>
        <charset val="-122"/>
        <family val="0"/>
        <sz val="9"/>
      </rPr>
      <t xml:space="preserve">  指以合成树脂为主要原料，经发泡成型工艺加工制成内部具有微孔的塑料制品的生产。</t>
    </r>
  </si>
  <si>
    <r>
      <rPr>
        <rFont val="宋体"/>
        <charset val="-122"/>
        <family val="0"/>
        <sz val="9"/>
      </rPr>
      <t xml:space="preserve">  塑料人造革、合成革制造</t>
    </r>
  </si>
  <si>
    <r>
      <rPr>
        <rFont val="宋体"/>
        <charset val="-122"/>
        <family val="0"/>
        <sz val="9"/>
      </rPr>
      <t xml:space="preserve">  指外观和手感似皮革，其透气、透湿性虽然略逊色于天然革，但它具有优异的物理、机械性能，如强度和耐磨性等，并可代替天然革使用的塑料人造革的生产，以及模拟天然人造革的组成和结构，正反面都与皮革十分相似，比普通人造革更近似天然革，并可代用天然革的塑料合成革的生产。</t>
    </r>
  </si>
  <si>
    <r>
      <rPr>
        <rFont val="宋体"/>
        <charset val="-122"/>
        <family val="0"/>
        <sz val="9"/>
      </rPr>
      <t xml:space="preserve">  塑料包装箱及容器制造</t>
    </r>
  </si>
  <si>
    <r>
      <rPr>
        <rFont val="宋体"/>
        <charset val="-122"/>
        <family val="0"/>
        <sz val="9"/>
      </rPr>
      <t xml:space="preserve">  指用吹塑或注塑工艺等制成的，可盛装各种物品或液体物质，以便于储存、运输等用途的塑料包装箱及塑料容器制品的生产。</t>
    </r>
  </si>
  <si>
    <r>
      <rPr>
        <rFont val="宋体"/>
        <charset val="-122"/>
        <family val="0"/>
        <sz val="9"/>
      </rPr>
      <t xml:space="preserve">  塑料零件制造</t>
    </r>
  </si>
  <si>
    <r>
      <rPr>
        <rFont val="宋体"/>
        <charset val="-122"/>
        <family val="0"/>
        <sz val="9"/>
      </rPr>
      <t xml:space="preserve">  日用塑料制造</t>
    </r>
  </si>
  <si>
    <r>
      <rPr>
        <rFont val="宋体"/>
        <charset val="-122"/>
        <family val="0"/>
        <sz val="9"/>
      </rPr>
      <t xml:space="preserve">    塑料鞋制造</t>
    </r>
  </si>
  <si>
    <r>
      <rPr>
        <rFont val="宋体"/>
        <charset val="-122"/>
        <family val="0"/>
        <sz val="9"/>
      </rPr>
      <t xml:space="preserve">  指以聚氯乙烯、聚乙烯、聚氨酯和乙烯醋酸乙烯等树脂为原料生产发泡或不发泡的塑料鞋类制品的活动。</t>
    </r>
  </si>
  <si>
    <r>
      <rPr>
        <rFont val="宋体"/>
        <charset val="-122"/>
        <family val="0"/>
        <sz val="9"/>
      </rPr>
      <t xml:space="preserve">    日用塑料杂品制造</t>
    </r>
  </si>
  <si>
    <r>
      <rPr>
        <rFont val="宋体"/>
        <charset val="-122"/>
        <family val="0"/>
        <sz val="9"/>
      </rPr>
      <t xml:space="preserve">  其他塑料制品制造</t>
    </r>
  </si>
  <si>
    <r>
      <rPr>
        <rFont val="宋体"/>
        <charset val="-122"/>
        <family val="0"/>
        <sz val="9"/>
      </rPr>
      <t xml:space="preserve">  水泥、石灰和石膏的制造</t>
    </r>
  </si>
  <si>
    <r>
      <rPr>
        <rFont val="宋体"/>
        <charset val="-122"/>
        <family val="0"/>
        <sz val="9"/>
      </rPr>
      <t xml:space="preserve">    水泥制造</t>
    </r>
  </si>
  <si>
    <r>
      <rPr>
        <rFont val="宋体"/>
        <charset val="-122"/>
        <family val="0"/>
        <sz val="9"/>
      </rPr>
      <t xml:space="preserve">  指以水泥熟料加入适量石膏或一定混合材，经研磨设备</t>
    </r>
    <r>
      <rPr>
        <rFont val="Times New Roman"/>
        <family val="1"/>
        <sz val="9"/>
      </rPr>
      <t>(水泥磨)磨制到规定的细度制成水凝水泥的生产活动。</t>
    </r>
  </si>
  <si>
    <r>
      <rPr>
        <rFont val="宋体"/>
        <charset val="-122"/>
        <family val="0"/>
        <sz val="9"/>
      </rPr>
      <t xml:space="preserve">    石灰和石膏制造</t>
    </r>
  </si>
  <si>
    <r>
      <rPr>
        <rFont val="宋体"/>
        <charset val="-122"/>
        <family val="0"/>
        <sz val="9"/>
      </rPr>
      <t xml:space="preserve">  水泥及石膏制品制造</t>
    </r>
  </si>
  <si>
    <r>
      <rPr>
        <rFont val="宋体"/>
        <charset val="-122"/>
        <family val="0"/>
        <sz val="9"/>
      </rPr>
      <t xml:space="preserve">    水泥制品制造</t>
    </r>
  </si>
  <si>
    <r>
      <rPr>
        <rFont val="宋体"/>
        <charset val="-122"/>
        <family val="0"/>
        <sz val="9"/>
      </rPr>
      <t xml:space="preserve">    砼结构构件制造</t>
    </r>
  </si>
  <si>
    <r>
      <rPr>
        <rFont val="宋体"/>
        <charset val="-122"/>
        <family val="0"/>
        <sz val="9"/>
      </rPr>
      <t xml:space="preserve">  指用于建筑施工工程的水泥混凝土预制构件的生产。</t>
    </r>
  </si>
  <si>
    <r>
      <rPr>
        <rFont val="宋体"/>
        <charset val="-122"/>
        <family val="0"/>
        <sz val="9"/>
      </rPr>
      <t xml:space="preserve">    石棉水泥制品制造</t>
    </r>
  </si>
  <si>
    <r>
      <rPr>
        <rFont val="宋体"/>
        <charset val="-122"/>
        <family val="0"/>
        <sz val="9"/>
      </rPr>
      <t xml:space="preserve">    轻质建筑材料制造</t>
    </r>
  </si>
  <si>
    <r>
      <rPr>
        <rFont val="宋体"/>
        <charset val="-122"/>
        <family val="0"/>
        <sz val="9"/>
      </rPr>
      <t xml:space="preserve">  指石膏板、石膏制品及类似轻质建筑材料的制造。</t>
    </r>
  </si>
  <si>
    <r>
      <rPr>
        <rFont val="宋体"/>
        <charset val="-122"/>
        <family val="0"/>
        <sz val="9"/>
      </rPr>
      <t xml:space="preserve">    其他水泥制品制造</t>
    </r>
  </si>
  <si>
    <r>
      <rPr>
        <rFont val="宋体"/>
        <charset val="-122"/>
        <family val="0"/>
        <sz val="9"/>
      </rPr>
      <t xml:space="preserve">  指玻璃纤维增强水泥制品，以及其他未列明的水泥制品的制造。</t>
    </r>
  </si>
  <si>
    <r>
      <rPr>
        <rFont val="宋体"/>
        <charset val="-122"/>
        <family val="0"/>
        <sz val="9"/>
      </rPr>
      <t xml:space="preserve">  砖瓦、石材及其他建筑材料制造</t>
    </r>
  </si>
  <si>
    <r>
      <rPr>
        <rFont val="宋体"/>
        <charset val="-122"/>
        <family val="0"/>
        <sz val="9"/>
      </rPr>
      <t xml:space="preserve">  指粘土、陶瓷砖瓦的生产，建筑用石的加工，以及用废料或废渣生产的建筑材料和其他建筑材料的制造。</t>
    </r>
  </si>
  <si>
    <r>
      <rPr>
        <rFont val="宋体"/>
        <charset val="-122"/>
        <family val="0"/>
        <sz val="9"/>
      </rPr>
      <t xml:space="preserve">    粘土砖瓦及建筑砌块制造</t>
    </r>
  </si>
  <si>
    <r>
      <rPr>
        <rFont val="宋体"/>
        <charset val="-122"/>
        <family val="0"/>
        <sz val="9"/>
      </rPr>
      <t xml:space="preserve">  指用粘土和其他材料生产的砖、瓦及建筑砌块的活动。</t>
    </r>
  </si>
  <si>
    <r>
      <rPr>
        <rFont val="宋体"/>
        <charset val="-122"/>
        <family val="0"/>
        <sz val="9"/>
      </rPr>
      <t xml:space="preserve">    建筑陶瓷制品制造</t>
    </r>
  </si>
  <si>
    <r>
      <rPr>
        <rFont val="宋体"/>
        <charset val="-122"/>
        <family val="0"/>
        <sz val="9"/>
      </rPr>
      <t xml:space="preserve">  指用于建筑物的内、外墙及地面装饰或耐酸腐蚀的陶瓷材料（不论是否涂釉）的生产，以及水道、排水沟的陶瓷管道及配件的制造。</t>
    </r>
  </si>
  <si>
    <r>
      <rPr>
        <rFont val="宋体"/>
        <charset val="-122"/>
        <family val="0"/>
        <sz val="9"/>
      </rPr>
      <t xml:space="preserve">    建筑用石加工</t>
    </r>
  </si>
  <si>
    <r>
      <rPr>
        <rFont val="宋体"/>
        <charset val="-122"/>
        <family val="0"/>
        <sz val="9"/>
      </rPr>
      <t xml:space="preserve">  指用于建筑、筑路、墓地及其他用途的大理石板、花岗岩等石材的切割、成形和修饰活动。</t>
    </r>
  </si>
  <si>
    <r>
      <rPr>
        <rFont val="宋体"/>
        <charset val="-122"/>
        <family val="0"/>
        <sz val="9"/>
      </rPr>
      <t xml:space="preserve">    防水建筑材料制造</t>
    </r>
  </si>
  <si>
    <r>
      <rPr>
        <rFont val="宋体"/>
        <charset val="-122"/>
        <family val="0"/>
        <sz val="9"/>
      </rPr>
      <t xml:space="preserve">  指以沥青或类似材料为主要原料制造防水材料的活动。</t>
    </r>
  </si>
  <si>
    <r>
      <rPr>
        <rFont val="宋体"/>
        <charset val="-122"/>
        <family val="0"/>
        <sz val="9"/>
      </rPr>
      <t xml:space="preserve">    隔热和隔音材料制造</t>
    </r>
  </si>
  <si>
    <r>
      <rPr>
        <rFont val="宋体"/>
        <charset val="-122"/>
        <family val="0"/>
        <sz val="9"/>
      </rPr>
      <t xml:space="preserve">  指用于隔热、隔音、保温的岩石棉、矿渣棉、膨胀珍珠岩、膨胀蛭石等矿物绝缘材料及其制品的制造，但不包括石棉隔热、隔音材料的制造。</t>
    </r>
  </si>
  <si>
    <r>
      <rPr>
        <rFont val="宋体"/>
        <charset val="-122"/>
        <family val="0"/>
        <sz val="9"/>
      </rPr>
      <t xml:space="preserve">    其他建筑材料制造</t>
    </r>
  </si>
  <si>
    <r>
      <rPr>
        <rFont val="宋体"/>
        <charset val="-122"/>
        <family val="0"/>
        <sz val="9"/>
      </rPr>
      <t xml:space="preserve">  玻璃及玻璃制品制造</t>
    </r>
  </si>
  <si>
    <r>
      <rPr>
        <rFont val="宋体"/>
        <charset val="-122"/>
        <family val="0"/>
        <sz val="9"/>
      </rPr>
      <t xml:space="preserve">  指任何形态的玻璃和玻璃制品、玻璃纤维及其制品的生产，以及利用废玻璃、废玻璃纤维再生产玻璃制品的活动。</t>
    </r>
  </si>
  <si>
    <r>
      <rPr>
        <rFont val="宋体"/>
        <charset val="-122"/>
        <family val="0"/>
        <sz val="9"/>
      </rPr>
      <t xml:space="preserve">    平板玻璃制造</t>
    </r>
  </si>
  <si>
    <r>
      <rPr>
        <rFont val="宋体"/>
        <charset val="-122"/>
        <family val="0"/>
        <sz val="9"/>
      </rPr>
      <t xml:space="preserve">  指用浮法、垂直引上法、压延法等生产平板玻璃原片的活动。</t>
    </r>
  </si>
  <si>
    <r>
      <rPr>
        <rFont val="宋体"/>
        <charset val="-122"/>
        <family val="0"/>
        <sz val="9"/>
      </rPr>
      <t xml:space="preserve">    技术玻璃制品制造</t>
    </r>
  </si>
  <si>
    <r>
      <rPr>
        <rFont val="宋体"/>
        <charset val="-122"/>
        <family val="0"/>
        <sz val="9"/>
      </rPr>
      <t xml:space="preserve">  指用于建筑、工业生产的技术玻璃制品的制造。</t>
    </r>
  </si>
  <si>
    <r>
      <rPr>
        <rFont val="宋体"/>
        <charset val="-122"/>
        <family val="0"/>
        <sz val="9"/>
      </rPr>
      <t xml:space="preserve">    光学玻璃制造</t>
    </r>
  </si>
  <si>
    <r>
      <rPr>
        <rFont val="宋体"/>
        <charset val="-122"/>
        <family val="0"/>
        <sz val="9"/>
      </rPr>
      <t xml:space="preserve">    玻璃仪器制造</t>
    </r>
  </si>
  <si>
    <r>
      <rPr>
        <rFont val="宋体"/>
        <charset val="-122"/>
        <family val="0"/>
        <sz val="9"/>
      </rPr>
      <t xml:space="preserve">  指实验室、医疗卫生用各种玻璃仪器和玻璃器皿的制造。</t>
    </r>
  </si>
  <si>
    <r>
      <rPr>
        <rFont val="宋体"/>
        <charset val="-122"/>
        <family val="0"/>
        <sz val="9"/>
      </rPr>
      <t xml:space="preserve">    日用玻璃制品及玻璃包装容器制造</t>
    </r>
  </si>
  <si>
    <r>
      <rPr>
        <rFont val="宋体"/>
        <charset val="-122"/>
        <family val="0"/>
        <sz val="9"/>
      </rPr>
      <t xml:space="preserve">  指日用玻璃制品，以及主要用于产品包装的各种玻璃容器的制造。</t>
    </r>
  </si>
  <si>
    <r>
      <rPr>
        <rFont val="宋体"/>
        <charset val="-122"/>
        <family val="0"/>
        <sz val="9"/>
      </rPr>
      <t xml:space="preserve">    玻璃保温容器制造</t>
    </r>
  </si>
  <si>
    <r>
      <rPr>
        <rFont val="宋体"/>
        <charset val="-122"/>
        <family val="0"/>
        <sz val="9"/>
      </rPr>
      <t xml:space="preserve">  指玻璃保温瓶和其他个人或家庭用玻璃保温容器的制造。</t>
    </r>
  </si>
  <si>
    <r>
      <rPr>
        <rFont val="宋体"/>
        <charset val="-122"/>
        <family val="0"/>
        <sz val="9"/>
      </rPr>
      <t xml:space="preserve">    玻璃纤维及制品制造</t>
    </r>
  </si>
  <si>
    <r>
      <rPr>
        <rFont val="宋体"/>
        <charset val="-122"/>
        <family val="0"/>
        <sz val="9"/>
      </rPr>
      <t xml:space="preserve">    玻璃纤维增强塑料制品制造</t>
    </r>
  </si>
  <si>
    <r>
      <rPr>
        <rFont val="宋体"/>
        <charset val="-122"/>
        <family val="0"/>
        <sz val="9"/>
      </rPr>
      <t xml:space="preserve">  也称玻璃钢，是指用玻璃纤维增强热固性树脂生产塑料制品的活动。</t>
    </r>
  </si>
  <si>
    <r>
      <rPr>
        <rFont val="宋体"/>
        <charset val="-122"/>
        <family val="0"/>
        <sz val="9"/>
      </rPr>
      <t xml:space="preserve">    其他玻璃制品制造</t>
    </r>
  </si>
  <si>
    <r>
      <rPr>
        <rFont val="宋体"/>
        <charset val="-122"/>
        <family val="0"/>
        <sz val="9"/>
      </rPr>
      <t xml:space="preserve">  陶瓷制品制造</t>
    </r>
  </si>
  <si>
    <r>
      <rPr>
        <rFont val="宋体"/>
        <charset val="-122"/>
        <family val="0"/>
        <sz val="9"/>
      </rPr>
      <t xml:space="preserve">    卫生陶瓷制品制造</t>
    </r>
  </si>
  <si>
    <r>
      <rPr>
        <rFont val="宋体"/>
        <charset val="-122"/>
        <family val="0"/>
        <sz val="9"/>
      </rPr>
      <t xml:space="preserve">  指卫生和清洁盥洗用的陶瓷用具的生产。</t>
    </r>
  </si>
  <si>
    <r>
      <rPr>
        <rFont val="宋体"/>
        <charset val="-122"/>
        <family val="0"/>
        <sz val="9"/>
      </rPr>
      <t xml:space="preserve">    特种陶瓷制品制造</t>
    </r>
  </si>
  <si>
    <r>
      <rPr>
        <rFont val="宋体"/>
        <charset val="-122"/>
        <family val="0"/>
        <sz val="9"/>
      </rPr>
      <t xml:space="preserve">  指专为工业、农业、实验室等领域的各种特定用途和要求，采用特殊生产工艺制造陶瓷制品的生产活动。</t>
    </r>
  </si>
  <si>
    <r>
      <rPr>
        <rFont val="宋体"/>
        <charset val="-122"/>
        <family val="0"/>
        <sz val="9"/>
      </rPr>
      <t xml:space="preserve">    日用陶瓷制品制造</t>
    </r>
  </si>
  <si>
    <r>
      <rPr>
        <rFont val="宋体"/>
        <charset val="-122"/>
        <family val="0"/>
        <sz val="9"/>
      </rPr>
      <t xml:space="preserve">  指以粘土、瓷石、长石、石英等为原料，经破碎、制泥、成型、烧炼等工艺制成，主要供日常生活用的各种瓷器、炻器、陶器等陶瓷制品的制造。</t>
    </r>
  </si>
  <si>
    <r>
      <rPr>
        <rFont val="宋体"/>
        <charset val="-122"/>
        <family val="0"/>
        <sz val="9"/>
      </rPr>
      <t xml:space="preserve">    园林、陈设艺术及其他陶瓷制品制造</t>
    </r>
  </si>
  <si>
    <r>
      <rPr>
        <rFont val="宋体"/>
        <charset val="-122"/>
        <family val="0"/>
        <sz val="9"/>
      </rPr>
      <t xml:space="preserve">  指以石英、长石、瓷土等为原料，经制胎、施釉、装饰、烧成等工艺制成的，具有艺术造型或花纹、图案等，主要供陈设、观赏或装饰用的纯艺术欣赏陶瓷制品和以欣赏为主的陶瓷陈列品、实用品的制造，以及其他未列明的陶瓷制品的制造。</t>
    </r>
  </si>
  <si>
    <r>
      <rPr>
        <rFont val="宋体"/>
        <charset val="-122"/>
        <family val="0"/>
        <sz val="9"/>
      </rPr>
      <t xml:space="preserve">  耐火材料制品制造</t>
    </r>
  </si>
  <si>
    <r>
      <rPr>
        <rFont val="宋体"/>
        <charset val="-122"/>
        <family val="0"/>
        <sz val="9"/>
      </rPr>
      <t xml:space="preserve">    石棉制品制造</t>
    </r>
  </si>
  <si>
    <r>
      <rPr>
        <rFont val="宋体"/>
        <charset val="-122"/>
        <family val="0"/>
        <sz val="9"/>
      </rPr>
      <t xml:space="preserve">  指以石棉或其他矿物纤维素为基础，制造摩擦制品、石棉纺织制品、石棉橡胶制品、石棉保温隔热材料制品的生产活动。</t>
    </r>
  </si>
  <si>
    <r>
      <rPr>
        <rFont val="宋体"/>
        <charset val="-122"/>
        <family val="0"/>
        <sz val="9"/>
      </rPr>
      <t xml:space="preserve">    云母制品制造</t>
    </r>
    <r>
      <rPr>
        <rFont val="Times New Roman"/>
        <family val="1"/>
        <sz val="9"/>
      </rPr>
      <t xml:space="preserve">  </t>
    </r>
  </si>
  <si>
    <r>
      <rPr>
        <rFont val="宋体"/>
        <charset val="-122"/>
        <family val="0"/>
        <sz val="9"/>
      </rPr>
      <t xml:space="preserve">    耐火陶瓷制品及其他耐火材料制造</t>
    </r>
  </si>
  <si>
    <r>
      <rPr>
        <rFont val="宋体"/>
        <charset val="-122"/>
        <family val="0"/>
        <sz val="9"/>
      </rPr>
      <t xml:space="preserve">  指用硅质、粘土质、高铝质等石粉成形的陶瓷隔热制品的制造。</t>
    </r>
  </si>
  <si>
    <r>
      <rPr>
        <rFont val="宋体"/>
        <charset val="-122"/>
        <family val="0"/>
        <sz val="9"/>
      </rPr>
      <t xml:space="preserve">  石墨及其他非金属矿物制品制造</t>
    </r>
  </si>
  <si>
    <r>
      <rPr>
        <rFont val="宋体"/>
        <charset val="-122"/>
        <family val="0"/>
        <sz val="9"/>
      </rPr>
      <t xml:space="preserve">    石墨及碳素制品制造</t>
    </r>
  </si>
  <si>
    <r>
      <rPr>
        <rFont val="宋体"/>
        <charset val="-122"/>
        <family val="0"/>
        <sz val="9"/>
      </rPr>
      <t xml:space="preserve">  指以炭、石墨材料加工的特种石墨制品、碳素制品、异形制品，以及用树脂和各种有机物浸渍加工而成的碳素异形产品的制造。</t>
    </r>
  </si>
  <si>
    <r>
      <rPr>
        <rFont val="宋体"/>
        <charset val="-122"/>
        <family val="0"/>
        <sz val="9"/>
      </rPr>
      <t xml:space="preserve">    其他非金属矿物制品制造</t>
    </r>
  </si>
  <si>
    <r>
      <rPr>
        <rFont val="宋体"/>
        <charset val="-122"/>
        <family val="0"/>
        <sz val="9"/>
      </rPr>
      <t xml:space="preserve">  炼铁</t>
    </r>
  </si>
  <si>
    <r>
      <rPr>
        <rFont val="宋体"/>
        <charset val="-122"/>
        <family val="0"/>
        <sz val="9"/>
      </rPr>
      <t xml:space="preserve">  指用高炉法、直接还原法、熔融还原法等，将铁从矿石等含铁化合物中还原出来的生产过程。</t>
    </r>
  </si>
  <si>
    <r>
      <rPr>
        <rFont val="宋体"/>
        <charset val="-122"/>
        <family val="0"/>
        <sz val="9"/>
      </rPr>
      <t xml:space="preserve">  炼钢</t>
    </r>
  </si>
  <si>
    <r>
      <rPr>
        <rFont val="宋体"/>
        <charset val="-122"/>
        <family val="0"/>
        <sz val="9"/>
      </rPr>
      <t xml:space="preserve">  指利用不同来源的氧（如空气、氧气）来氧化炉料（主要是生铁）所含杂质的金属提纯过程，称为炼钢活动。</t>
    </r>
  </si>
  <si>
    <r>
      <rPr>
        <rFont val="宋体"/>
        <charset val="-122"/>
        <family val="0"/>
        <sz val="9"/>
      </rPr>
      <t xml:space="preserve">  钢压延加工</t>
    </r>
  </si>
  <si>
    <r>
      <rPr>
        <rFont val="宋体"/>
        <charset val="-122"/>
        <family val="0"/>
        <sz val="9"/>
      </rPr>
      <t xml:space="preserve">  指通过热轧、冷加工、锻压和挤压等塑性加工使连铸坯、钢锭产生塑性变形，制成具有一定形状尺寸的钢材产品的生产活动。</t>
    </r>
  </si>
  <si>
    <r>
      <rPr>
        <rFont val="宋体"/>
        <charset val="-122"/>
        <family val="0"/>
        <sz val="9"/>
      </rPr>
      <t xml:space="preserve">  铁合金冶炼</t>
    </r>
  </si>
  <si>
    <r>
      <rPr>
        <rFont val="宋体"/>
        <charset val="-122"/>
        <family val="0"/>
        <sz val="9"/>
      </rPr>
      <t xml:space="preserve">  指铁与其他一种或一种以上的金属或非金属元素组成的合金生产活动。</t>
    </r>
  </si>
  <si>
    <r>
      <rPr>
        <rFont val="宋体"/>
        <charset val="-122"/>
        <family val="0"/>
        <sz val="9"/>
      </rPr>
      <t xml:space="preserve">  常用有色金属冶炼</t>
    </r>
  </si>
  <si>
    <r>
      <rPr>
        <rFont val="宋体"/>
        <charset val="-122"/>
        <family val="0"/>
        <sz val="9"/>
      </rPr>
      <t xml:space="preserve">  指通过熔炼、精炼、电解或其他方法从有色金属矿、废杂金属料等有色金属原料中提炼常用有色金属的生产活动。</t>
    </r>
  </si>
  <si>
    <r>
      <rPr>
        <rFont val="宋体"/>
        <charset val="-122"/>
        <family val="0"/>
        <sz val="9"/>
      </rPr>
      <t xml:space="preserve">    铜冶炼</t>
    </r>
  </si>
  <si>
    <r>
      <rPr>
        <rFont val="宋体"/>
        <charset val="-122"/>
        <family val="0"/>
        <sz val="9"/>
      </rPr>
      <t xml:space="preserve">  指对铜精矿等矿山原料、废杂铜料进行熔炼、精炼、电解等提炼铜的生产活动。</t>
    </r>
  </si>
  <si>
    <r>
      <rPr>
        <rFont val="宋体"/>
        <charset val="-122"/>
        <family val="0"/>
        <sz val="9"/>
      </rPr>
      <t xml:space="preserve">    铅锌冶炼</t>
    </r>
  </si>
  <si>
    <r>
      <rPr>
        <rFont val="宋体"/>
        <charset val="-122"/>
        <family val="0"/>
        <sz val="9"/>
      </rPr>
      <t xml:space="preserve">    镍钴冶炼</t>
    </r>
  </si>
  <si>
    <r>
      <rPr>
        <rFont val="宋体"/>
        <charset val="-122"/>
        <family val="0"/>
        <sz val="9"/>
      </rPr>
      <t xml:space="preserve">    锡冶炼</t>
    </r>
  </si>
  <si>
    <r>
      <rPr>
        <rFont val="宋体"/>
        <charset val="-122"/>
        <family val="0"/>
        <sz val="9"/>
      </rPr>
      <t xml:space="preserve">    锑冶炼</t>
    </r>
  </si>
  <si>
    <r>
      <rPr>
        <rFont val="宋体"/>
        <charset val="-122"/>
        <family val="0"/>
        <sz val="9"/>
      </rPr>
      <t xml:space="preserve">    铝冶炼</t>
    </r>
  </si>
  <si>
    <r>
      <rPr>
        <rFont val="宋体"/>
        <charset val="-122"/>
        <family val="0"/>
        <sz val="9"/>
      </rPr>
      <t xml:space="preserve">  指对铝矿山原料通过冶炼、电解、铸型及对废杂铝料进行熔炼等提炼铝的生产活动。</t>
    </r>
  </si>
  <si>
    <r>
      <rPr>
        <rFont val="宋体"/>
        <charset val="-122"/>
        <family val="0"/>
        <sz val="9"/>
      </rPr>
      <t xml:space="preserve">    镁冶炼</t>
    </r>
  </si>
  <si>
    <r>
      <rPr>
        <rFont val="宋体"/>
        <charset val="-122"/>
        <family val="0"/>
        <sz val="9"/>
      </rPr>
      <t xml:space="preserve">    其他常用有色金属冶炼</t>
    </r>
  </si>
  <si>
    <r>
      <rPr>
        <rFont val="宋体"/>
        <charset val="-122"/>
        <family val="0"/>
        <sz val="9"/>
      </rPr>
      <t xml:space="preserve">  贵金属冶炼</t>
    </r>
  </si>
  <si>
    <r>
      <rPr>
        <rFont val="宋体"/>
        <charset val="-122"/>
        <family val="0"/>
        <sz val="9"/>
      </rPr>
      <t xml:space="preserve">  指对金、银及铂族金属的提炼活动。</t>
    </r>
  </si>
  <si>
    <r>
      <rPr>
        <rFont val="宋体"/>
        <charset val="-122"/>
        <family val="0"/>
        <sz val="9"/>
      </rPr>
      <t xml:space="preserve">    金冶炼</t>
    </r>
  </si>
  <si>
    <r>
      <rPr>
        <rFont val="宋体"/>
        <charset val="-122"/>
        <family val="0"/>
        <sz val="9"/>
      </rPr>
      <t xml:space="preserve">  指用金精（块）矿、阳极泥（冶炼其他有色金属时回收的阳极泥含金）、废杂金提炼黄金的生产活动。</t>
    </r>
  </si>
  <si>
    <r>
      <rPr>
        <rFont val="宋体"/>
        <charset val="-122"/>
        <family val="0"/>
        <sz val="9"/>
      </rPr>
      <t xml:space="preserve">    银冶炼</t>
    </r>
  </si>
  <si>
    <r>
      <rPr>
        <rFont val="宋体"/>
        <charset val="-122"/>
        <family val="0"/>
        <sz val="9"/>
      </rPr>
      <t xml:space="preserve">  指用银精（块）矿、阳极泥（冶炼其他有色金属时回收的阳极泥含银）、废杂银提炼白银的生产活动。</t>
    </r>
  </si>
  <si>
    <r>
      <rPr>
        <rFont val="宋体"/>
        <charset val="-122"/>
        <family val="0"/>
        <sz val="9"/>
      </rPr>
      <t xml:space="preserve">    其他贵金属冶炼</t>
    </r>
  </si>
  <si>
    <r>
      <rPr>
        <rFont val="宋体"/>
        <charset val="-122"/>
        <family val="0"/>
        <sz val="9"/>
      </rPr>
      <t xml:space="preserve">  稀有稀土金属冶炼</t>
    </r>
  </si>
  <si>
    <r>
      <rPr>
        <rFont val="宋体"/>
        <charset val="-122"/>
        <family val="0"/>
        <sz val="9"/>
      </rPr>
      <t xml:space="preserve">  指钨钼、稀有轻金属、稀有高熔点金属、稀散金属、稀土金属及其他稀有稀土金属冶炼。但不包括钍和铀等放射性金属的冶炼加工。</t>
    </r>
  </si>
  <si>
    <r>
      <rPr>
        <rFont val="宋体"/>
        <charset val="-122"/>
        <family val="0"/>
        <sz val="9"/>
      </rPr>
      <t xml:space="preserve">    钨钼冶炼</t>
    </r>
  </si>
  <si>
    <r>
      <rPr>
        <rFont val="宋体"/>
        <charset val="-122"/>
        <family val="0"/>
        <sz val="9"/>
      </rPr>
      <t xml:space="preserve">    稀土金属冶炼</t>
    </r>
  </si>
  <si>
    <r>
      <rPr>
        <rFont val="宋体"/>
        <charset val="-122"/>
        <family val="0"/>
        <sz val="9"/>
      </rPr>
      <t xml:space="preserve">    其他稀有金属冶炼</t>
    </r>
  </si>
  <si>
    <r>
      <rPr>
        <rFont val="宋体"/>
        <charset val="-122"/>
        <family val="0"/>
        <sz val="9"/>
      </rPr>
      <t xml:space="preserve">  有色金属合金制造</t>
    </r>
  </si>
  <si>
    <r>
      <rPr>
        <rFont val="宋体"/>
        <charset val="-122"/>
        <family val="0"/>
        <sz val="9"/>
      </rPr>
      <t xml:space="preserve">  指以有色金属为基体，加入一种或几种其他元素所构成的合金生产活动。</t>
    </r>
  </si>
  <si>
    <r>
      <rPr>
        <rFont val="宋体"/>
        <charset val="-122"/>
        <family val="0"/>
        <sz val="9"/>
      </rPr>
      <t xml:space="preserve">  有色金属压延加工</t>
    </r>
  </si>
  <si>
    <r>
      <rPr>
        <rFont val="宋体"/>
        <charset val="-122"/>
        <family val="0"/>
        <sz val="9"/>
      </rPr>
      <t xml:space="preserve">    常用有色金属压延加工</t>
    </r>
  </si>
  <si>
    <r>
      <rPr>
        <rFont val="宋体"/>
        <charset val="-122"/>
        <family val="0"/>
        <sz val="9"/>
      </rPr>
      <t xml:space="preserve">  指铜及铜合金、铝及铝合金等常用有色金属及合金的压延加工生产活动。</t>
    </r>
  </si>
  <si>
    <r>
      <rPr>
        <rFont val="宋体"/>
        <charset val="-122"/>
        <family val="0"/>
        <sz val="9"/>
      </rPr>
      <t xml:space="preserve">    贵金属压延加工</t>
    </r>
  </si>
  <si>
    <r>
      <rPr>
        <rFont val="宋体"/>
        <charset val="-122"/>
        <family val="0"/>
        <sz val="9"/>
      </rPr>
      <t xml:space="preserve">  指对金、银及铂族等贵金属，进行轧制、拉制或挤压加工的生产活动。</t>
    </r>
  </si>
  <si>
    <r>
      <rPr>
        <rFont val="宋体"/>
        <charset val="-122"/>
        <family val="0"/>
        <sz val="9"/>
      </rPr>
      <t xml:space="preserve">    稀有稀土金属压延加工</t>
    </r>
  </si>
  <si>
    <r>
      <rPr>
        <rFont val="宋体"/>
        <charset val="-122"/>
        <family val="0"/>
        <sz val="9"/>
      </rPr>
      <t xml:space="preserve">  指对钨、钼、钽等稀有金属材的加工。</t>
    </r>
  </si>
  <si>
    <r>
      <rPr>
        <rFont val="宋体"/>
        <charset val="-122"/>
        <family val="0"/>
        <sz val="9"/>
      </rPr>
      <t xml:space="preserve">  结构性金属制品制造</t>
    </r>
  </si>
  <si>
    <r>
      <rPr>
        <rFont val="宋体"/>
        <charset val="-122"/>
        <family val="0"/>
        <sz val="9"/>
      </rPr>
      <t xml:space="preserve">    金属结构制造</t>
    </r>
  </si>
  <si>
    <r>
      <rPr>
        <rFont val="宋体"/>
        <charset val="-122"/>
        <family val="0"/>
        <sz val="9"/>
      </rPr>
      <t xml:space="preserve">  指以铁、钢或铝等金属为主要材料，制造金属构件、金属构件零件、建筑用钢制品及类似品的生产活动。这些制品可以运输，并便于装配、安装或竖立（如由建筑企业在建筑工地进行）。</t>
    </r>
  </si>
  <si>
    <r>
      <rPr>
        <rFont val="宋体"/>
        <charset val="-122"/>
        <family val="0"/>
        <sz val="9"/>
      </rPr>
      <t xml:space="preserve">    金属门窗制造</t>
    </r>
  </si>
  <si>
    <r>
      <rPr>
        <rFont val="宋体"/>
        <charset val="-122"/>
        <family val="0"/>
        <sz val="9"/>
      </rPr>
      <t xml:space="preserve">  指用金属材料（铝合金或其他金属）制作建筑物用门窗及类似品的生产活动。</t>
    </r>
  </si>
  <si>
    <r>
      <rPr>
        <rFont val="宋体"/>
        <charset val="-122"/>
        <family val="0"/>
        <sz val="9"/>
      </rPr>
      <t xml:space="preserve">  金属工具制造</t>
    </r>
  </si>
  <si>
    <r>
      <rPr>
        <rFont val="宋体"/>
        <charset val="-122"/>
        <family val="0"/>
        <sz val="9"/>
      </rPr>
      <t xml:space="preserve">    切削工具制造</t>
    </r>
  </si>
  <si>
    <r>
      <rPr>
        <rFont val="宋体"/>
        <charset val="-122"/>
        <family val="0"/>
        <sz val="9"/>
      </rPr>
      <t xml:space="preserve">  指手工或机床用可互换的切削工具的制造。</t>
    </r>
  </si>
  <si>
    <r>
      <rPr>
        <rFont val="宋体"/>
        <charset val="-122"/>
        <family val="0"/>
        <sz val="9"/>
      </rPr>
      <t xml:space="preserve">    手工具制造</t>
    </r>
  </si>
  <si>
    <r>
      <rPr>
        <rFont val="宋体"/>
        <charset val="-122"/>
        <family val="0"/>
        <sz val="9"/>
      </rPr>
      <t xml:space="preserve">  指人们在生产和日常生活中，进行装配、安装、维修时使用的手工工具的制造。</t>
    </r>
  </si>
  <si>
    <r>
      <rPr>
        <rFont val="宋体"/>
        <charset val="-122"/>
        <family val="0"/>
        <sz val="9"/>
      </rPr>
      <t xml:space="preserve">    农用及园林用金属工具制造</t>
    </r>
  </si>
  <si>
    <r>
      <rPr>
        <rFont val="宋体"/>
        <charset val="-122"/>
        <family val="0"/>
        <sz val="9"/>
      </rPr>
      <t xml:space="preserve">  指主要用于农牧业生产的小农具，园艺或林业作业用金属工具的制造。</t>
    </r>
  </si>
  <si>
    <r>
      <rPr>
        <rFont val="宋体"/>
        <charset val="-122"/>
        <family val="0"/>
        <sz val="9"/>
      </rPr>
      <t xml:space="preserve">    刀剪及类似日用金属工具制造</t>
    </r>
  </si>
  <si>
    <r>
      <rPr>
        <rFont val="宋体"/>
        <charset val="-122"/>
        <family val="0"/>
        <sz val="9"/>
      </rPr>
      <t xml:space="preserve">  指日常生活用刀剪、指甲钳等类似金属工具的制造。</t>
    </r>
  </si>
  <si>
    <r>
      <rPr>
        <rFont val="宋体"/>
        <charset val="-122"/>
        <family val="0"/>
        <sz val="9"/>
      </rPr>
      <t xml:space="preserve">    其他金属工具制造</t>
    </r>
  </si>
  <si>
    <r>
      <rPr>
        <rFont val="宋体"/>
        <charset val="-122"/>
        <family val="0"/>
        <sz val="9"/>
      </rPr>
      <t xml:space="preserve">  指上述类别未包括的用于各种用途的金属工具的制造。</t>
    </r>
  </si>
  <si>
    <r>
      <rPr>
        <rFont val="宋体"/>
        <charset val="-122"/>
        <family val="0"/>
        <sz val="9"/>
      </rPr>
      <t xml:space="preserve">  集装箱及金属包装容器制造</t>
    </r>
  </si>
  <si>
    <r>
      <rPr>
        <rFont val="宋体"/>
        <charset val="-122"/>
        <family val="0"/>
        <sz val="9"/>
      </rPr>
      <t xml:space="preserve">    集装箱制造</t>
    </r>
  </si>
  <si>
    <r>
      <rPr>
        <rFont val="宋体"/>
        <charset val="-122"/>
        <family val="0"/>
        <sz val="9"/>
      </rPr>
      <t xml:space="preserve">  指专门设计，可长期反复使用，不用换箱内货物，便可从一种运输方式转移到另一种运输方式的放置货物的钢质箱体（其容积大于</t>
    </r>
    <r>
      <rPr>
        <rFont val="Times New Roman"/>
        <family val="1"/>
        <sz val="9"/>
      </rPr>
      <t>1</t>
    </r>
    <r>
      <rPr>
        <rFont val="宋体"/>
        <charset val="-122"/>
        <family val="0"/>
        <sz val="9"/>
      </rPr>
      <t>立方米）的生产和修理活动。</t>
    </r>
  </si>
  <si>
    <r>
      <rPr>
        <rFont val="宋体"/>
        <charset val="-122"/>
        <family val="0"/>
        <sz val="9"/>
      </rPr>
      <t xml:space="preserve">    金属压力容器制造</t>
    </r>
  </si>
  <si>
    <r>
      <rPr>
        <rFont val="宋体"/>
        <charset val="-122"/>
        <family val="0"/>
        <sz val="9"/>
      </rPr>
      <t xml:space="preserve">  指用于存装压缩气体、液化气体及其他具有一定压力的液体物质的金属容器（不论其是否配有顶盖、塞子，或衬有除铁、钢、铝以外的材料）的制造。</t>
    </r>
  </si>
  <si>
    <r>
      <rPr>
        <rFont val="宋体"/>
        <charset val="-122"/>
        <family val="0"/>
        <sz val="9"/>
      </rPr>
      <t xml:space="preserve">    金属包装容器制造</t>
    </r>
  </si>
  <si>
    <r>
      <rPr>
        <rFont val="宋体"/>
        <charset val="-122"/>
        <family val="0"/>
        <sz val="9"/>
      </rPr>
      <t xml:space="preserve">  指主要为商品运输或包装而制作的金属包装容器及附件的制造。</t>
    </r>
  </si>
  <si>
    <r>
      <rPr>
        <rFont val="宋体"/>
        <charset val="-122"/>
        <family val="0"/>
        <sz val="9"/>
      </rPr>
      <t xml:space="preserve">  金属丝绳及其制品的制造</t>
    </r>
  </si>
  <si>
    <r>
      <rPr>
        <rFont val="宋体"/>
        <charset val="-122"/>
        <family val="0"/>
        <sz val="9"/>
      </rPr>
      <t xml:space="preserve">  建筑、安全用金属制品制造</t>
    </r>
  </si>
  <si>
    <r>
      <rPr>
        <rFont val="宋体"/>
        <charset val="-122"/>
        <family val="0"/>
        <sz val="9"/>
      </rPr>
      <t xml:space="preserve">    建筑、家具用金属配件制造</t>
    </r>
  </si>
  <si>
    <r>
      <rPr>
        <rFont val="宋体"/>
        <charset val="-122"/>
        <family val="0"/>
        <sz val="9"/>
      </rPr>
      <t xml:space="preserve">  指用于建筑物、家具、交通工具或其他场所和用具的金属装置、锁及其金属配件的制造。</t>
    </r>
  </si>
  <si>
    <r>
      <rPr>
        <rFont val="宋体"/>
        <charset val="-122"/>
        <family val="0"/>
        <sz val="9"/>
      </rPr>
      <t xml:space="preserve">    建筑装饰及水暖管道零件制造</t>
    </r>
  </si>
  <si>
    <r>
      <rPr>
        <rFont val="宋体"/>
        <charset val="-122"/>
        <family val="0"/>
        <sz val="9"/>
      </rPr>
      <t xml:space="preserve">  指用于建筑方面的金属装饰材料，以及建筑工程对中性介质（如水、油、蒸汽、空气、煤气等没有腐蚀性的气体和液体物质）在低压下进行工作的设备和管道上所使用的金属附件的制造。</t>
    </r>
  </si>
  <si>
    <r>
      <rPr>
        <rFont val="宋体"/>
        <charset val="-122"/>
        <family val="0"/>
        <sz val="9"/>
      </rPr>
      <t xml:space="preserve">    安全、消防用金属制品制造</t>
    </r>
  </si>
  <si>
    <r>
      <rPr>
        <rFont val="宋体"/>
        <charset val="-122"/>
        <family val="0"/>
        <sz val="9"/>
      </rPr>
      <t xml:space="preserve">  指安全、消防用金属保险柜、保险箱、消防梯等金属制品的制造。</t>
    </r>
  </si>
  <si>
    <r>
      <rPr>
        <rFont val="宋体"/>
        <charset val="-122"/>
        <family val="0"/>
        <sz val="9"/>
      </rPr>
      <t xml:space="preserve">    其他建筑、安全用金属制品制造</t>
    </r>
  </si>
  <si>
    <r>
      <rPr>
        <rFont val="宋体"/>
        <charset val="-122"/>
        <family val="0"/>
        <sz val="9"/>
      </rPr>
      <t xml:space="preserve">  金属表面处理及热处理加工</t>
    </r>
  </si>
  <si>
    <r>
      <rPr>
        <rFont val="宋体"/>
        <charset val="-122"/>
        <family val="0"/>
        <sz val="9"/>
      </rPr>
      <t xml:space="preserve">  指对外来的金属物件表面进行的电镀、镀层、抛光、喷涂、着色等专业性作业加工活动。</t>
    </r>
  </si>
  <si>
    <r>
      <rPr>
        <rFont val="宋体"/>
        <charset val="-122"/>
        <family val="0"/>
        <sz val="9"/>
      </rPr>
      <t xml:space="preserve">  搪瓷制品制造</t>
    </r>
  </si>
  <si>
    <r>
      <rPr>
        <rFont val="宋体"/>
        <charset val="-122"/>
        <family val="0"/>
        <sz val="9"/>
      </rPr>
      <t xml:space="preserve">  指在金属坯体表面涂搪瓷釉制成的，具有金属机械强度和瓷釉物化特征，及可装饰性的制品制造。但不包括搪瓷建筑材料的制造。</t>
    </r>
  </si>
  <si>
    <r>
      <rPr>
        <rFont val="宋体"/>
        <charset val="-122"/>
        <family val="0"/>
        <sz val="9"/>
      </rPr>
      <t xml:space="preserve">    工业生产配套用搪瓷制品制造</t>
    </r>
  </si>
  <si>
    <r>
      <rPr>
        <rFont val="宋体"/>
        <charset val="-122"/>
        <family val="0"/>
        <sz val="9"/>
      </rPr>
      <t xml:space="preserve">  指用于工业生产，专为工业生产设备、工业产品及家电配套的各种搪瓷制品的制造。</t>
    </r>
  </si>
  <si>
    <r>
      <rPr>
        <rFont val="宋体"/>
        <charset val="-122"/>
        <family val="0"/>
        <sz val="9"/>
      </rPr>
      <t xml:space="preserve">    搪瓷卫生洁具制造</t>
    </r>
  </si>
  <si>
    <r>
      <rPr>
        <rFont val="宋体"/>
        <charset val="-122"/>
        <family val="0"/>
        <sz val="9"/>
      </rPr>
      <t xml:space="preserve">  指卫生用和清洁盥洗用搪瓷用具的生产。</t>
    </r>
  </si>
  <si>
    <r>
      <rPr>
        <rFont val="宋体"/>
        <charset val="-122"/>
        <family val="0"/>
        <sz val="9"/>
      </rPr>
      <t xml:space="preserve">    搪瓷日用品及其他搪瓷制品制造</t>
    </r>
  </si>
  <si>
    <r>
      <rPr>
        <rFont val="宋体"/>
        <charset val="-122"/>
        <family val="0"/>
        <sz val="9"/>
      </rPr>
      <t xml:space="preserve">  指金属薄板经过成型、搪烧制成的日用品及其他搪瓷制品的制造。</t>
    </r>
  </si>
  <si>
    <r>
      <rPr>
        <rFont val="宋体"/>
        <charset val="-122"/>
        <family val="0"/>
        <sz val="9"/>
      </rPr>
      <t xml:space="preserve">  不锈钢及类似日用金属制品制造</t>
    </r>
  </si>
  <si>
    <r>
      <rPr>
        <rFont val="宋体"/>
        <charset val="-122"/>
        <family val="0"/>
        <sz val="9"/>
      </rPr>
      <t xml:space="preserve">  指以不锈钢、铝等金属为主要原材料，加工制作各种日常生活用金属制品的生产活动。</t>
    </r>
  </si>
  <si>
    <r>
      <rPr>
        <rFont val="宋体"/>
        <charset val="-122"/>
        <family val="0"/>
        <sz val="9"/>
      </rPr>
      <t xml:space="preserve">    金属制厨房调理及卫生器具制造</t>
    </r>
  </si>
  <si>
    <r>
      <rPr>
        <rFont val="宋体"/>
        <charset val="-122"/>
        <family val="0"/>
        <sz val="9"/>
      </rPr>
      <t xml:space="preserve">  指厨房调理、卫生用和清洁盥洗用的各种金属用具的生产。</t>
    </r>
  </si>
  <si>
    <r>
      <rPr>
        <rFont val="宋体"/>
        <charset val="-122"/>
        <family val="0"/>
        <sz val="9"/>
      </rPr>
      <t xml:space="preserve">    金属制厨用器皿及餐具制造</t>
    </r>
  </si>
  <si>
    <r>
      <rPr>
        <rFont val="宋体"/>
        <charset val="-122"/>
        <family val="0"/>
        <sz val="9"/>
      </rPr>
      <t xml:space="preserve">    其他日用金属制品制造</t>
    </r>
  </si>
  <si>
    <r>
      <rPr>
        <rFont val="宋体"/>
        <charset val="-122"/>
        <family val="0"/>
        <sz val="9"/>
      </rPr>
      <t xml:space="preserve">  其他金属制品制造</t>
    </r>
  </si>
  <si>
    <r>
      <rPr>
        <rFont val="宋体"/>
        <charset val="-122"/>
        <family val="0"/>
        <sz val="9"/>
      </rPr>
      <t xml:space="preserve">    铸币及贵金属制实验室用品制造</t>
    </r>
  </si>
  <si>
    <r>
      <rPr>
        <rFont val="宋体"/>
        <charset val="-122"/>
        <family val="0"/>
        <sz val="9"/>
      </rPr>
      <t xml:space="preserve">  指用金属制成的各种金属硬币，以及贵金属制实验室用品的制造。</t>
    </r>
  </si>
  <si>
    <r>
      <rPr>
        <rFont val="宋体"/>
        <charset val="-122"/>
        <family val="0"/>
        <sz val="9"/>
      </rPr>
      <t xml:space="preserve">    其他未列明的金属制品制造</t>
    </r>
  </si>
  <si>
    <r>
      <rPr>
        <rFont val="宋体"/>
        <charset val="-122"/>
        <family val="0"/>
        <sz val="9"/>
      </rPr>
      <t xml:space="preserve">  锅炉及原动机制造</t>
    </r>
  </si>
  <si>
    <r>
      <rPr>
        <rFont val="宋体"/>
        <charset val="-122"/>
        <family val="0"/>
        <sz val="9"/>
      </rPr>
      <t xml:space="preserve">    锅炉及辅助设备制造</t>
    </r>
  </si>
  <si>
    <r>
      <rPr>
        <rFont val="宋体"/>
        <charset val="-122"/>
        <family val="0"/>
        <sz val="9"/>
      </rPr>
      <t xml:space="preserve">  指各种蒸汽锅炉、汽化锅炉，以及除同位素分离器以外的各种核反应堆的制造。</t>
    </r>
  </si>
  <si>
    <r>
      <rPr>
        <rFont val="宋体"/>
        <charset val="-122"/>
        <family val="0"/>
        <sz val="9"/>
      </rPr>
      <t xml:space="preserve">    内燃机及配件制造</t>
    </r>
  </si>
  <si>
    <r>
      <rPr>
        <rFont val="宋体"/>
        <charset val="-122"/>
        <family val="0"/>
        <sz val="9"/>
      </rPr>
      <t xml:space="preserve">  指用于移动或固定用途的往复式、旋转式、火花点火式或压燃式内燃机及配件的制造。但不包括飞机、汽车和摩托车发动机的制造。</t>
    </r>
  </si>
  <si>
    <r>
      <rPr>
        <rFont val="宋体"/>
        <charset val="-122"/>
        <family val="0"/>
        <sz val="9"/>
      </rPr>
      <t xml:space="preserve">    汽轮机及辅机制造</t>
    </r>
  </si>
  <si>
    <r>
      <rPr>
        <rFont val="宋体"/>
        <charset val="-122"/>
        <family val="0"/>
        <sz val="9"/>
      </rPr>
      <t xml:space="preserve">  指汽轮机和燃气轮机（蒸汽涡轮机）的制造。</t>
    </r>
  </si>
  <si>
    <r>
      <rPr>
        <rFont val="宋体"/>
        <charset val="-122"/>
        <family val="0"/>
        <sz val="9"/>
      </rPr>
      <t xml:space="preserve">    水轮机及辅机制造</t>
    </r>
  </si>
  <si>
    <r>
      <rPr>
        <rFont val="宋体"/>
        <charset val="-122"/>
        <family val="0"/>
        <sz val="9"/>
      </rPr>
      <t xml:space="preserve">    其他原动机制造</t>
    </r>
  </si>
  <si>
    <r>
      <rPr>
        <rFont val="宋体"/>
        <charset val="-122"/>
        <family val="0"/>
        <sz val="9"/>
      </rPr>
      <t xml:space="preserve">  金属加工机械制造</t>
    </r>
  </si>
  <si>
    <r>
      <rPr>
        <rFont val="宋体"/>
        <charset val="-122"/>
        <family val="0"/>
        <sz val="9"/>
      </rPr>
      <t xml:space="preserve">    金属切削机床制造</t>
    </r>
  </si>
  <si>
    <r>
      <rPr>
        <rFont val="宋体"/>
        <charset val="-122"/>
        <family val="0"/>
        <sz val="9"/>
      </rPr>
      <t xml:space="preserve">  指用于加工金属的各种切削加工机床的制造。</t>
    </r>
  </si>
  <si>
    <r>
      <rPr>
        <rFont val="宋体"/>
        <charset val="-122"/>
        <family val="0"/>
        <sz val="9"/>
      </rPr>
      <t xml:space="preserve">    金属成形机床制造</t>
    </r>
  </si>
  <si>
    <r>
      <rPr>
        <rFont val="宋体"/>
        <charset val="-122"/>
        <family val="0"/>
        <sz val="9"/>
      </rPr>
      <t xml:space="preserve">  指以锻压、锤击和模压方式加工金属的机床，或以弯曲、折叠、矫直、剪切、冲压、开槽、拉丝等方式加工金属的机床制造。</t>
    </r>
  </si>
  <si>
    <r>
      <rPr>
        <rFont val="宋体"/>
        <charset val="-122"/>
        <family val="0"/>
        <sz val="9"/>
      </rPr>
      <t xml:space="preserve">    铸造机械制造</t>
    </r>
  </si>
  <si>
    <r>
      <rPr>
        <rFont val="宋体"/>
        <charset val="-122"/>
        <family val="0"/>
        <sz val="9"/>
      </rPr>
      <t xml:space="preserve">  指金属铸造用机械的制造。</t>
    </r>
  </si>
  <si>
    <r>
      <rPr>
        <rFont val="宋体"/>
        <charset val="-122"/>
        <family val="0"/>
        <sz val="9"/>
      </rPr>
      <t xml:space="preserve">    金属切割及焊接设备制造</t>
    </r>
  </si>
  <si>
    <r>
      <rPr>
        <rFont val="宋体"/>
        <charset val="-122"/>
        <family val="0"/>
        <sz val="9"/>
      </rPr>
      <t xml:space="preserve">  指将电能及其他形式的能量转换为切割、焊接能量对金属进行切割、焊接的设备的制造。</t>
    </r>
  </si>
  <si>
    <r>
      <rPr>
        <rFont val="宋体"/>
        <charset val="-122"/>
        <family val="0"/>
        <sz val="9"/>
      </rPr>
      <t xml:space="preserve">    机床附件制造</t>
    </r>
  </si>
  <si>
    <r>
      <rPr>
        <rFont val="宋体"/>
        <charset val="-122"/>
        <family val="0"/>
        <sz val="9"/>
      </rPr>
      <t xml:space="preserve">  指扩大机床加工性能和使用范围的附属装置的制造。</t>
    </r>
  </si>
  <si>
    <r>
      <rPr>
        <rFont val="宋体"/>
        <charset val="-122"/>
        <family val="0"/>
        <sz val="9"/>
      </rPr>
      <t xml:space="preserve">    其他金属加工机械制造</t>
    </r>
  </si>
  <si>
    <r>
      <rPr>
        <rFont val="宋体"/>
        <charset val="-122"/>
        <family val="0"/>
        <sz val="9"/>
      </rPr>
      <t xml:space="preserve">  起重运输设备制造</t>
    </r>
  </si>
  <si>
    <r>
      <rPr>
        <rFont val="宋体"/>
        <charset val="-122"/>
        <family val="0"/>
        <sz val="9"/>
      </rPr>
      <t xml:space="preserve">  指在工厂、仓库、码头、站台及其他地方装卸材料、货物或人的机械设备，可连续运行或间歇运行的机械，固定式及移动式机械，以及安装在带轮底盘上的机械制造。</t>
    </r>
  </si>
  <si>
    <r>
      <rPr>
        <rFont val="宋体"/>
        <charset val="-122"/>
        <family val="0"/>
        <sz val="9"/>
      </rPr>
      <t xml:space="preserve">  泵、阀门、压缩机及类似机械的制造</t>
    </r>
  </si>
  <si>
    <r>
      <rPr>
        <rFont val="宋体"/>
        <charset val="-122"/>
        <family val="0"/>
        <sz val="9"/>
      </rPr>
      <t xml:space="preserve">  指泵、真空设备、压缩机，液压和气压动力机械及类似机械和阀门的制造。</t>
    </r>
  </si>
  <si>
    <r>
      <rPr>
        <rFont val="宋体"/>
        <charset val="-122"/>
        <family val="0"/>
        <sz val="9"/>
      </rPr>
      <t xml:space="preserve">    泵及真空设备制造</t>
    </r>
  </si>
  <si>
    <r>
      <rPr>
        <rFont val="宋体"/>
        <charset val="-122"/>
        <family val="0"/>
        <sz val="9"/>
      </rPr>
      <t xml:space="preserve">  指用以输送各种液体、液固混合体、液气混合体及其增压、循环、真空等用途的设备制造。</t>
    </r>
  </si>
  <si>
    <r>
      <rPr>
        <rFont val="宋体"/>
        <charset val="-122"/>
        <family val="0"/>
        <sz val="9"/>
      </rPr>
      <t xml:space="preserve">    气体压缩机械制造</t>
    </r>
  </si>
  <si>
    <r>
      <rPr>
        <rFont val="宋体"/>
        <charset val="-122"/>
        <family val="0"/>
        <sz val="9"/>
      </rPr>
      <t xml:space="preserve">  指对气体进行压缩，使其压力提高到</t>
    </r>
    <r>
      <rPr>
        <rFont val="Times New Roman"/>
        <family val="1"/>
        <sz val="9"/>
      </rPr>
      <t>350kPa</t>
    </r>
    <r>
      <rPr>
        <rFont val="宋体"/>
        <charset val="-122"/>
        <family val="0"/>
        <sz val="9"/>
      </rPr>
      <t>以上的压缩机械的制造。</t>
    </r>
  </si>
  <si>
    <r>
      <rPr>
        <rFont val="宋体"/>
        <charset val="-122"/>
        <family val="0"/>
        <sz val="9"/>
      </rPr>
      <t xml:space="preserve">    阀门和旋塞的制造</t>
    </r>
  </si>
  <si>
    <r>
      <rPr>
        <rFont val="宋体"/>
        <charset val="-122"/>
        <family val="0"/>
        <sz val="9"/>
      </rPr>
      <t xml:space="preserve">  指通过改变其流道面积的大小，用以控制流体流量、压力和流向的装置制造。</t>
    </r>
  </si>
  <si>
    <r>
      <rPr>
        <rFont val="宋体"/>
        <charset val="-122"/>
        <family val="0"/>
        <sz val="9"/>
      </rPr>
      <t xml:space="preserve">    液压和气压动力机械及元件制造</t>
    </r>
  </si>
  <si>
    <r>
      <rPr>
        <rFont val="宋体"/>
        <charset val="-122"/>
        <family val="0"/>
        <sz val="9"/>
      </rPr>
      <t xml:space="preserve">  指以液体为工作介质，靠液体静压力来传送能量的装置制造。</t>
    </r>
  </si>
  <si>
    <r>
      <rPr>
        <rFont val="宋体"/>
        <charset val="-122"/>
        <family val="0"/>
        <sz val="9"/>
      </rPr>
      <t xml:space="preserve">  轴承、齿轮、传动和驱动部件的制造</t>
    </r>
  </si>
  <si>
    <r>
      <rPr>
        <rFont val="宋体"/>
        <charset val="-122"/>
        <family val="0"/>
        <sz val="9"/>
      </rPr>
      <t xml:space="preserve">    轴承制造</t>
    </r>
  </si>
  <si>
    <r>
      <rPr>
        <rFont val="宋体"/>
        <charset val="-122"/>
        <family val="0"/>
        <sz val="9"/>
      </rPr>
      <t xml:space="preserve">  指各种轴承及轴承零件的制造。</t>
    </r>
  </si>
  <si>
    <r>
      <rPr>
        <rFont val="宋体"/>
        <charset val="-122"/>
        <family val="0"/>
        <sz val="9"/>
      </rPr>
      <t xml:space="preserve">    齿轮、传动和驱动部件制造</t>
    </r>
  </si>
  <si>
    <r>
      <rPr>
        <rFont val="宋体"/>
        <charset val="-122"/>
        <family val="0"/>
        <sz val="9"/>
      </rPr>
      <t xml:space="preserve">  指用于传递动力，实现机械输送和提升重物的基础件，铰接式链条等机械传动装置的制造。</t>
    </r>
  </si>
  <si>
    <r>
      <rPr>
        <rFont val="宋体"/>
        <charset val="-122"/>
        <family val="0"/>
        <sz val="9"/>
      </rPr>
      <t xml:space="preserve">  烘炉、熔炉及电炉制造</t>
    </r>
  </si>
  <si>
    <r>
      <rPr>
        <rFont val="宋体"/>
        <charset val="-122"/>
        <family val="0"/>
        <sz val="9"/>
      </rPr>
      <t xml:space="preserve">  指使用液体燃料、粉状固体燃料（焚化炉）或气体燃料，进行煅烧、熔化或其他热处理用的非电力熔炉、窑炉和烘炉等燃烧器的制造，以及工业或实验室用电炉及零件的制造。</t>
    </r>
  </si>
  <si>
    <r>
      <rPr>
        <rFont val="宋体"/>
        <charset val="-122"/>
        <family val="0"/>
        <sz val="9"/>
      </rPr>
      <t xml:space="preserve">  风机、衡器、包装设备等通用设备制造</t>
    </r>
  </si>
  <si>
    <r>
      <rPr>
        <rFont val="宋体"/>
        <charset val="-122"/>
        <family val="0"/>
        <sz val="9"/>
      </rPr>
      <t xml:space="preserve">    风机、风扇制造</t>
    </r>
  </si>
  <si>
    <r>
      <rPr>
        <rFont val="宋体"/>
        <charset val="-122"/>
        <family val="0"/>
        <sz val="9"/>
      </rPr>
      <t xml:space="preserve">  指用来输送各种气体，以及气体增压、循环、通风换气、排尘等设备的制造。</t>
    </r>
  </si>
  <si>
    <r>
      <rPr>
        <rFont val="宋体"/>
        <charset val="-122"/>
        <family val="0"/>
        <sz val="9"/>
      </rPr>
      <t xml:space="preserve">    气体、液体分离及纯净设备制造</t>
    </r>
  </si>
  <si>
    <r>
      <rPr>
        <rFont val="宋体"/>
        <charset val="-122"/>
        <family val="0"/>
        <sz val="9"/>
      </rPr>
      <t xml:space="preserve">  指气体和液体的提纯、分离、液化、过滤、净化等设备的制造。</t>
    </r>
  </si>
  <si>
    <r>
      <rPr>
        <rFont val="宋体"/>
        <charset val="-122"/>
        <family val="0"/>
        <sz val="9"/>
      </rPr>
      <t xml:space="preserve">    制冷、空调设备制造</t>
    </r>
  </si>
  <si>
    <r>
      <rPr>
        <rFont val="宋体"/>
        <charset val="-122"/>
        <family val="0"/>
        <sz val="9"/>
      </rPr>
      <t xml:space="preserve">  指用于专业生产、商业经营等方面的制冷设备和空调设备的制造。但不包括家用空调设备的制造。</t>
    </r>
  </si>
  <si>
    <r>
      <rPr>
        <rFont val="宋体"/>
        <charset val="-122"/>
        <family val="0"/>
        <sz val="9"/>
      </rPr>
      <t xml:space="preserve">    风动和电动工具制造</t>
    </r>
  </si>
  <si>
    <r>
      <rPr>
        <rFont val="宋体"/>
        <charset val="-122"/>
        <family val="0"/>
        <sz val="9"/>
      </rPr>
      <t xml:space="preserve">  指带有电动机、非电力发动机或风动装置的手工操作加工工具的制造。</t>
    </r>
  </si>
  <si>
    <r>
      <rPr>
        <rFont val="宋体"/>
        <charset val="-122"/>
        <family val="0"/>
        <sz val="9"/>
      </rPr>
      <t xml:space="preserve">    喷枪及类似器具制造</t>
    </r>
    <r>
      <rPr>
        <rFont val="Times New Roman"/>
        <family val="1"/>
        <sz val="9"/>
      </rPr>
      <t xml:space="preserve"> </t>
    </r>
  </si>
  <si>
    <r>
      <rPr>
        <rFont val="宋体"/>
        <charset val="-122"/>
        <family val="0"/>
        <sz val="9"/>
      </rPr>
      <t xml:space="preserve">    包装专用设备制造</t>
    </r>
  </si>
  <si>
    <r>
      <rPr>
        <rFont val="宋体"/>
        <charset val="-122"/>
        <family val="0"/>
        <sz val="9"/>
      </rPr>
      <t xml:space="preserve">  指对瓶、桶、箱、袋或其他容器的洗涤、干燥、装填、密封和贴标签等专用包装机械的制造。</t>
    </r>
  </si>
  <si>
    <r>
      <rPr>
        <rFont val="宋体"/>
        <charset val="-122"/>
        <family val="0"/>
        <sz val="9"/>
      </rPr>
      <t xml:space="preserve">    衡器制造</t>
    </r>
  </si>
  <si>
    <r>
      <rPr>
        <rFont val="宋体"/>
        <charset val="-122"/>
        <family val="0"/>
        <sz val="9"/>
      </rPr>
      <t xml:space="preserve">  指用来测定物质重量的各种机械的、电子的或机电结合的装置或设备的生产。</t>
    </r>
  </si>
  <si>
    <r>
      <rPr>
        <rFont val="宋体"/>
        <charset val="-122"/>
        <family val="0"/>
        <sz val="9"/>
      </rPr>
      <t xml:space="preserve">    其他通用设备制造</t>
    </r>
  </si>
  <si>
    <r>
      <rPr>
        <rFont val="宋体"/>
        <charset val="-122"/>
        <family val="0"/>
        <sz val="9"/>
      </rPr>
      <t xml:space="preserve">  通用零部件制造及机械修理</t>
    </r>
  </si>
  <si>
    <r>
      <rPr>
        <rFont val="宋体"/>
        <charset val="-122"/>
        <family val="0"/>
        <sz val="9"/>
      </rPr>
      <t xml:space="preserve">    金属密封件制造</t>
    </r>
  </si>
  <si>
    <r>
      <rPr>
        <rFont val="宋体"/>
        <charset val="-122"/>
        <family val="0"/>
        <sz val="9"/>
      </rPr>
      <t xml:space="preserve">  指以金属为原料制作密封件的生产活动。</t>
    </r>
  </si>
  <si>
    <r>
      <rPr>
        <rFont val="宋体"/>
        <charset val="-122"/>
        <family val="0"/>
        <sz val="9"/>
      </rPr>
      <t xml:space="preserve">    紧固件、弹簧制造</t>
    </r>
  </si>
  <si>
    <r>
      <rPr>
        <rFont val="宋体"/>
        <charset val="-122"/>
        <family val="0"/>
        <sz val="9"/>
      </rPr>
      <t xml:space="preserve">    机械零部件加工及设备修理</t>
    </r>
  </si>
  <si>
    <r>
      <rPr>
        <rFont val="宋体"/>
        <charset val="-122"/>
        <family val="0"/>
        <sz val="9"/>
      </rPr>
      <t xml:space="preserve">  指对专用和通用机械零部件的加工及修理活动。</t>
    </r>
  </si>
  <si>
    <r>
      <rPr>
        <rFont val="宋体"/>
        <charset val="-122"/>
        <family val="0"/>
        <sz val="9"/>
      </rPr>
      <t xml:space="preserve">    其他通用零部件制造</t>
    </r>
  </si>
  <si>
    <r>
      <rPr>
        <rFont val="宋体"/>
        <charset val="-122"/>
        <family val="0"/>
        <sz val="9"/>
      </rPr>
      <t xml:space="preserve">  金属铸、锻加工</t>
    </r>
  </si>
  <si>
    <r>
      <rPr>
        <rFont val="宋体"/>
        <charset val="-122"/>
        <family val="0"/>
        <sz val="9"/>
      </rPr>
      <t xml:space="preserve">    钢铁铸件制造</t>
    </r>
  </si>
  <si>
    <r>
      <rPr>
        <rFont val="宋体"/>
        <charset val="-122"/>
        <family val="0"/>
        <sz val="9"/>
      </rPr>
      <t xml:space="preserve">  指钢铁金属铸造的各种成品或半成品的制造活动。</t>
    </r>
  </si>
  <si>
    <r>
      <rPr>
        <rFont val="宋体"/>
        <charset val="-122"/>
        <family val="0"/>
        <sz val="9"/>
      </rPr>
      <t xml:space="preserve">    锻件及粉末冶金制品制造</t>
    </r>
  </si>
  <si>
    <r>
      <rPr>
        <rFont val="宋体"/>
        <charset val="-122"/>
        <family val="0"/>
        <sz val="9"/>
      </rPr>
      <t xml:space="preserve">  指通过对金属坯料进行锻造变形而得到的工件或毛坯，或者将金属粉末和与非金属粉末的混合物通过压制变形、烘焙制作制品和材料的活动。</t>
    </r>
  </si>
  <si>
    <r>
      <rPr>
        <rFont val="宋体"/>
        <charset val="-122"/>
        <family val="0"/>
        <sz val="9"/>
      </rPr>
      <t xml:space="preserve">  矿山、冶金、建筑专用设备制造</t>
    </r>
  </si>
  <si>
    <r>
      <rPr>
        <rFont val="宋体"/>
        <charset val="-122"/>
        <family val="0"/>
        <sz val="9"/>
      </rPr>
      <t xml:space="preserve">    采矿、采石设备制造</t>
    </r>
  </si>
  <si>
    <r>
      <rPr>
        <rFont val="宋体"/>
        <charset val="-122"/>
        <family val="0"/>
        <sz val="9"/>
      </rPr>
      <t xml:space="preserve">  指地下或露天，用于对金属、煤炭、石油、化工等各种矿石或建筑用石的开采设备制造，以及矿石筛选、分类、分离、洗选、轧碎或类似加工工艺使用的专用机械的制造。</t>
    </r>
  </si>
  <si>
    <r>
      <rPr>
        <rFont val="宋体"/>
        <charset val="-122"/>
        <family val="0"/>
        <sz val="9"/>
      </rPr>
      <t xml:space="preserve">    石油钻采专用设备制造</t>
    </r>
  </si>
  <si>
    <r>
      <rPr>
        <rFont val="宋体"/>
        <charset val="-122"/>
        <family val="0"/>
        <sz val="9"/>
      </rPr>
      <t xml:space="preserve">  指对陆地和海洋的石油、天然气等专用开采设备的制造。</t>
    </r>
  </si>
  <si>
    <r>
      <rPr>
        <rFont val="宋体"/>
        <charset val="-122"/>
        <family val="0"/>
        <sz val="9"/>
      </rPr>
      <t xml:space="preserve">    建筑工程用机械制造</t>
    </r>
  </si>
  <si>
    <r>
      <rPr>
        <rFont val="宋体"/>
        <charset val="-122"/>
        <family val="0"/>
        <sz val="9"/>
      </rPr>
      <t xml:space="preserve">  指建筑施工及市政公共工程用机械的制造。</t>
    </r>
  </si>
  <si>
    <r>
      <rPr>
        <rFont val="宋体"/>
        <charset val="-122"/>
        <family val="0"/>
        <sz val="9"/>
      </rPr>
      <t xml:space="preserve">    建筑材料生产专用机械制造</t>
    </r>
  </si>
  <si>
    <r>
      <rPr>
        <rFont val="宋体"/>
        <charset val="-122"/>
        <family val="0"/>
        <sz val="9"/>
      </rPr>
      <t xml:space="preserve">  指生产水泥、水泥制品、玻璃及玻璃纤维、建筑陶瓷、砖瓦等建筑材料所使用的各种生产、搅拌成型机械的制造。</t>
    </r>
  </si>
  <si>
    <r>
      <rPr>
        <rFont val="宋体"/>
        <charset val="-122"/>
        <family val="0"/>
        <sz val="9"/>
      </rPr>
      <t xml:space="preserve">    冶金专用设备制造</t>
    </r>
    <r>
      <rPr>
        <rFont val="Times New Roman"/>
        <family val="1"/>
        <sz val="9"/>
      </rPr>
      <t xml:space="preserve">    </t>
    </r>
  </si>
  <si>
    <r>
      <rPr>
        <rFont val="宋体"/>
        <charset val="-122"/>
        <family val="0"/>
        <sz val="9"/>
      </rPr>
      <t xml:space="preserve">  指金属冶炼、轧制、铸造等生产专用设备的制造。</t>
    </r>
  </si>
  <si>
    <r>
      <rPr>
        <rFont val="宋体"/>
        <charset val="-122"/>
        <family val="0"/>
        <sz val="9"/>
      </rPr>
      <t xml:space="preserve">  化工、木材、非金属加工专用设备制造</t>
    </r>
  </si>
  <si>
    <r>
      <rPr>
        <rFont val="宋体"/>
        <charset val="-122"/>
        <family val="0"/>
        <sz val="9"/>
      </rPr>
      <t xml:space="preserve">    炼油、化工生产专用设备制造</t>
    </r>
  </si>
  <si>
    <r>
      <rPr>
        <rFont val="宋体"/>
        <charset val="-122"/>
        <family val="0"/>
        <sz val="9"/>
      </rPr>
      <t xml:space="preserve">  指炼油、化学工业生产专用设备的制造，但不包括包装机械等通用设备的制造。</t>
    </r>
  </si>
  <si>
    <r>
      <rPr>
        <rFont val="宋体"/>
        <charset val="-122"/>
        <family val="0"/>
        <sz val="9"/>
      </rPr>
      <t xml:space="preserve">    橡胶加工专用设备制造</t>
    </r>
  </si>
  <si>
    <r>
      <rPr>
        <rFont val="宋体"/>
        <charset val="-122"/>
        <family val="0"/>
        <sz val="9"/>
      </rPr>
      <t xml:space="preserve">  指加工橡胶，或以橡胶为材料生产橡胶制品的专用机械制造。</t>
    </r>
  </si>
  <si>
    <r>
      <rPr>
        <rFont val="宋体"/>
        <charset val="-122"/>
        <family val="0"/>
        <sz val="9"/>
      </rPr>
      <t xml:space="preserve">    塑料加工专用设备制造</t>
    </r>
  </si>
  <si>
    <r>
      <rPr>
        <rFont val="宋体"/>
        <charset val="-122"/>
        <family val="0"/>
        <sz val="9"/>
      </rPr>
      <t xml:space="preserve">  指塑料加工工业中所使用的各类专用机械和装置的制造。</t>
    </r>
  </si>
  <si>
    <r>
      <rPr>
        <rFont val="宋体"/>
        <charset val="-122"/>
        <family val="0"/>
        <sz val="9"/>
      </rPr>
      <t xml:space="preserve">    木材加工机械制造</t>
    </r>
    <r>
      <rPr>
        <rFont val="Times New Roman"/>
        <family val="1"/>
        <sz val="9"/>
      </rPr>
      <t xml:space="preserve">    </t>
    </r>
  </si>
  <si>
    <r>
      <rPr>
        <rFont val="宋体"/>
        <charset val="-122"/>
        <family val="0"/>
        <sz val="9"/>
      </rPr>
      <t xml:space="preserve">  指加工木材、木质板材及木制品的生产专用机械的制造。</t>
    </r>
  </si>
  <si>
    <r>
      <rPr>
        <rFont val="宋体"/>
        <charset val="-122"/>
        <family val="0"/>
        <sz val="9"/>
      </rPr>
      <t xml:space="preserve">    模具制造</t>
    </r>
  </si>
  <si>
    <r>
      <rPr>
        <rFont val="宋体"/>
        <charset val="-122"/>
        <family val="0"/>
        <sz val="9"/>
      </rPr>
      <t xml:space="preserve">  指金属铸造用模具、矿物材料用模具、橡胶或塑料用模具及其他用途的模具的制造。</t>
    </r>
  </si>
  <si>
    <r>
      <rPr>
        <rFont val="宋体"/>
        <charset val="-122"/>
        <family val="0"/>
        <sz val="9"/>
      </rPr>
      <t xml:space="preserve">    其他非金属加工专用设备制造</t>
    </r>
  </si>
  <si>
    <r>
      <rPr>
        <rFont val="宋体"/>
        <charset val="-122"/>
        <family val="0"/>
        <sz val="9"/>
      </rPr>
      <t xml:space="preserve">  食品、饮料、烟草及饲料生产专用设备制造　　　</t>
    </r>
  </si>
  <si>
    <r>
      <rPr>
        <rFont val="宋体"/>
        <charset val="-122"/>
        <family val="0"/>
        <sz val="9"/>
      </rPr>
      <t xml:space="preserve">    食品、饮料、烟草工业专用设备制造</t>
    </r>
  </si>
  <si>
    <r>
      <rPr>
        <rFont val="宋体"/>
        <charset val="-122"/>
        <family val="0"/>
        <sz val="9"/>
      </rPr>
      <t xml:space="preserve">  指主要用于食品、饮料酒及饮料生产、烟草制品加工等专用设备的制造。</t>
    </r>
  </si>
  <si>
    <r>
      <rPr>
        <rFont val="宋体"/>
        <charset val="-122"/>
        <family val="0"/>
        <sz val="9"/>
      </rPr>
      <t xml:space="preserve">    农副食品加工专用设备制造</t>
    </r>
  </si>
  <si>
    <r>
      <rPr>
        <rFont val="宋体"/>
        <charset val="-122"/>
        <family val="0"/>
        <sz val="9"/>
      </rPr>
      <t xml:space="preserve">  指对谷物、干豆类等农作物的筛选、碾磨、储存等专用机械，糖料和油料作物加工机械，畜禽屠宰、水产品加工及盐加工机械的制造。</t>
    </r>
  </si>
  <si>
    <r>
      <rPr>
        <rFont val="宋体"/>
        <charset val="-122"/>
        <family val="0"/>
        <sz val="9"/>
      </rPr>
      <t xml:space="preserve">    饲料生产专用设备制造</t>
    </r>
  </si>
  <si>
    <r>
      <rPr>
        <rFont val="宋体"/>
        <charset val="-122"/>
        <family val="0"/>
        <sz val="9"/>
      </rPr>
      <t xml:space="preserve">  印刷、制药、日化生产专用设备制造</t>
    </r>
  </si>
  <si>
    <r>
      <rPr>
        <rFont val="宋体"/>
        <charset val="-122"/>
        <family val="0"/>
        <sz val="9"/>
      </rPr>
      <t xml:space="preserve">    制浆和造纸专用设备制造</t>
    </r>
  </si>
  <si>
    <r>
      <rPr>
        <rFont val="宋体"/>
        <charset val="-122"/>
        <family val="0"/>
        <sz val="9"/>
      </rPr>
      <t xml:space="preserve">  指在制浆、造纸、纸加工及纸制品的生产过程中所用的各类机械和设备的制造。</t>
    </r>
  </si>
  <si>
    <r>
      <rPr>
        <rFont val="宋体"/>
        <charset val="-122"/>
        <family val="0"/>
        <sz val="9"/>
      </rPr>
      <t xml:space="preserve">    印刷专用设备制造</t>
    </r>
  </si>
  <si>
    <r>
      <rPr>
        <rFont val="宋体"/>
        <charset val="-122"/>
        <family val="0"/>
        <sz val="9"/>
      </rPr>
      <t xml:space="preserve">  指使用印刷或其他方式将图文信息转移到承印物上的专用生产设备的制造活动。</t>
    </r>
  </si>
  <si>
    <r>
      <rPr>
        <rFont val="宋体"/>
        <charset val="-122"/>
        <family val="0"/>
        <sz val="9"/>
      </rPr>
      <t xml:space="preserve">    日用化工专用设备制造</t>
    </r>
  </si>
  <si>
    <r>
      <rPr>
        <rFont val="宋体"/>
        <charset val="-122"/>
        <family val="0"/>
        <sz val="9"/>
      </rPr>
      <t xml:space="preserve">  指日用化学工业产品，如洗涤用品、口腔清洁用品、化妆品、香精、香料、动物胶、感光材料及其他日用化学制品专用生产设备的制造。</t>
    </r>
  </si>
  <si>
    <r>
      <rPr>
        <rFont val="宋体"/>
        <charset val="-122"/>
        <family val="0"/>
        <sz val="9"/>
      </rPr>
      <t xml:space="preserve">    制药专用设备制造</t>
    </r>
  </si>
  <si>
    <r>
      <rPr>
        <rFont val="宋体"/>
        <charset val="-122"/>
        <family val="0"/>
        <sz val="9"/>
      </rPr>
      <t xml:space="preserve">  指化学原料药和药剂、中药饮片及中成药专用生产设备的制造。</t>
    </r>
  </si>
  <si>
    <r>
      <rPr>
        <rFont val="宋体"/>
        <charset val="-122"/>
        <family val="0"/>
        <sz val="9"/>
      </rPr>
      <t xml:space="preserve">    照明器具生产专用设备制造</t>
    </r>
  </si>
  <si>
    <r>
      <rPr>
        <rFont val="宋体"/>
        <charset val="-122"/>
        <family val="0"/>
        <sz val="9"/>
      </rPr>
      <t xml:space="preserve">  指用于生产各种电灯泡、荧光灯管等电光源和各种照明器具产品专用生产设备的制造。</t>
    </r>
  </si>
  <si>
    <r>
      <rPr>
        <rFont val="宋体"/>
        <charset val="-122"/>
        <family val="0"/>
        <sz val="9"/>
      </rPr>
      <t xml:space="preserve">    玻璃、陶瓷和搪瓷制品生产专用设备制造</t>
    </r>
  </si>
  <si>
    <r>
      <rPr>
        <rFont val="宋体"/>
        <charset val="-122"/>
        <family val="0"/>
        <sz val="9"/>
      </rPr>
      <t xml:space="preserve">  指用于生产加工玻璃制品、玻璃器皿的专用机械，陶瓷器等类似产品的加工机床和生产专用机械，以及搪瓷制品生产设备的制造。</t>
    </r>
  </si>
  <si>
    <r>
      <rPr>
        <rFont val="宋体"/>
        <charset val="-122"/>
        <family val="0"/>
        <sz val="9"/>
      </rPr>
      <t xml:space="preserve">    其他日用品生产专用设备制造</t>
    </r>
  </si>
  <si>
    <r>
      <rPr>
        <rFont val="宋体"/>
        <charset val="-122"/>
        <family val="0"/>
        <sz val="9"/>
      </rPr>
      <t xml:space="preserve">  指上述未列明的日用品、工艺美术品的生产专用机械设备的制造。</t>
    </r>
  </si>
  <si>
    <r>
      <rPr>
        <rFont val="宋体"/>
        <charset val="-122"/>
        <family val="0"/>
        <sz val="9"/>
      </rPr>
      <t xml:space="preserve">  纺织、服装和皮革工业专用设备制造</t>
    </r>
  </si>
  <si>
    <r>
      <rPr>
        <rFont val="宋体"/>
        <charset val="-122"/>
        <family val="0"/>
        <sz val="9"/>
      </rPr>
      <t xml:space="preserve">    纺织专用设备制造</t>
    </r>
    <r>
      <rPr>
        <rFont val="Times New Roman"/>
        <family val="1"/>
        <sz val="9"/>
      </rPr>
      <t xml:space="preserve"> </t>
    </r>
  </si>
  <si>
    <r>
      <rPr>
        <rFont val="宋体"/>
        <charset val="-122"/>
        <family val="0"/>
        <sz val="9"/>
      </rPr>
      <t xml:space="preserve">  指纺织纤维预处理、纺纱、织造和针织机械的制造。</t>
    </r>
  </si>
  <si>
    <r>
      <rPr>
        <rFont val="宋体"/>
        <charset val="-122"/>
        <family val="0"/>
        <sz val="9"/>
      </rPr>
      <t xml:space="preserve">    皮革、毛皮及其制品加工专用设备制造</t>
    </r>
  </si>
  <si>
    <r>
      <rPr>
        <rFont val="宋体"/>
        <charset val="-122"/>
        <family val="0"/>
        <sz val="9"/>
      </rPr>
      <t xml:space="preserve">  指在制革、毛皮鞣制及其制品的加工生产过程中所使用的各种专用设备的制造。</t>
    </r>
  </si>
  <si>
    <r>
      <rPr>
        <rFont val="宋体"/>
        <charset val="-122"/>
        <family val="0"/>
        <sz val="9"/>
      </rPr>
      <t xml:space="preserve">    缝纫机械制造</t>
    </r>
  </si>
  <si>
    <r>
      <rPr>
        <rFont val="宋体"/>
        <charset val="-122"/>
        <family val="0"/>
        <sz val="9"/>
      </rPr>
      <t xml:space="preserve">  指用于服装、鞋帽制作的专用缝纫机械的制造。</t>
    </r>
  </si>
  <si>
    <r>
      <rPr>
        <rFont val="宋体"/>
        <charset val="-122"/>
        <family val="0"/>
        <sz val="9"/>
      </rPr>
      <t xml:space="preserve">    其他服装加工专用设备制造</t>
    </r>
  </si>
  <si>
    <r>
      <rPr>
        <rFont val="宋体"/>
        <charset val="-122"/>
        <family val="0"/>
        <sz val="9"/>
      </rPr>
      <t xml:space="preserve">  指除缝纫机以外，生产加工各种面料服装、鞋帽，以及洗衣店所使用的类似机械的制造。</t>
    </r>
  </si>
  <si>
    <r>
      <rPr>
        <rFont val="宋体"/>
        <charset val="-122"/>
        <family val="0"/>
        <sz val="9"/>
      </rPr>
      <t xml:space="preserve">  电子和电工机械专用设备制造</t>
    </r>
  </si>
  <si>
    <r>
      <rPr>
        <rFont val="宋体"/>
        <charset val="-122"/>
        <family val="0"/>
        <sz val="9"/>
      </rPr>
      <t xml:space="preserve">    电工机械专用设备制造</t>
    </r>
  </si>
  <si>
    <r>
      <rPr>
        <rFont val="宋体"/>
        <charset val="-122"/>
        <family val="0"/>
        <sz val="9"/>
      </rPr>
      <t xml:space="preserve">  指电机、电线、电缆等电站、电工专用机械及器材的生产设备的制造。</t>
    </r>
  </si>
  <si>
    <r>
      <rPr>
        <rFont val="宋体"/>
        <charset val="-122"/>
        <family val="0"/>
        <sz val="9"/>
      </rPr>
      <t xml:space="preserve">    电子工业专用设备制造</t>
    </r>
  </si>
  <si>
    <r>
      <rPr>
        <rFont val="宋体"/>
        <charset val="-122"/>
        <family val="0"/>
        <sz val="9"/>
      </rPr>
      <t xml:space="preserve">  指生产半导体器件、集成电路、电子元件、电真空器件，以及电子设备整机装配专用设备的制造。</t>
    </r>
  </si>
  <si>
    <r>
      <rPr>
        <rFont val="宋体"/>
        <charset val="-122"/>
        <family val="0"/>
        <sz val="9"/>
      </rPr>
      <t xml:space="preserve">    武器弹药制造</t>
    </r>
  </si>
  <si>
    <r>
      <rPr>
        <rFont val="宋体"/>
        <charset val="-122"/>
        <family val="0"/>
        <sz val="9"/>
      </rPr>
      <t xml:space="preserve">    航空、航天及其他专用设备制造</t>
    </r>
  </si>
  <si>
    <r>
      <rPr>
        <rFont val="宋体"/>
        <charset val="-122"/>
        <family val="0"/>
        <sz val="9"/>
      </rPr>
      <t xml:space="preserve">  农、林、牧、渔专用机械制造</t>
    </r>
  </si>
  <si>
    <r>
      <rPr>
        <rFont val="宋体"/>
        <charset val="-122"/>
        <family val="0"/>
        <sz val="9"/>
      </rPr>
      <t xml:space="preserve">    拖拉机制造</t>
    </r>
  </si>
  <si>
    <r>
      <rPr>
        <rFont val="宋体"/>
        <charset val="-122"/>
        <family val="0"/>
        <sz val="9"/>
      </rPr>
      <t xml:space="preserve">    机械化农业及园艺机具制造</t>
    </r>
  </si>
  <si>
    <r>
      <rPr>
        <rFont val="宋体"/>
        <charset val="-122"/>
        <family val="0"/>
        <sz val="9"/>
      </rPr>
      <t xml:space="preserve">  指用于土壤处理，作物种植或施肥，种植物收割的农业、园艺或其他机械的制造。</t>
    </r>
  </si>
  <si>
    <r>
      <rPr>
        <rFont val="宋体"/>
        <charset val="-122"/>
        <family val="0"/>
        <sz val="9"/>
      </rPr>
      <t xml:space="preserve">    营林及木竹采伐机械制造</t>
    </r>
  </si>
  <si>
    <r>
      <rPr>
        <rFont val="宋体"/>
        <charset val="-122"/>
        <family val="0"/>
        <sz val="9"/>
      </rPr>
      <t xml:space="preserve">    畜牧机械制造</t>
    </r>
  </si>
  <si>
    <r>
      <rPr>
        <rFont val="宋体"/>
        <charset val="-122"/>
        <family val="0"/>
        <sz val="9"/>
      </rPr>
      <t xml:space="preserve">  指草原建设、管理，畜禽养殖及畜禽产品采集等专用机械的制造。</t>
    </r>
  </si>
  <si>
    <r>
      <rPr>
        <rFont val="宋体"/>
        <charset val="-122"/>
        <family val="0"/>
        <sz val="9"/>
      </rPr>
      <t xml:space="preserve">    渔业机械制造</t>
    </r>
  </si>
  <si>
    <r>
      <rPr>
        <rFont val="宋体"/>
        <charset val="-122"/>
        <family val="0"/>
        <sz val="9"/>
      </rPr>
      <t xml:space="preserve">  指渔业养殖、渔业捕捞等专用设备的制造。</t>
    </r>
  </si>
  <si>
    <r>
      <rPr>
        <rFont val="宋体"/>
        <charset val="-122"/>
        <family val="0"/>
        <sz val="9"/>
      </rPr>
      <t xml:space="preserve">    农林牧渔机械配件制造</t>
    </r>
  </si>
  <si>
    <r>
      <rPr>
        <rFont val="宋体"/>
        <charset val="-122"/>
        <family val="0"/>
        <sz val="9"/>
      </rPr>
      <t xml:space="preserve">  指拖拉机配件和其他农林牧渔机械配件的制造。</t>
    </r>
  </si>
  <si>
    <r>
      <rPr>
        <rFont val="宋体"/>
        <charset val="-122"/>
        <family val="0"/>
        <sz val="9"/>
      </rPr>
      <t xml:space="preserve">    其他农林牧渔业机械制造及机械修理</t>
    </r>
  </si>
  <si>
    <r>
      <rPr>
        <rFont val="宋体"/>
        <charset val="-122"/>
        <family val="0"/>
        <sz val="9"/>
      </rPr>
      <t xml:space="preserve">  指用于农产品初加工机械，以及其他未列明的农林牧渔业机械的制造及机械修理活动。</t>
    </r>
  </si>
  <si>
    <r>
      <rPr>
        <rFont val="宋体"/>
        <charset val="-122"/>
        <family val="0"/>
        <sz val="9"/>
      </rPr>
      <t xml:space="preserve">  医疗仪器设备及器械制造</t>
    </r>
  </si>
  <si>
    <r>
      <rPr>
        <rFont val="宋体"/>
        <charset val="-122"/>
        <family val="0"/>
        <sz val="9"/>
      </rPr>
      <t xml:space="preserve">    医疗诊断、监护及治疗设备制造</t>
    </r>
  </si>
  <si>
    <r>
      <rPr>
        <rFont val="宋体"/>
        <charset val="-122"/>
        <family val="0"/>
        <sz val="9"/>
      </rPr>
      <t xml:space="preserve">  指用于内科、外科、眼科、牙科、妇产科、中医等医疗专用及兽医用诊断、监护、治疗等方面的设备制造与修理。</t>
    </r>
  </si>
  <si>
    <r>
      <rPr>
        <rFont val="宋体"/>
        <charset val="-122"/>
        <family val="0"/>
        <sz val="9"/>
      </rPr>
      <t xml:space="preserve">    口腔科用设备及器具制造</t>
    </r>
  </si>
  <si>
    <r>
      <rPr>
        <rFont val="宋体"/>
        <charset val="-122"/>
        <family val="0"/>
        <sz val="9"/>
      </rPr>
      <t xml:space="preserve">  指用于口腔治疗、修补的设备及器械的制造与修理。</t>
    </r>
  </si>
  <si>
    <r>
      <rPr>
        <rFont val="宋体"/>
        <charset val="-122"/>
        <family val="0"/>
        <sz val="9"/>
      </rPr>
      <t xml:space="preserve">    实验室及医用消毒设备和器具的制造</t>
    </r>
  </si>
  <si>
    <r>
      <rPr>
        <rFont val="宋体"/>
        <charset val="-122"/>
        <family val="0"/>
        <sz val="9"/>
      </rPr>
      <t xml:space="preserve">  指实验室或医疗用的消毒、灭菌设备及器具的制造与修理。</t>
    </r>
  </si>
  <si>
    <r>
      <rPr>
        <rFont val="宋体"/>
        <charset val="-122"/>
        <family val="0"/>
        <sz val="9"/>
      </rPr>
      <t xml:space="preserve">    医疗、外科及兽医用器械制造</t>
    </r>
  </si>
  <si>
    <r>
      <rPr>
        <rFont val="宋体"/>
        <charset val="-122"/>
        <family val="0"/>
        <sz val="9"/>
      </rPr>
      <t xml:space="preserve">  指各种手术室、急救室、诊疗室等医疗专用及兽医用的手术器械、医疗诊断用品和医疗用具的制造与修理。</t>
    </r>
  </si>
  <si>
    <r>
      <rPr>
        <rFont val="宋体"/>
        <charset val="-122"/>
        <family val="0"/>
        <sz val="9"/>
      </rPr>
      <t xml:space="preserve">    机械治疗及病房护理设备制造</t>
    </r>
  </si>
  <si>
    <r>
      <rPr>
        <rFont val="宋体"/>
        <charset val="-122"/>
        <family val="0"/>
        <sz val="9"/>
      </rPr>
      <t xml:space="preserve">  指各种治疗设备、病房护理及康复专用设备的制造。</t>
    </r>
  </si>
  <si>
    <r>
      <rPr>
        <rFont val="宋体"/>
        <charset val="-122"/>
        <family val="0"/>
        <sz val="9"/>
      </rPr>
      <t xml:space="preserve">    假肢、人工器官及植（介）入器械制造</t>
    </r>
  </si>
  <si>
    <r>
      <rPr>
        <rFont val="宋体"/>
        <charset val="-122"/>
        <family val="0"/>
        <sz val="9"/>
      </rPr>
      <t xml:space="preserve">  指外科、牙科等医疗专用及兽医用的假肢、人工器官、植入器械，矫形器具的制造。</t>
    </r>
  </si>
  <si>
    <r>
      <rPr>
        <rFont val="宋体"/>
        <charset val="-122"/>
        <family val="0"/>
        <sz val="9"/>
      </rPr>
      <t xml:space="preserve">    其他医疗设备及器械制造</t>
    </r>
  </si>
  <si>
    <r>
      <rPr>
        <rFont val="宋体"/>
        <charset val="-122"/>
        <family val="0"/>
        <sz val="9"/>
      </rPr>
      <t xml:space="preserve">  指外科、牙科等医疗专用及兽医用的家具器械，以及其他未列明的医疗设备及器械的制造与修理活动。</t>
    </r>
  </si>
  <si>
    <r>
      <rPr>
        <rFont val="宋体"/>
        <charset val="-122"/>
        <family val="0"/>
        <sz val="9"/>
      </rPr>
      <t xml:space="preserve">  环保、社会公共安全及其他专用设备制造</t>
    </r>
  </si>
  <si>
    <r>
      <rPr>
        <rFont val="宋体"/>
        <charset val="-122"/>
        <family val="0"/>
        <sz val="9"/>
      </rPr>
      <t xml:space="preserve">    环境污染防治专用设备制造</t>
    </r>
  </si>
  <si>
    <r>
      <rPr>
        <rFont val="宋体"/>
        <charset val="-122"/>
        <family val="0"/>
        <sz val="9"/>
      </rPr>
      <t xml:space="preserve">  指环境污染防治、废旧物品加工，以及工业材料回收专用设备的制造。</t>
    </r>
  </si>
  <si>
    <r>
      <rPr>
        <rFont val="宋体"/>
        <charset val="-122"/>
        <family val="0"/>
        <sz val="9"/>
      </rPr>
      <t xml:space="preserve">    地质勘查专用设备制造</t>
    </r>
  </si>
  <si>
    <r>
      <rPr>
        <rFont val="宋体"/>
        <charset val="-122"/>
        <family val="0"/>
        <sz val="9"/>
      </rPr>
      <t xml:space="preserve">  指地质勘查（勘探）专用设备的制造，不包括通用钻采、挖掘机械的制造。</t>
    </r>
  </si>
  <si>
    <r>
      <rPr>
        <rFont val="宋体"/>
        <charset val="-122"/>
        <family val="0"/>
        <sz val="9"/>
      </rPr>
      <t xml:space="preserve">    邮政专用机械及器材制造</t>
    </r>
  </si>
  <si>
    <r>
      <rPr>
        <rFont val="宋体"/>
        <charset val="-122"/>
        <family val="0"/>
        <sz val="9"/>
      </rPr>
      <t xml:space="preserve">    商业、饮食、服务业专用设备制造</t>
    </r>
  </si>
  <si>
    <r>
      <rPr>
        <rFont val="宋体"/>
        <charset val="-122"/>
        <family val="0"/>
        <sz val="9"/>
      </rPr>
      <t xml:space="preserve">    社会公共安全设备及器材制造</t>
    </r>
  </si>
  <si>
    <r>
      <rPr>
        <rFont val="宋体"/>
        <charset val="-122"/>
        <family val="0"/>
        <sz val="9"/>
      </rPr>
      <t xml:space="preserve">  指公安、消防、安全等社会公共安全设备及器材的制造、加工和修理活动。</t>
    </r>
  </si>
  <si>
    <r>
      <rPr>
        <rFont val="宋体"/>
        <charset val="-122"/>
        <family val="0"/>
        <sz val="9"/>
      </rPr>
      <t xml:space="preserve">    交通安全及管制专用设备制造</t>
    </r>
  </si>
  <si>
    <r>
      <rPr>
        <rFont val="宋体"/>
        <charset val="-122"/>
        <family val="0"/>
        <sz val="9"/>
      </rPr>
      <t xml:space="preserve">  指除铁路以外的各种道路、内河航道、停车场、港口、机场等使用的讯号、安全或交通控制设备的制造。</t>
    </r>
  </si>
  <si>
    <r>
      <rPr>
        <rFont val="宋体"/>
        <charset val="-122"/>
        <family val="0"/>
        <sz val="9"/>
      </rPr>
      <t xml:space="preserve">    水资源专用机械制造</t>
    </r>
  </si>
  <si>
    <r>
      <rPr>
        <rFont val="宋体"/>
        <charset val="-122"/>
        <family val="0"/>
        <sz val="9"/>
      </rPr>
      <t xml:space="preserve">  指水利工程管理、节水工程及水的生产、供应专用设备的制造。</t>
    </r>
  </si>
  <si>
    <r>
      <rPr>
        <rFont val="宋体"/>
        <charset val="-122"/>
        <family val="0"/>
        <sz val="9"/>
      </rPr>
      <t xml:space="preserve">    其他专用设备制造</t>
    </r>
  </si>
  <si>
    <r>
      <rPr>
        <rFont val="宋体"/>
        <charset val="-122"/>
        <family val="0"/>
        <sz val="9"/>
      </rPr>
      <t xml:space="preserve">  指上述类别中未列明的其他专用设备的制造。</t>
    </r>
  </si>
  <si>
    <r>
      <rPr>
        <rFont val="宋体"/>
        <charset val="-122"/>
        <family val="0"/>
        <sz val="9"/>
      </rPr>
      <t xml:space="preserve">  铁路运输设备制造</t>
    </r>
  </si>
  <si>
    <r>
      <rPr>
        <rFont val="宋体"/>
        <charset val="-122"/>
        <family val="0"/>
        <sz val="9"/>
      </rPr>
      <t xml:space="preserve">    铁路机车车辆及动车组制造</t>
    </r>
  </si>
  <si>
    <r>
      <rPr>
        <rFont val="宋体"/>
        <charset val="-122"/>
        <family val="0"/>
        <sz val="9"/>
      </rPr>
      <t xml:space="preserve">  指以外来电源或以蓄电池驱动的，或以压燃式发动机及其他方式驱动的，能够牵引铁路车辆的动力机车、铁路动车组的制造，以及用于运送旅客和用以装运货物的客车、货车及其他铁路专用车辆的制造。</t>
    </r>
  </si>
  <si>
    <r>
      <rPr>
        <rFont val="宋体"/>
        <charset val="-122"/>
        <family val="0"/>
        <sz val="9"/>
      </rPr>
      <t xml:space="preserve">    工矿有轨专用车辆制造</t>
    </r>
  </si>
  <si>
    <r>
      <rPr>
        <rFont val="宋体"/>
        <charset val="-122"/>
        <family val="0"/>
        <sz val="9"/>
      </rPr>
      <t xml:space="preserve">  指专门在企业内部和矿山使用的非铁路干线的轨道式运输车辆的制造。</t>
    </r>
  </si>
  <si>
    <r>
      <rPr>
        <rFont val="宋体"/>
        <charset val="-122"/>
        <family val="0"/>
        <sz val="9"/>
      </rPr>
      <t xml:space="preserve">    铁路机车车辆配件制造</t>
    </r>
  </si>
  <si>
    <r>
      <rPr>
        <rFont val="宋体"/>
        <charset val="-122"/>
        <family val="0"/>
        <sz val="9"/>
      </rPr>
      <t xml:space="preserve">  指铁道或有轨机车及其拖拽车辆的专用零配件的制造。</t>
    </r>
  </si>
  <si>
    <r>
      <rPr>
        <rFont val="宋体"/>
        <charset val="-122"/>
        <family val="0"/>
        <sz val="9"/>
      </rPr>
      <t xml:space="preserve">    铁路专用设备及器材、配件制造</t>
    </r>
  </si>
  <si>
    <r>
      <rPr>
        <rFont val="宋体"/>
        <charset val="-122"/>
        <family val="0"/>
        <sz val="9"/>
      </rPr>
      <t xml:space="preserve">  指铁路信号、安全或交通控制设备，以及其他铁路专用设备及器材、配件的制造。</t>
    </r>
  </si>
  <si>
    <r>
      <rPr>
        <rFont val="宋体"/>
        <charset val="-122"/>
        <family val="0"/>
        <sz val="9"/>
      </rPr>
      <t xml:space="preserve">    其他铁路设备制造及设备修理</t>
    </r>
  </si>
  <si>
    <r>
      <rPr>
        <rFont val="宋体"/>
        <charset val="-122"/>
        <family val="0"/>
        <sz val="9"/>
      </rPr>
      <t xml:space="preserve">  指独立的铁路机车修理企业对铁路各种运输车辆设备和器材的修理活动，以及其他未列明的铁路运输设备的制造。</t>
    </r>
  </si>
  <si>
    <r>
      <rPr>
        <rFont val="宋体"/>
        <charset val="-122"/>
        <family val="0"/>
        <sz val="9"/>
      </rPr>
      <t xml:space="preserve">  汽车制造</t>
    </r>
  </si>
  <si>
    <r>
      <rPr>
        <rFont val="宋体"/>
        <charset val="-122"/>
        <family val="0"/>
        <sz val="9"/>
      </rPr>
      <t xml:space="preserve">    汽车整车制造</t>
    </r>
  </si>
  <si>
    <r>
      <rPr>
        <rFont val="宋体"/>
        <charset val="-122"/>
        <family val="0"/>
        <sz val="9"/>
      </rPr>
      <t xml:space="preserve">  指由动力装置驱动，具有四个以上车轮的非轨道、无架线的车辆，并主要用于载送人员和（或）货物，牵引输送人员和（或）货物的车辆制造。还包括汽车发动机的制造。</t>
    </r>
  </si>
  <si>
    <r>
      <rPr>
        <rFont val="宋体"/>
        <charset val="-122"/>
        <family val="0"/>
        <sz val="9"/>
      </rPr>
      <t xml:space="preserve">    改装汽车制造</t>
    </r>
  </si>
  <si>
    <r>
      <rPr>
        <rFont val="宋体"/>
        <charset val="-122"/>
        <family val="0"/>
        <sz val="9"/>
      </rPr>
      <t xml:space="preserve">  指利用外购汽车底盘改装各类汽车的制造活动。</t>
    </r>
  </si>
  <si>
    <r>
      <rPr>
        <rFont val="宋体"/>
        <charset val="-122"/>
        <family val="0"/>
        <sz val="9"/>
      </rPr>
      <t xml:space="preserve">    电车制造</t>
    </r>
  </si>
  <si>
    <r>
      <rPr>
        <rFont val="宋体"/>
        <charset val="-122"/>
        <family val="0"/>
        <sz val="9"/>
      </rPr>
      <t xml:space="preserve">  指以电作为动力，以屏板或可控硅方式控制的城市内交通工具和专用交通工具的制造。</t>
    </r>
  </si>
  <si>
    <r>
      <rPr>
        <rFont val="宋体"/>
        <charset val="-122"/>
        <family val="0"/>
        <sz val="9"/>
      </rPr>
      <t xml:space="preserve">    汽车车身、挂车的制造</t>
    </r>
  </si>
  <si>
    <r>
      <rPr>
        <rFont val="宋体"/>
        <charset val="-122"/>
        <family val="0"/>
        <sz val="9"/>
      </rPr>
      <t xml:space="preserve">  指其设计和技术特性需由汽车牵引，才能正常行驶的一种无动力的道路车辆的制造。</t>
    </r>
  </si>
  <si>
    <r>
      <rPr>
        <rFont val="宋体"/>
        <charset val="-122"/>
        <family val="0"/>
        <sz val="9"/>
      </rPr>
      <t xml:space="preserve">    汽车零部件及配件制造</t>
    </r>
  </si>
  <si>
    <r>
      <rPr>
        <rFont val="宋体"/>
        <charset val="-122"/>
        <family val="0"/>
        <sz val="9"/>
      </rPr>
      <t xml:space="preserve">  指机动车辆及其车身的各种零配件的制造。</t>
    </r>
  </si>
  <si>
    <r>
      <rPr>
        <rFont val="宋体"/>
        <charset val="-122"/>
        <family val="0"/>
        <sz val="9"/>
      </rPr>
      <t xml:space="preserve">    汽车修理</t>
    </r>
  </si>
  <si>
    <r>
      <rPr>
        <rFont val="宋体"/>
        <charset val="-122"/>
        <family val="0"/>
        <sz val="9"/>
      </rPr>
      <t xml:space="preserve">  指专业汽车修理企业进行的修理活动，但不包括非汽车修理厂（即规模较小的路边修理服务部）的修理和维护。</t>
    </r>
  </si>
  <si>
    <r>
      <rPr>
        <rFont val="宋体"/>
        <charset val="-122"/>
        <family val="0"/>
        <sz val="9"/>
      </rPr>
      <t xml:space="preserve">  摩托车制造</t>
    </r>
  </si>
  <si>
    <r>
      <rPr>
        <rFont val="宋体"/>
        <charset val="-122"/>
        <family val="0"/>
        <sz val="9"/>
      </rPr>
      <t xml:space="preserve">    摩托车整车制造</t>
    </r>
  </si>
  <si>
    <r>
      <rPr>
        <rFont val="宋体"/>
        <charset val="-122"/>
        <family val="0"/>
        <sz val="9"/>
      </rPr>
      <t xml:space="preserve">  指不论是否装有边斗的摩托车制造。</t>
    </r>
  </si>
  <si>
    <r>
      <rPr>
        <rFont val="宋体"/>
        <charset val="-122"/>
        <family val="0"/>
        <sz val="9"/>
      </rPr>
      <t xml:space="preserve">    摩托车零部件及配件制造</t>
    </r>
  </si>
  <si>
    <r>
      <rPr>
        <rFont val="宋体"/>
        <charset val="-122"/>
        <family val="0"/>
        <sz val="9"/>
      </rPr>
      <t xml:space="preserve">  自行车制造</t>
    </r>
  </si>
  <si>
    <r>
      <rPr>
        <rFont val="宋体"/>
        <charset val="-122"/>
        <family val="0"/>
        <sz val="9"/>
      </rPr>
      <t xml:space="preserve">    脚踏自行车及残疾人座车制造</t>
    </r>
  </si>
  <si>
    <r>
      <rPr>
        <rFont val="宋体"/>
        <charset val="-122"/>
        <family val="0"/>
        <sz val="9"/>
      </rPr>
      <t xml:space="preserve">  指未装马达，主要以脚蹬驱动，装有一个或多个轮子的脚踏车辆、残疾人座车及其零件的制造。</t>
    </r>
  </si>
  <si>
    <r>
      <rPr>
        <rFont val="宋体"/>
        <charset val="-122"/>
        <family val="0"/>
        <sz val="9"/>
      </rPr>
      <t xml:space="preserve">    助动自行车制造</t>
    </r>
  </si>
  <si>
    <r>
      <rPr>
        <rFont val="宋体"/>
        <charset val="-122"/>
        <family val="0"/>
        <sz val="9"/>
      </rPr>
      <t xml:space="preserve">  指主要以蓄电池作为辅助能源，具有两个车轮，能实现人力骑行、电动或电动助力功能的特种自行车及其零件的制造。</t>
    </r>
  </si>
  <si>
    <r>
      <rPr>
        <rFont val="宋体"/>
        <charset val="-122"/>
        <family val="0"/>
        <sz val="9"/>
      </rPr>
      <t xml:space="preserve">  船舶及浮动装置制造</t>
    </r>
  </si>
  <si>
    <r>
      <rPr>
        <rFont val="宋体"/>
        <charset val="-122"/>
        <family val="0"/>
        <sz val="9"/>
      </rPr>
      <t xml:space="preserve">    金属船舶制造</t>
    </r>
  </si>
  <si>
    <r>
      <rPr>
        <rFont val="宋体"/>
        <charset val="-122"/>
        <family val="0"/>
        <sz val="9"/>
      </rPr>
      <t xml:space="preserve">  指以钢质、铝质等各种金属为主要材料，为民用或军事部门建造的远洋、近海或内陆河湖的金属船舶的制造活动。</t>
    </r>
  </si>
  <si>
    <r>
      <rPr>
        <rFont val="宋体"/>
        <charset val="-122"/>
        <family val="0"/>
        <sz val="9"/>
      </rPr>
      <t xml:space="preserve">    非金属船舶制造</t>
    </r>
  </si>
  <si>
    <r>
      <rPr>
        <rFont val="宋体"/>
        <charset val="-122"/>
        <family val="0"/>
        <sz val="9"/>
      </rPr>
      <t xml:space="preserve">  指以各种木材、水泥、玻璃钢等非金属材料，为民用或军事部门建造船舶的活动。</t>
    </r>
  </si>
  <si>
    <r>
      <rPr>
        <rFont val="宋体"/>
        <charset val="-122"/>
        <family val="0"/>
        <sz val="9"/>
      </rPr>
      <t xml:space="preserve">    娱乐船和运动船的建造和修理</t>
    </r>
  </si>
  <si>
    <r>
      <rPr>
        <rFont val="宋体"/>
        <charset val="-122"/>
        <family val="0"/>
        <sz val="9"/>
      </rPr>
      <t xml:space="preserve">  指游艇和用于娱乐或运动的其他船只的建造与修理。</t>
    </r>
  </si>
  <si>
    <r>
      <rPr>
        <rFont val="宋体"/>
        <charset val="-122"/>
        <family val="0"/>
        <sz val="9"/>
      </rPr>
      <t xml:space="preserve">    船用配套设备制造</t>
    </r>
  </si>
  <si>
    <r>
      <rPr>
        <rFont val="宋体"/>
        <charset val="-122"/>
        <family val="0"/>
        <sz val="9"/>
      </rPr>
      <t xml:space="preserve">  指船用主机、辅机设备的制造。</t>
    </r>
  </si>
  <si>
    <r>
      <rPr>
        <rFont val="宋体"/>
        <charset val="-122"/>
        <family val="0"/>
        <sz val="9"/>
      </rPr>
      <t xml:space="preserve">    船舶修理及拆船</t>
    </r>
  </si>
  <si>
    <r>
      <rPr>
        <rFont val="宋体"/>
        <charset val="-122"/>
        <family val="0"/>
        <sz val="9"/>
      </rPr>
      <t xml:space="preserve">    航标器材及其他浮动装置的制造</t>
    </r>
  </si>
  <si>
    <r>
      <rPr>
        <rFont val="宋体"/>
        <charset val="-122"/>
        <family val="0"/>
        <sz val="9"/>
      </rPr>
      <t xml:space="preserve">  指用于航标的各种器材、浮式装置，以及不以航行为主的船只的制造。</t>
    </r>
  </si>
  <si>
    <r>
      <rPr>
        <rFont val="宋体"/>
        <charset val="-122"/>
        <family val="0"/>
        <sz val="9"/>
      </rPr>
      <t xml:space="preserve">  航空航天器制造</t>
    </r>
  </si>
  <si>
    <r>
      <rPr>
        <rFont val="宋体"/>
        <charset val="-122"/>
        <family val="0"/>
        <sz val="9"/>
      </rPr>
      <t xml:space="preserve">    飞机制造及修理</t>
    </r>
  </si>
  <si>
    <r>
      <rPr>
        <rFont val="宋体"/>
        <charset val="-122"/>
        <family val="0"/>
        <sz val="9"/>
      </rPr>
      <t xml:space="preserve">  指在大气同温层以内飞行的用于运货或载客，用于国防，以及用于体育运动或其他用途的各种飞机及其零件的制造和修理活动。</t>
    </r>
  </si>
  <si>
    <r>
      <rPr>
        <rFont val="宋体"/>
        <charset val="-122"/>
        <family val="0"/>
        <sz val="9"/>
      </rPr>
      <t xml:space="preserve">    航天器制造</t>
    </r>
  </si>
  <si>
    <r>
      <rPr>
        <rFont val="宋体"/>
        <charset val="-122"/>
        <family val="0"/>
        <sz val="9"/>
      </rPr>
      <t xml:space="preserve">    其他飞行器制造</t>
    </r>
  </si>
  <si>
    <r>
      <rPr>
        <rFont val="宋体"/>
        <charset val="-122"/>
        <family val="0"/>
        <sz val="9"/>
      </rPr>
      <t xml:space="preserve">  交通器材及其他交通运输设备制造</t>
    </r>
  </si>
  <si>
    <r>
      <rPr>
        <rFont val="宋体"/>
        <charset val="-122"/>
        <family val="0"/>
        <sz val="9"/>
      </rPr>
      <t xml:space="preserve">    潜水及水下救捞装备制造</t>
    </r>
  </si>
  <si>
    <r>
      <rPr>
        <rFont val="宋体"/>
        <charset val="-122"/>
        <family val="0"/>
        <sz val="9"/>
      </rPr>
      <t xml:space="preserve">  指潜水装置及水下作业、救捞装备的制造。</t>
    </r>
  </si>
  <si>
    <r>
      <rPr>
        <rFont val="宋体"/>
        <charset val="-122"/>
        <family val="0"/>
        <sz val="9"/>
      </rPr>
      <t xml:space="preserve">    交通管理用金属标志及设施制造</t>
    </r>
  </si>
  <si>
    <r>
      <rPr>
        <rFont val="宋体"/>
        <charset val="-122"/>
        <family val="0"/>
        <sz val="9"/>
      </rPr>
      <t xml:space="preserve">    其他交通运输设备制造</t>
    </r>
  </si>
  <si>
    <r>
      <rPr>
        <rFont val="宋体"/>
        <charset val="-122"/>
        <family val="0"/>
        <sz val="9"/>
      </rPr>
      <t xml:space="preserve">  指手推车辆、牲畜牵引车辆的制造，以及上述未列明的交通运输设备的制造和车辆修理活动。</t>
    </r>
  </si>
  <si>
    <r>
      <rPr>
        <rFont val="宋体"/>
        <charset val="-122"/>
        <family val="0"/>
        <sz val="9"/>
      </rPr>
      <t xml:space="preserve">  电机制造</t>
    </r>
  </si>
  <si>
    <r>
      <rPr>
        <rFont val="宋体"/>
        <charset val="-122"/>
        <family val="0"/>
        <sz val="9"/>
      </rPr>
      <t xml:space="preserve">    发电机及发电机组制造</t>
    </r>
  </si>
  <si>
    <r>
      <rPr>
        <rFont val="宋体"/>
        <charset val="-122"/>
        <family val="0"/>
        <sz val="9"/>
      </rPr>
      <t xml:space="preserve">  指发电机及其辅助装置、发电成套设备的制造。</t>
    </r>
  </si>
  <si>
    <r>
      <rPr>
        <rFont val="宋体"/>
        <charset val="-122"/>
        <family val="0"/>
        <sz val="9"/>
      </rPr>
      <t xml:space="preserve">    电动机制造</t>
    </r>
  </si>
  <si>
    <r>
      <rPr>
        <rFont val="宋体"/>
        <charset val="-122"/>
        <family val="0"/>
        <sz val="9"/>
      </rPr>
      <t xml:space="preserve">  指交流或直流电动机及零件的制造。</t>
    </r>
  </si>
  <si>
    <r>
      <rPr>
        <rFont val="宋体"/>
        <charset val="-122"/>
        <family val="0"/>
        <sz val="9"/>
      </rPr>
      <t xml:space="preserve">    微电机及其他电机制造</t>
    </r>
  </si>
  <si>
    <r>
      <rPr>
        <rFont val="宋体"/>
        <charset val="-122"/>
        <family val="0"/>
        <sz val="9"/>
      </rPr>
      <t xml:space="preserve">  指自动化系统中一种主要用于传递和交换信号等方面的元件，即控制微电机的制造，以及其他未列明的电机制造。</t>
    </r>
  </si>
  <si>
    <r>
      <rPr>
        <rFont val="宋体"/>
        <charset val="-122"/>
        <family val="0"/>
        <sz val="9"/>
      </rPr>
      <t xml:space="preserve">  输配电及控制设备制造</t>
    </r>
  </si>
  <si>
    <r>
      <rPr>
        <rFont val="宋体"/>
        <charset val="-122"/>
        <family val="0"/>
        <sz val="9"/>
      </rPr>
      <t xml:space="preserve">    变压器、整流器和电感器制造</t>
    </r>
  </si>
  <si>
    <r>
      <rPr>
        <rFont val="宋体"/>
        <charset val="-122"/>
        <family val="0"/>
        <sz val="9"/>
      </rPr>
      <t xml:space="preserve">  指变压器、静止式变流器等电力电子设备和互感器的制造。</t>
    </r>
  </si>
  <si>
    <r>
      <rPr>
        <rFont val="宋体"/>
        <charset val="-122"/>
        <family val="0"/>
        <sz val="9"/>
      </rPr>
      <t xml:space="preserve">    电容器及其配套设备制造</t>
    </r>
  </si>
  <si>
    <r>
      <rPr>
        <rFont val="宋体"/>
        <charset val="-122"/>
        <family val="0"/>
        <sz val="9"/>
      </rPr>
      <t xml:space="preserve">  指电力电容器、其他电容器及其配套装置和电容器零件的制造。</t>
    </r>
  </si>
  <si>
    <r>
      <rPr>
        <rFont val="宋体"/>
        <charset val="-122"/>
        <family val="0"/>
        <sz val="9"/>
      </rPr>
      <t xml:space="preserve">    配电开关控制设备制造</t>
    </r>
  </si>
  <si>
    <r>
      <rPr>
        <rFont val="宋体"/>
        <charset val="-122"/>
        <family val="0"/>
        <sz val="9"/>
      </rPr>
      <t xml:space="preserve">  指用于电压超过</t>
    </r>
    <r>
      <rPr>
        <rFont val="Times New Roman"/>
        <family val="1"/>
        <sz val="9"/>
      </rPr>
      <t>1000V</t>
    </r>
    <r>
      <rPr>
        <rFont val="宋体"/>
        <charset val="-122"/>
        <family val="0"/>
        <sz val="9"/>
      </rPr>
      <t>的，诸如一般在配电系统中使用的接通及断开或保护电路的电器，以及用于电压不超过</t>
    </r>
    <r>
      <rPr>
        <rFont val="Times New Roman"/>
        <family val="1"/>
        <sz val="9"/>
      </rPr>
      <t>1000V</t>
    </r>
    <r>
      <rPr>
        <rFont val="宋体"/>
        <charset val="-122"/>
        <family val="0"/>
        <sz val="9"/>
      </rPr>
      <t>的，如在住房、工业设备或家用电器中使用的配电开关控制设备及其零件的制造。</t>
    </r>
  </si>
  <si>
    <r>
      <rPr>
        <rFont val="宋体"/>
        <charset val="-122"/>
        <family val="0"/>
        <sz val="9"/>
      </rPr>
      <t xml:space="preserve">    电力电子元器件制造</t>
    </r>
  </si>
  <si>
    <r>
      <rPr>
        <rFont val="宋体"/>
        <charset val="-122"/>
        <family val="0"/>
        <sz val="9"/>
      </rPr>
      <t xml:space="preserve">  指用于电能变换和控制（从而实现运动控制）的电子产品的制造。</t>
    </r>
  </si>
  <si>
    <r>
      <rPr>
        <rFont val="宋体"/>
        <charset val="-122"/>
        <family val="0"/>
        <sz val="9"/>
      </rPr>
      <t xml:space="preserve">    其他输配电及控制设备制造</t>
    </r>
  </si>
  <si>
    <r>
      <rPr>
        <rFont val="宋体"/>
        <charset val="-122"/>
        <family val="0"/>
        <sz val="9"/>
      </rPr>
      <t xml:space="preserve">  指开关设备和控制设备内部的元器件之间，以及与外部电路之间的电连接所需用的器件和配件的制造。</t>
    </r>
  </si>
  <si>
    <r>
      <rPr>
        <rFont val="宋体"/>
        <charset val="-122"/>
        <family val="0"/>
        <sz val="9"/>
      </rPr>
      <t xml:space="preserve">  电线、电缆、光缆及电工器材制造</t>
    </r>
  </si>
  <si>
    <r>
      <rPr>
        <rFont val="宋体"/>
        <charset val="-122"/>
        <family val="0"/>
        <sz val="9"/>
      </rPr>
      <t xml:space="preserve">    电线电缆制造</t>
    </r>
  </si>
  <si>
    <r>
      <rPr>
        <rFont val="宋体"/>
        <charset val="-122"/>
        <family val="0"/>
        <sz val="9"/>
      </rPr>
      <t xml:space="preserve">  指在电力输配、电能传送，声音、文字、图像等信息传播，以及照明等各方面所使用的电线电缆的制造。</t>
    </r>
  </si>
  <si>
    <r>
      <rPr>
        <rFont val="宋体"/>
        <charset val="-122"/>
        <family val="0"/>
        <sz val="9"/>
      </rPr>
      <t xml:space="preserve">    光纤、光缆制造</t>
    </r>
  </si>
  <si>
    <r>
      <rPr>
        <rFont val="宋体"/>
        <charset val="-122"/>
        <family val="0"/>
        <sz val="9"/>
      </rPr>
      <t xml:space="preserve">  指将电的信号变成光的信号，进行声音、文字、图像等信息传输的光缆、光纤的制造。</t>
    </r>
  </si>
  <si>
    <r>
      <rPr>
        <rFont val="宋体"/>
        <charset val="-122"/>
        <family val="0"/>
        <sz val="9"/>
      </rPr>
      <t xml:space="preserve">    绝缘制品制造</t>
    </r>
  </si>
  <si>
    <r>
      <rPr>
        <rFont val="宋体"/>
        <charset val="-122"/>
        <family val="0"/>
        <sz val="9"/>
      </rPr>
      <t xml:space="preserve">  指电气绝缘子、电机或电气设备用的绝缘零件，以及带有绝缘材料的金属制电导管及接头的制造。但不包括玻璃、陶瓷绝缘体和绝缘漆制品的制造。</t>
    </r>
  </si>
  <si>
    <r>
      <rPr>
        <rFont val="宋体"/>
        <charset val="-122"/>
        <family val="0"/>
        <sz val="9"/>
      </rPr>
      <t xml:space="preserve">    其他电工器材制造</t>
    </r>
  </si>
  <si>
    <r>
      <rPr>
        <rFont val="宋体"/>
        <charset val="-122"/>
        <family val="0"/>
        <sz val="9"/>
      </rPr>
      <t xml:space="preserve">  电池制造</t>
    </r>
  </si>
  <si>
    <r>
      <rPr>
        <rFont val="宋体"/>
        <charset val="-122"/>
        <family val="0"/>
        <sz val="9"/>
      </rPr>
      <t xml:space="preserve">  指以正极活性材料、负极活性材料，配合电介质，以密封式结构制成的，并具有一定公称电压和额定容量的化学电源的制造。包括一次性、不可充电和二次可充电，重复使用的干电池、蓄电池，以及利用氢与氧的合成转换成电能的装置，即燃料电池和利用太阳光转换成电能的太阳能电池的制造。</t>
    </r>
  </si>
  <si>
    <r>
      <rPr>
        <rFont val="宋体"/>
        <charset val="-122"/>
        <family val="0"/>
        <sz val="9"/>
      </rPr>
      <t xml:space="preserve">  家用电力器具制造</t>
    </r>
  </si>
  <si>
    <r>
      <rPr>
        <rFont val="宋体"/>
        <charset val="-122"/>
        <family val="0"/>
        <sz val="9"/>
      </rPr>
      <t xml:space="preserve">  指使用交流电源或电池的各种家用电器的制造。</t>
    </r>
  </si>
  <si>
    <r>
      <rPr>
        <rFont val="宋体"/>
        <charset val="-122"/>
        <family val="0"/>
        <sz val="9"/>
      </rPr>
      <t xml:space="preserve">    家用制冷电器具制造</t>
    </r>
  </si>
  <si>
    <r>
      <rPr>
        <rFont val="宋体"/>
        <charset val="-122"/>
        <family val="0"/>
        <sz val="9"/>
      </rPr>
      <t xml:space="preserve">    家用空气调节器制造</t>
    </r>
  </si>
  <si>
    <r>
      <rPr>
        <rFont val="宋体"/>
        <charset val="-122"/>
        <family val="0"/>
        <sz val="9"/>
      </rPr>
      <t xml:space="preserve">  指使用交流电源</t>
    </r>
    <r>
      <rPr>
        <rFont val="Times New Roman"/>
        <family val="1"/>
        <sz val="9"/>
      </rPr>
      <t>(</t>
    </r>
    <r>
      <rPr>
        <rFont val="宋体"/>
        <charset val="-122"/>
        <family val="0"/>
        <sz val="9"/>
      </rPr>
      <t>制冷量</t>
    </r>
    <r>
      <rPr>
        <rFont val="Times New Roman"/>
        <family val="1"/>
        <sz val="9"/>
      </rPr>
      <t>14000W</t>
    </r>
    <r>
      <rPr>
        <rFont val="宋体"/>
        <charset val="-122"/>
        <family val="0"/>
        <sz val="9"/>
      </rPr>
      <t>及以下</t>
    </r>
    <r>
      <rPr>
        <rFont val="Times New Roman"/>
        <family val="1"/>
        <sz val="9"/>
      </rPr>
      <t>)</t>
    </r>
    <r>
      <rPr>
        <rFont val="宋体"/>
        <charset val="-122"/>
        <family val="0"/>
        <sz val="9"/>
      </rPr>
      <t>，调节室内温度、湿度、气流速度和空气洁净度的房间空气调节器的制造。</t>
    </r>
  </si>
  <si>
    <r>
      <rPr>
        <rFont val="宋体"/>
        <charset val="-122"/>
        <family val="0"/>
        <sz val="9"/>
      </rPr>
      <t xml:space="preserve">    家用通风电器具制造</t>
    </r>
  </si>
  <si>
    <r>
      <rPr>
        <rFont val="宋体"/>
        <charset val="-122"/>
        <family val="0"/>
        <sz val="9"/>
      </rPr>
      <t xml:space="preserve">  指由单相交流电动机驱动扇叶旋转，产生强制气流，以改善人体与周围空气间的热交换条件的电器制造。</t>
    </r>
  </si>
  <si>
    <r>
      <rPr>
        <rFont val="宋体"/>
        <charset val="-122"/>
        <family val="0"/>
        <sz val="9"/>
      </rPr>
      <t xml:space="preserve">    家用厨房电器具制造</t>
    </r>
  </si>
  <si>
    <r>
      <rPr>
        <rFont val="宋体"/>
        <charset val="-122"/>
        <family val="0"/>
        <sz val="9"/>
      </rPr>
      <t xml:space="preserve">  指家庭厨房用的电热蒸煮器具、电热烘烤器具、电热水和饮料加热器具、电热煎炒器具、家用电灶、家用食品加工电器具、家用厨房电清洁器具等电器具的制造。</t>
    </r>
  </si>
  <si>
    <r>
      <rPr>
        <rFont val="宋体"/>
        <charset val="-122"/>
        <family val="0"/>
        <sz val="9"/>
      </rPr>
      <t xml:space="preserve">    家用清洁卫生电器具制造</t>
    </r>
  </si>
  <si>
    <r>
      <rPr>
        <rFont val="宋体"/>
        <charset val="-122"/>
        <family val="0"/>
        <sz val="9"/>
      </rPr>
      <t xml:space="preserve">    家用美容、保健电器具制造</t>
    </r>
  </si>
  <si>
    <r>
      <rPr>
        <rFont val="宋体"/>
        <charset val="-122"/>
        <family val="0"/>
        <sz val="9"/>
      </rPr>
      <t xml:space="preserve">    家用电力器具专用配件制造</t>
    </r>
  </si>
  <si>
    <r>
      <rPr>
        <rFont val="宋体"/>
        <charset val="-122"/>
        <family val="0"/>
        <sz val="9"/>
      </rPr>
      <t xml:space="preserve">  指家用电力器具专用配件的制造，不包括通用零部件。</t>
    </r>
  </si>
  <si>
    <r>
      <rPr>
        <rFont val="宋体"/>
        <charset val="-122"/>
        <family val="0"/>
        <sz val="9"/>
      </rPr>
      <t xml:space="preserve">    其他家用电力器具制造</t>
    </r>
  </si>
  <si>
    <r>
      <rPr>
        <rFont val="宋体"/>
        <charset val="-122"/>
        <family val="0"/>
        <sz val="9"/>
      </rPr>
      <t xml:space="preserve">  非电力家用器具制造</t>
    </r>
  </si>
  <si>
    <r>
      <rPr>
        <rFont val="宋体"/>
        <charset val="-122"/>
        <family val="0"/>
        <sz val="9"/>
      </rPr>
      <t xml:space="preserve">    燃气、太阳能及类似能源的器具制造</t>
    </r>
  </si>
  <si>
    <r>
      <rPr>
        <rFont val="宋体"/>
        <charset val="-122"/>
        <family val="0"/>
        <sz val="9"/>
      </rPr>
      <t xml:space="preserve">  指以液化气、天然气、人工煤气、沼气或太阳能作燃料，以马口铁、搪瓷、不锈钢等为材料加工制成的家用器具的生产。</t>
    </r>
  </si>
  <si>
    <r>
      <rPr>
        <rFont val="宋体"/>
        <charset val="-122"/>
        <family val="0"/>
        <sz val="9"/>
      </rPr>
      <t xml:space="preserve">    其他非电力家用器具制造</t>
    </r>
  </si>
  <si>
    <r>
      <rPr>
        <rFont val="宋体"/>
        <charset val="-122"/>
        <family val="0"/>
        <sz val="9"/>
      </rPr>
      <t xml:space="preserve">  照明器具制造</t>
    </r>
  </si>
  <si>
    <r>
      <rPr>
        <rFont val="宋体"/>
        <charset val="-122"/>
        <family val="0"/>
        <sz val="9"/>
      </rPr>
      <t xml:space="preserve">    电光源制造</t>
    </r>
  </si>
  <si>
    <r>
      <rPr>
        <rFont val="宋体"/>
        <charset val="-122"/>
        <family val="0"/>
        <sz val="9"/>
      </rPr>
      <t xml:space="preserve">  电光源也称灯泡或电灯，本类是指将电能转变为光的器件的制造。目前按发光原理可分为白炽灯（指因电流通过使钨丝白炽而发光的灯）和气体放电灯（指电流通过灯两端的电极形成气体放电而产生光的灯）。</t>
    </r>
  </si>
  <si>
    <r>
      <rPr>
        <rFont val="宋体"/>
        <charset val="-122"/>
        <family val="0"/>
        <sz val="9"/>
      </rPr>
      <t xml:space="preserve">    照明灯具制造</t>
    </r>
  </si>
  <si>
    <r>
      <rPr>
        <rFont val="宋体"/>
        <charset val="-122"/>
        <family val="0"/>
        <sz val="9"/>
      </rPr>
      <t xml:space="preserve">  指由起支撑、固定反射和保护作用的部件及联结光源所必须的电路辅助装置组合而成，将一个或多个光源发出的光进行控制分配或反射装置的制造。</t>
    </r>
  </si>
  <si>
    <r>
      <rPr>
        <rFont val="宋体"/>
        <charset val="-122"/>
        <family val="0"/>
        <sz val="9"/>
      </rPr>
      <t xml:space="preserve">    灯用电器附件及其他照明器具制造</t>
    </r>
  </si>
  <si>
    <r>
      <rPr>
        <rFont val="宋体"/>
        <charset val="-122"/>
        <family val="0"/>
        <sz val="9"/>
      </rPr>
      <t xml:space="preserve">  指灯用电器附件，以及为各种灯泡配套用的灯座及其他照明器具的制造。</t>
    </r>
    <r>
      <rPr>
        <rFont val="Times New Roman"/>
        <family val="1"/>
        <sz val="9"/>
      </rPr>
      <t xml:space="preserve">  </t>
    </r>
  </si>
  <si>
    <r>
      <rPr>
        <rFont val="宋体"/>
        <charset val="-122"/>
        <family val="0"/>
        <sz val="9"/>
      </rPr>
      <t xml:space="preserve">  其他电气机械及器材制造</t>
    </r>
  </si>
  <si>
    <r>
      <rPr>
        <rFont val="宋体"/>
        <charset val="-122"/>
        <family val="0"/>
        <sz val="9"/>
      </rPr>
      <t xml:space="preserve">    车辆专用照明及电气信号设备装置制造</t>
    </r>
  </si>
  <si>
    <r>
      <rPr>
        <rFont val="宋体"/>
        <charset val="-122"/>
        <family val="0"/>
        <sz val="9"/>
      </rPr>
      <t xml:space="preserve">  指交通运输工具（如机动车、船舶、铁道车辆等）专用电力照明及信号装置，各种电气音响或视觉报警、警告、指示装置，以及其他电气声像信号装置的制造。</t>
    </r>
  </si>
  <si>
    <r>
      <rPr>
        <rFont val="宋体"/>
        <charset val="-122"/>
        <family val="0"/>
        <sz val="9"/>
      </rPr>
      <t xml:space="preserve">    其他未列明的电气机械制造</t>
    </r>
  </si>
  <si>
    <r>
      <rPr>
        <rFont val="宋体"/>
        <charset val="-122"/>
        <family val="0"/>
        <sz val="9"/>
      </rPr>
      <t xml:space="preserve">  指上述未列明的电气机械及器材的制造，以及电气机械的修理活动。</t>
    </r>
  </si>
  <si>
    <r>
      <rPr>
        <rFont val="宋体"/>
        <charset val="-122"/>
        <family val="0"/>
        <sz val="9"/>
      </rPr>
      <t xml:space="preserve">  通信设备制造</t>
    </r>
  </si>
  <si>
    <r>
      <rPr>
        <rFont val="宋体"/>
        <charset val="-122"/>
        <family val="0"/>
        <sz val="9"/>
      </rPr>
      <t xml:space="preserve">    通信传输设备制造</t>
    </r>
  </si>
  <si>
    <r>
      <rPr>
        <rFont val="宋体"/>
        <charset val="-122"/>
        <family val="0"/>
        <sz val="9"/>
      </rPr>
      <t xml:space="preserve">  指有线或无线通信传输设备的制造。</t>
    </r>
  </si>
  <si>
    <r>
      <rPr>
        <rFont val="宋体"/>
        <charset val="-122"/>
        <family val="0"/>
        <sz val="9"/>
      </rPr>
      <t xml:space="preserve">    通信交换设备制造</t>
    </r>
  </si>
  <si>
    <r>
      <rPr>
        <rFont val="宋体"/>
        <charset val="-122"/>
        <family val="0"/>
        <sz val="9"/>
      </rPr>
      <t xml:space="preserve">  指实现电路（信息）交换或接口功能设备的制造。</t>
    </r>
  </si>
  <si>
    <r>
      <rPr>
        <rFont val="宋体"/>
        <charset val="-122"/>
        <family val="0"/>
        <sz val="9"/>
      </rPr>
      <t xml:space="preserve">    通信终端设备制造</t>
    </r>
  </si>
  <si>
    <r>
      <rPr>
        <rFont val="宋体"/>
        <charset val="-122"/>
        <family val="0"/>
        <sz val="9"/>
      </rPr>
      <t xml:space="preserve">  指有线电话机、可视电话、传真设备等各种有线通信终端接收设备的制造，但不包括无线电话机的制造。</t>
    </r>
  </si>
  <si>
    <r>
      <rPr>
        <rFont val="宋体"/>
        <charset val="-122"/>
        <family val="0"/>
        <sz val="9"/>
      </rPr>
      <t xml:space="preserve">    移动通信及终端设备制造</t>
    </r>
  </si>
  <si>
    <r>
      <rPr>
        <rFont val="宋体"/>
        <charset val="-122"/>
        <family val="0"/>
        <sz val="9"/>
      </rPr>
      <t xml:space="preserve">  指移动通信设备及无线电话机（手机）等终端设备的制造。</t>
    </r>
  </si>
  <si>
    <r>
      <rPr>
        <rFont val="宋体"/>
        <charset val="-122"/>
        <family val="0"/>
        <sz val="9"/>
      </rPr>
      <t xml:space="preserve">    其他通信设备制造</t>
    </r>
  </si>
  <si>
    <r>
      <rPr>
        <rFont val="宋体"/>
        <charset val="-122"/>
        <family val="0"/>
        <sz val="9"/>
      </rPr>
      <t xml:space="preserve">  指其他通信设备的制造，以及对通信设备的修理。</t>
    </r>
  </si>
  <si>
    <r>
      <rPr>
        <rFont val="宋体"/>
        <charset val="-122"/>
        <family val="0"/>
        <sz val="9"/>
      </rPr>
      <t xml:space="preserve">  雷达及配套设备制造</t>
    </r>
  </si>
  <si>
    <r>
      <rPr>
        <rFont val="宋体"/>
        <charset val="-122"/>
        <family val="0"/>
        <sz val="9"/>
      </rPr>
      <t xml:space="preserve">  指雷达整机及雷达配套产品的制造。</t>
    </r>
  </si>
  <si>
    <r>
      <rPr>
        <rFont val="宋体"/>
        <charset val="-122"/>
        <family val="0"/>
        <sz val="9"/>
      </rPr>
      <t xml:space="preserve">  广播电视设备制造</t>
    </r>
  </si>
  <si>
    <r>
      <rPr>
        <rFont val="宋体"/>
        <charset val="-122"/>
        <family val="0"/>
        <sz val="9"/>
      </rPr>
      <t xml:space="preserve">    广播电视节目制作及发射设备制造</t>
    </r>
  </si>
  <si>
    <r>
      <rPr>
        <rFont val="宋体"/>
        <charset val="-122"/>
        <family val="0"/>
        <sz val="9"/>
      </rPr>
      <t xml:space="preserve">  指广播电视节目制作、发射设备及器材的制造。</t>
    </r>
  </si>
  <si>
    <r>
      <rPr>
        <rFont val="宋体"/>
        <charset val="-122"/>
        <family val="0"/>
        <sz val="9"/>
      </rPr>
      <t xml:space="preserve">    广播电视接收设备及器材制造</t>
    </r>
  </si>
  <si>
    <r>
      <rPr>
        <rFont val="宋体"/>
        <charset val="-122"/>
        <family val="0"/>
        <sz val="9"/>
      </rPr>
      <t xml:space="preserve">  指专业广播电视接收设备、专业用录音录像重放、音响设备及其他配套的广播电视设备的制造，但不包括家用广播电视接收设备及装置。</t>
    </r>
  </si>
  <si>
    <r>
      <rPr>
        <rFont val="宋体"/>
        <charset val="-122"/>
        <family val="0"/>
        <sz val="9"/>
      </rPr>
      <t xml:space="preserve">    应用电视设备及其他广播电视设备制造</t>
    </r>
  </si>
  <si>
    <r>
      <rPr>
        <rFont val="宋体"/>
        <charset val="-122"/>
        <family val="0"/>
        <sz val="9"/>
      </rPr>
      <t xml:space="preserve">  指应用电视设备、其他电视设备和器材的制造，以及对广播电视专用设备的修理活动。</t>
    </r>
  </si>
  <si>
    <r>
      <rPr>
        <rFont val="宋体"/>
        <charset val="-122"/>
        <family val="0"/>
        <sz val="9"/>
      </rPr>
      <t xml:space="preserve">  电子计算机制造</t>
    </r>
  </si>
  <si>
    <r>
      <rPr>
        <rFont val="宋体"/>
        <charset val="-122"/>
        <family val="0"/>
        <sz val="9"/>
      </rPr>
      <t xml:space="preserve">    电子计算机整机制造</t>
    </r>
  </si>
  <si>
    <r>
      <rPr>
        <rFont val="宋体"/>
        <charset val="-122"/>
        <family val="0"/>
        <sz val="9"/>
      </rPr>
      <t xml:space="preserve">  指可进行算术运算或逻辑运算，包括中央处理机，并配有输入、输出装置和存储功能及其他外围设备的成套数字系统装置的制造，还包括来件组装电子计算机的加工活动。</t>
    </r>
  </si>
  <si>
    <r>
      <rPr>
        <rFont val="宋体"/>
        <charset val="-122"/>
        <family val="0"/>
        <sz val="9"/>
      </rPr>
      <t xml:space="preserve">    计算机网络设备制造</t>
    </r>
  </si>
  <si>
    <r>
      <rPr>
        <rFont val="宋体"/>
        <charset val="-122"/>
        <family val="0"/>
        <sz val="9"/>
      </rPr>
      <t xml:space="preserve">  指建立某一计算机系统网络所需各种相关设备或装置的制造。</t>
    </r>
  </si>
  <si>
    <r>
      <rPr>
        <rFont val="宋体"/>
        <charset val="-122"/>
        <family val="0"/>
        <sz val="9"/>
      </rPr>
      <t xml:space="preserve">    电子计算机外部设备制造</t>
    </r>
  </si>
  <si>
    <r>
      <rPr>
        <rFont val="宋体"/>
        <charset val="-122"/>
        <family val="0"/>
        <sz val="9"/>
      </rPr>
      <t xml:space="preserve">  指电子计算机外部设备及附件的制造。</t>
    </r>
  </si>
  <si>
    <r>
      <rPr>
        <rFont val="宋体"/>
        <charset val="-122"/>
        <family val="0"/>
        <sz val="9"/>
      </rPr>
      <t xml:space="preserve">  电子器件制造</t>
    </r>
  </si>
  <si>
    <r>
      <rPr>
        <rFont val="宋体"/>
        <charset val="-122"/>
        <family val="0"/>
        <sz val="9"/>
      </rPr>
      <t xml:space="preserve">    电子真空器件制造</t>
    </r>
  </si>
  <si>
    <r>
      <rPr>
        <rFont val="宋体"/>
        <charset val="-122"/>
        <family val="0"/>
        <sz val="9"/>
      </rPr>
      <t xml:space="preserve">  指电子热离子管、冷阴极管或光电阴极管及其他真空电子器件，以及电子管零件的制造。</t>
    </r>
  </si>
  <si>
    <r>
      <rPr>
        <rFont val="宋体"/>
        <charset val="-122"/>
        <family val="0"/>
        <sz val="9"/>
      </rPr>
      <t xml:space="preserve">    半导体分立器件制造</t>
    </r>
  </si>
  <si>
    <r>
      <rPr>
        <rFont val="宋体"/>
        <charset val="-122"/>
        <family val="0"/>
        <sz val="9"/>
      </rPr>
      <t xml:space="preserve">    集成电路制造</t>
    </r>
  </si>
  <si>
    <r>
      <rPr>
        <rFont val="宋体"/>
        <charset val="-122"/>
        <family val="0"/>
        <sz val="9"/>
      </rPr>
      <t xml:space="preserve">  指单片集成电路、混合式集成电路和组装好的电子模压组件、微型组件或类似组件的制造。</t>
    </r>
  </si>
  <si>
    <r>
      <rPr>
        <rFont val="宋体"/>
        <charset val="-122"/>
        <family val="0"/>
        <sz val="9"/>
      </rPr>
      <t xml:space="preserve">    光电子器件及其他电子器件制造</t>
    </r>
  </si>
  <si>
    <r>
      <rPr>
        <rFont val="宋体"/>
        <charset val="-122"/>
        <family val="0"/>
        <sz val="9"/>
      </rPr>
      <t xml:space="preserve">  指光电子器件、显示器件和组件，以及其他未列明的电子器件的制造。</t>
    </r>
  </si>
  <si>
    <r>
      <rPr>
        <rFont val="宋体"/>
        <charset val="-122"/>
        <family val="0"/>
        <sz val="9"/>
      </rPr>
      <t xml:space="preserve">  电子元件制造</t>
    </r>
  </si>
  <si>
    <r>
      <rPr>
        <rFont val="宋体"/>
        <charset val="-122"/>
        <family val="0"/>
        <sz val="9"/>
      </rPr>
      <t xml:space="preserve">    电子元件及组件制造</t>
    </r>
  </si>
  <si>
    <r>
      <rPr>
        <rFont val="宋体"/>
        <charset val="-122"/>
        <family val="0"/>
        <sz val="9"/>
      </rPr>
      <t xml:space="preserve">    印制电路板制造</t>
    </r>
  </si>
  <si>
    <r>
      <rPr>
        <rFont val="宋体"/>
        <charset val="-122"/>
        <family val="0"/>
        <sz val="9"/>
      </rPr>
      <t xml:space="preserve">  指在绝缘板上通过常规或非常规的印刷工艺，使导电元件、触点或电感器件、电阻器和电容器等其他印刷元件组成的电路及专用元件的制造。</t>
    </r>
  </si>
  <si>
    <r>
      <rPr>
        <rFont val="宋体"/>
        <charset val="-122"/>
        <family val="0"/>
        <sz val="9"/>
      </rPr>
      <t xml:space="preserve">  家用视听设备制造</t>
    </r>
  </si>
  <si>
    <r>
      <rPr>
        <rFont val="宋体"/>
        <charset val="-122"/>
        <family val="0"/>
        <sz val="9"/>
      </rPr>
      <t xml:space="preserve">    家用影视设备制造</t>
    </r>
  </si>
  <si>
    <r>
      <rPr>
        <rFont val="宋体"/>
        <charset val="-122"/>
        <family val="0"/>
        <sz val="9"/>
      </rPr>
      <t xml:space="preserve">  指家用电视机、录像机、摄像机、激光视盘机等影视设备整机及零部件的制造。</t>
    </r>
  </si>
  <si>
    <r>
      <rPr>
        <rFont val="宋体"/>
        <charset val="-122"/>
        <family val="0"/>
        <sz val="9"/>
      </rPr>
      <t xml:space="preserve">    家用音响设备制造</t>
    </r>
  </si>
  <si>
    <r>
      <rPr>
        <rFont val="宋体"/>
        <charset val="-122"/>
        <family val="0"/>
        <sz val="9"/>
      </rPr>
      <t xml:space="preserve">  指家用无线电收音机、收录音机、唱机等家用音响设备的制造。</t>
    </r>
  </si>
  <si>
    <r>
      <rPr>
        <rFont val="宋体"/>
        <charset val="-122"/>
        <family val="0"/>
        <sz val="9"/>
      </rPr>
      <t xml:space="preserve">  其他电子设备制造</t>
    </r>
  </si>
  <si>
    <r>
      <rPr>
        <rFont val="宋体"/>
        <charset val="-122"/>
        <family val="0"/>
        <sz val="9"/>
      </rPr>
      <t xml:space="preserve">  指电子（气）物理设备及其他未列明的电子设备的制造。</t>
    </r>
  </si>
  <si>
    <r>
      <rPr>
        <rFont val="宋体"/>
        <charset val="-122"/>
        <family val="0"/>
        <sz val="9"/>
      </rPr>
      <t xml:space="preserve">  通用仪器仪表制造</t>
    </r>
  </si>
  <si>
    <r>
      <rPr>
        <rFont val="宋体"/>
        <charset val="-122"/>
        <family val="0"/>
        <sz val="9"/>
      </rPr>
      <t xml:space="preserve">    工业自动控制系统装置制造</t>
    </r>
  </si>
  <si>
    <r>
      <rPr>
        <rFont val="宋体"/>
        <charset val="-122"/>
        <family val="0"/>
        <sz val="9"/>
      </rPr>
      <t xml:space="preserve">  指用于工业产品制造或加工过程中，连续自动测量，控制材料或产品的温度、压力、粘度等变量的工业控制用计算机系统、仪表和装置的制造。</t>
    </r>
  </si>
  <si>
    <r>
      <rPr>
        <rFont val="宋体"/>
        <charset val="-122"/>
        <family val="0"/>
        <sz val="9"/>
      </rPr>
      <t xml:space="preserve">    电工仪器仪表制造</t>
    </r>
  </si>
  <si>
    <r>
      <rPr>
        <rFont val="宋体"/>
        <charset val="-122"/>
        <family val="0"/>
        <sz val="9"/>
      </rPr>
      <t xml:space="preserve">  指测量或检验电压、电流、电阻或功率的通用仪器装置的制造，但不包括发电或供电过程中计量仪表的制造。</t>
    </r>
  </si>
  <si>
    <r>
      <rPr>
        <rFont val="宋体"/>
        <charset val="-122"/>
        <family val="0"/>
        <sz val="9"/>
      </rPr>
      <t xml:space="preserve">    绘图、计算及测量仪器制造</t>
    </r>
  </si>
  <si>
    <r>
      <rPr>
        <rFont val="宋体"/>
        <charset val="-122"/>
        <family val="0"/>
        <sz val="9"/>
      </rPr>
      <t xml:space="preserve">  指供设计、制图、</t>
    </r>
    <r>
      <rPr>
        <rFont val="宋体"/>
        <charset val="-122"/>
        <family val="0"/>
        <sz val="9"/>
      </rPr>
      <t xml:space="preserve"> 绘图、计算、测量，以及学习或办公、教学等使用的测量和绘图用具、器具、精密天平及量仪的制造。</t>
    </r>
  </si>
  <si>
    <r>
      <rPr>
        <rFont val="宋体"/>
        <charset val="-122"/>
        <family val="0"/>
        <sz val="9"/>
      </rPr>
      <t xml:space="preserve">    实验分析仪器制造</t>
    </r>
  </si>
  <si>
    <r>
      <rPr>
        <rFont val="宋体"/>
        <charset val="-122"/>
        <family val="0"/>
        <sz val="9"/>
      </rPr>
      <t xml:space="preserve">  指实验、检验、分析、测量液体或气体的流量、比重、压力、温度、湿度、粘度的仪器制造。</t>
    </r>
  </si>
  <si>
    <r>
      <rPr>
        <rFont val="宋体"/>
        <charset val="-122"/>
        <family val="0"/>
        <sz val="9"/>
      </rPr>
      <t xml:space="preserve">    试验机制造</t>
    </r>
  </si>
  <si>
    <r>
      <rPr>
        <rFont val="宋体"/>
        <charset val="-122"/>
        <family val="0"/>
        <sz val="9"/>
      </rPr>
      <t xml:space="preserve">  指材料机械性能的试验机器和器械的制造。</t>
    </r>
  </si>
  <si>
    <r>
      <rPr>
        <rFont val="宋体"/>
        <charset val="-122"/>
        <family val="0"/>
        <sz val="9"/>
      </rPr>
      <t xml:space="preserve">    供应用仪表及其他通用仪器制造</t>
    </r>
  </si>
  <si>
    <r>
      <rPr>
        <rFont val="宋体"/>
        <charset val="-122"/>
        <family val="0"/>
        <sz val="9"/>
      </rPr>
      <t xml:space="preserve">  指电、气、水、油和热等类似气体或液体的供应过程中使用的计量仪表、自动调节或控制仪器及装置，</t>
    </r>
    <r>
      <rPr>
        <rFont val="宋体"/>
        <charset val="-122"/>
        <family val="0"/>
        <sz val="9"/>
      </rPr>
      <t xml:space="preserve"> 以及其他未列明的通用仪器仪表和仪表元器件的制造。</t>
    </r>
  </si>
  <si>
    <r>
      <rPr>
        <rFont val="宋体"/>
        <charset val="-122"/>
        <family val="0"/>
        <sz val="9"/>
      </rPr>
      <t xml:space="preserve">  专用仪器仪表制造</t>
    </r>
  </si>
  <si>
    <r>
      <rPr>
        <rFont val="宋体"/>
        <charset val="-122"/>
        <family val="0"/>
        <sz val="9"/>
      </rPr>
      <t xml:space="preserve">    环境监测专用仪器仪表制造</t>
    </r>
  </si>
  <si>
    <r>
      <rPr>
        <rFont val="宋体"/>
        <charset val="-122"/>
        <family val="0"/>
        <sz val="9"/>
      </rPr>
      <t xml:space="preserve">  指对水和空气中的污染物，以及噪声、放射性物质、电磁波等进行监测的专用仪器仪表的制造。</t>
    </r>
  </si>
  <si>
    <r>
      <rPr>
        <rFont val="宋体"/>
        <charset val="-122"/>
        <family val="0"/>
        <sz val="9"/>
      </rPr>
      <t xml:space="preserve">    汽车及其他用计数仪表制造</t>
    </r>
  </si>
  <si>
    <r>
      <rPr>
        <rFont val="宋体"/>
        <charset val="-122"/>
        <family val="0"/>
        <sz val="9"/>
      </rPr>
      <t xml:space="preserve">  指汽车、船舶及工业生产用转数计、生产计数器、里程记录器及类似仪表的制造。</t>
    </r>
  </si>
  <si>
    <r>
      <rPr>
        <rFont val="宋体"/>
        <charset val="-122"/>
        <family val="0"/>
        <sz val="9"/>
      </rPr>
      <t xml:space="preserve">    导航、气象及海洋专用仪器制造</t>
    </r>
  </si>
  <si>
    <r>
      <rPr>
        <rFont val="宋体"/>
        <charset val="-122"/>
        <family val="0"/>
        <sz val="9"/>
      </rPr>
      <t xml:space="preserve">  指用于气象、海洋、水文、天文、航海、航空等方面的导航、制导、测量仪器和仪表及类似装置的制造。</t>
    </r>
    <r>
      <rPr>
        <rFont val="Times New Roman"/>
        <family val="1"/>
        <sz val="9"/>
      </rPr>
      <t xml:space="preserve">   </t>
    </r>
  </si>
  <si>
    <r>
      <rPr>
        <rFont val="宋体"/>
        <charset val="-122"/>
        <family val="0"/>
        <sz val="9"/>
      </rPr>
      <t xml:space="preserve">    农林牧渔专用仪器仪表制造</t>
    </r>
  </si>
  <si>
    <r>
      <rPr>
        <rFont val="宋体"/>
        <charset val="-122"/>
        <family val="0"/>
        <sz val="9"/>
      </rPr>
      <t xml:space="preserve">  指农、林、牧、渔生产专用仪器、仪表及类似装置的制造。</t>
    </r>
    <r>
      <rPr>
        <rFont val="Times New Roman"/>
        <family val="1"/>
        <sz val="9"/>
      </rPr>
      <t xml:space="preserve">   </t>
    </r>
  </si>
  <si>
    <r>
      <rPr>
        <rFont val="宋体"/>
        <charset val="-122"/>
        <family val="0"/>
        <sz val="9"/>
      </rPr>
      <t xml:space="preserve">    地质勘探和地震专用仪器制造</t>
    </r>
  </si>
  <si>
    <r>
      <rPr>
        <rFont val="宋体"/>
        <charset val="-122"/>
        <family val="0"/>
        <sz val="9"/>
      </rPr>
      <t xml:space="preserve">  指地质勘探、钻采、地震等地球物理专用仪器、仪表及类似装置的制造。</t>
    </r>
  </si>
  <si>
    <r>
      <rPr>
        <rFont val="宋体"/>
        <charset val="-122"/>
        <family val="0"/>
        <sz val="9"/>
      </rPr>
      <t xml:space="preserve">    教学专用仪器制造</t>
    </r>
  </si>
  <si>
    <r>
      <rPr>
        <rFont val="宋体"/>
        <charset val="-122"/>
        <family val="0"/>
        <sz val="9"/>
      </rPr>
      <t xml:space="preserve">  指专供教学示范或展览，而无其他用途的专用仪器的制造。</t>
    </r>
  </si>
  <si>
    <r>
      <rPr>
        <rFont val="宋体"/>
        <charset val="-122"/>
        <family val="0"/>
        <sz val="9"/>
      </rPr>
      <t xml:space="preserve">    核子及核辐射测量仪器制造</t>
    </r>
  </si>
  <si>
    <r>
      <rPr>
        <rFont val="宋体"/>
        <charset val="-122"/>
        <family val="0"/>
        <sz val="9"/>
      </rPr>
      <t xml:space="preserve">  指专门用于核离子射线的测量或检验的仪器、装置、核辐射探测器等核专业用仪器仪表的制造。</t>
    </r>
  </si>
  <si>
    <r>
      <rPr>
        <rFont val="宋体"/>
        <charset val="-122"/>
        <family val="0"/>
        <sz val="9"/>
      </rPr>
      <t xml:space="preserve">    电子测量仪器制造</t>
    </r>
    <r>
      <rPr>
        <rFont val="Times New Roman"/>
        <family val="1"/>
        <sz val="9"/>
      </rPr>
      <t xml:space="preserve"> </t>
    </r>
  </si>
  <si>
    <r>
      <rPr>
        <rFont val="宋体"/>
        <charset val="-122"/>
        <family val="0"/>
        <sz val="9"/>
      </rPr>
      <t xml:space="preserve">  指用电子技术实现对被测对象（电子产品）的电参数定量检测装置的制造。</t>
    </r>
  </si>
  <si>
    <r>
      <rPr>
        <rFont val="宋体"/>
        <charset val="-122"/>
        <family val="0"/>
        <sz val="9"/>
      </rPr>
      <t xml:space="preserve">    其他专用仪器制造</t>
    </r>
  </si>
  <si>
    <r>
      <rPr>
        <rFont val="宋体"/>
        <charset val="-122"/>
        <family val="0"/>
        <sz val="9"/>
      </rPr>
      <t xml:space="preserve">  指用于纺织、电站热工仪表等其他未列明的专用仪器的制造，以及对专用仪器、仪表的修理活动。</t>
    </r>
  </si>
  <si>
    <r>
      <rPr>
        <rFont val="宋体"/>
        <charset val="-122"/>
        <family val="0"/>
        <sz val="9"/>
      </rPr>
      <t xml:space="preserve">  钟表与计时仪器制造</t>
    </r>
  </si>
  <si>
    <r>
      <rPr>
        <rFont val="宋体"/>
        <charset val="-122"/>
        <family val="0"/>
        <sz val="9"/>
      </rPr>
      <t xml:space="preserve">  指各种钟、表、钟表机芯、时间记录装置、计时器的制造，还包括装有钟表机芯或同步马达用以测量、记录或指示时间间隔的装置、定时开关，以及钟表零配件的制造。</t>
    </r>
  </si>
  <si>
    <r>
      <rPr>
        <rFont val="宋体"/>
        <charset val="-122"/>
        <family val="0"/>
        <sz val="9"/>
      </rPr>
      <t xml:space="preserve">  光学仪器及眼镜制造</t>
    </r>
  </si>
  <si>
    <r>
      <rPr>
        <rFont val="宋体"/>
        <charset val="-122"/>
        <family val="0"/>
        <sz val="9"/>
      </rPr>
      <t xml:space="preserve">    光学仪器制造</t>
    </r>
  </si>
  <si>
    <r>
      <rPr>
        <rFont val="宋体"/>
        <charset val="-122"/>
        <family val="0"/>
        <sz val="9"/>
      </rPr>
      <t xml:space="preserve">  指用玻璃或其他材料（如石英、萤石、塑料或金属）制作的光学配件、装配好的光学元件、组合式光学显微镜，以及军用望远镜等光学仪器的制造。</t>
    </r>
  </si>
  <si>
    <r>
      <rPr>
        <rFont val="宋体"/>
        <charset val="-122"/>
        <family val="0"/>
        <sz val="9"/>
      </rPr>
      <t xml:space="preserve">    眼镜制造</t>
    </r>
  </si>
  <si>
    <r>
      <rPr>
        <rFont val="宋体"/>
        <charset val="-122"/>
        <family val="0"/>
        <sz val="9"/>
      </rPr>
      <t xml:space="preserve">  指眼镜成镜、眼镜框架和零配件、眼镜镜片、角膜接触镜（隐形眼镜）及护理产品的制造。</t>
    </r>
  </si>
  <si>
    <r>
      <rPr>
        <rFont val="宋体"/>
        <charset val="-122"/>
        <family val="0"/>
        <sz val="9"/>
      </rPr>
      <t xml:space="preserve">  文化、办公用机械制造</t>
    </r>
  </si>
  <si>
    <r>
      <rPr>
        <rFont val="宋体"/>
        <charset val="-122"/>
        <family val="0"/>
        <sz val="9"/>
      </rPr>
      <t xml:space="preserve">    电影机械制造</t>
    </r>
  </si>
  <si>
    <r>
      <rPr>
        <rFont val="宋体"/>
        <charset val="-122"/>
        <family val="0"/>
        <sz val="9"/>
      </rPr>
      <t xml:space="preserve">  指各种类型或用途的电影摄影机、电影录音摄影机、影像放映机及电影辅助器材和配件的制造。</t>
    </r>
  </si>
  <si>
    <r>
      <rPr>
        <rFont val="宋体"/>
        <charset val="-122"/>
        <family val="0"/>
        <sz val="9"/>
      </rPr>
      <t xml:space="preserve">    幻灯及投影设备制造</t>
    </r>
  </si>
  <si>
    <r>
      <rPr>
        <rFont val="宋体"/>
        <charset val="-122"/>
        <family val="0"/>
        <sz val="9"/>
      </rPr>
      <t xml:space="preserve">  指将电路图形投射在有感光性的半导体材料上的幻灯、投影设备、器材装置及零件的制造。</t>
    </r>
  </si>
  <si>
    <r>
      <rPr>
        <rFont val="宋体"/>
        <charset val="-122"/>
        <family val="0"/>
        <sz val="9"/>
      </rPr>
      <t xml:space="preserve">    照相机及器材制造</t>
    </r>
  </si>
  <si>
    <r>
      <rPr>
        <rFont val="宋体"/>
        <charset val="-122"/>
        <family val="0"/>
        <sz val="9"/>
      </rPr>
      <t xml:space="preserve">  指各种类型或用途的照相机，包括用以制备印刷板，用于水下或空中照相的照相机，以及照相机用闪光装置、摄影暗室装置和零件的制造。</t>
    </r>
  </si>
  <si>
    <r>
      <rPr>
        <rFont val="宋体"/>
        <charset val="-122"/>
        <family val="0"/>
        <sz val="9"/>
      </rPr>
      <t xml:space="preserve">    复印和胶印设备制造</t>
    </r>
  </si>
  <si>
    <r>
      <rPr>
        <rFont val="宋体"/>
        <charset val="-122"/>
        <family val="0"/>
        <sz val="9"/>
      </rPr>
      <t xml:space="preserve">  指各种用途的复印设备，主要用于办公室的胶印设备、文字处理设备及零件的制造。</t>
    </r>
  </si>
  <si>
    <r>
      <rPr>
        <rFont val="宋体"/>
        <charset val="-122"/>
        <family val="0"/>
        <sz val="9"/>
      </rPr>
      <t xml:space="preserve">    计算器及货币专用设备制造</t>
    </r>
  </si>
  <si>
    <r>
      <rPr>
        <rFont val="宋体"/>
        <charset val="-122"/>
        <family val="0"/>
        <sz val="9"/>
      </rPr>
      <t xml:space="preserve">  指金融、商业、交通及办公等使用的电子计算器、具有计算功能的数据记录、重现和显示机器，以及货币专用设备及类似机械的制造。</t>
    </r>
  </si>
  <si>
    <r>
      <rPr>
        <rFont val="宋体"/>
        <charset val="-122"/>
        <family val="0"/>
        <sz val="9"/>
      </rPr>
      <t xml:space="preserve">    其他文化、办公用机械制造</t>
    </r>
  </si>
  <si>
    <r>
      <rPr>
        <rFont val="宋体"/>
        <charset val="-122"/>
        <family val="0"/>
        <sz val="9"/>
      </rPr>
      <t xml:space="preserve">  其他仪器仪表的制造及修理</t>
    </r>
  </si>
  <si>
    <r>
      <rPr>
        <rFont val="宋体"/>
        <charset val="-122"/>
        <family val="0"/>
        <sz val="9"/>
      </rPr>
      <t xml:space="preserve">  指上述未列明的仪器、仪表的制造与修理活动。</t>
    </r>
  </si>
  <si>
    <r>
      <rPr>
        <rFont val="宋体"/>
        <charset val="-122"/>
        <family val="0"/>
        <sz val="9"/>
      </rPr>
      <t xml:space="preserve">  工艺美术品制造</t>
    </r>
  </si>
  <si>
    <r>
      <rPr>
        <rFont val="宋体"/>
        <charset val="-122"/>
        <family val="0"/>
        <sz val="9"/>
      </rPr>
      <t xml:space="preserve">    雕塑工艺品制造</t>
    </r>
  </si>
  <si>
    <r>
      <rPr>
        <rFont val="宋体"/>
        <charset val="-122"/>
        <family val="0"/>
        <sz val="9"/>
      </rPr>
      <t xml:space="preserve">  指以玉石、宝石、象牙、角、骨、贝壳等硬质材料，木、竹、椰壳、树根、软木等天然植物，以及石膏、泥、面、塑料等为原料，经雕刻、琢、磨、捏或塑等艺术加工而制成的各种供欣赏和实用的工艺品的生产活动。</t>
    </r>
  </si>
  <si>
    <r>
      <rPr>
        <rFont val="宋体"/>
        <charset val="-122"/>
        <family val="0"/>
        <sz val="9"/>
      </rPr>
      <t xml:space="preserve">    金属工艺品制造</t>
    </r>
  </si>
  <si>
    <r>
      <rPr>
        <rFont val="宋体"/>
        <charset val="-122"/>
        <family val="0"/>
        <sz val="9"/>
      </rPr>
      <t xml:space="preserve">  指以金、银、铜、铁、锡等各种金属为原料，经过制胎、浇铸、锻打、錾刻、搓丝、焊接、纺织、镶嵌、点兰、烧制、打磨、电镀等各种工艺加工制成的造型美观、花纹图案精致的工艺美术品的制作活动。</t>
    </r>
  </si>
  <si>
    <r>
      <rPr>
        <rFont val="宋体"/>
        <charset val="-122"/>
        <family val="0"/>
        <sz val="9"/>
      </rPr>
      <t xml:space="preserve">    漆器工艺品制造</t>
    </r>
  </si>
  <si>
    <r>
      <rPr>
        <rFont val="宋体"/>
        <charset val="-122"/>
        <family val="0"/>
        <sz val="9"/>
      </rPr>
      <t xml:space="preserve">  指将半生漆、腰果漆加工调配成各种鲜艳的漆料，以木、纸、塑料、铜、布等作胎，采用推光、雕填、彩画、嵌镶、刻灰等传统工艺和现代漆器工艺进行的工艺制品的制作活动。</t>
    </r>
  </si>
  <si>
    <r>
      <rPr>
        <rFont val="宋体"/>
        <charset val="-122"/>
        <family val="0"/>
        <sz val="9"/>
      </rPr>
      <t xml:space="preserve">    花画工艺品制造</t>
    </r>
  </si>
  <si>
    <r>
      <rPr>
        <rFont val="宋体"/>
        <charset val="-122"/>
        <family val="0"/>
        <sz val="9"/>
      </rPr>
      <t xml:space="preserve">  指以绢、丝、绒、纸、涤纶、塑料、羽毛、通草以及鲜花草等为原料，经造型设计、模压、剪贴、干燥等工艺精制而成的花、果、叶等人造花类工艺品，以画面出现、可以挂或摆的具有欣赏性、装饰性的画类工艺品的制作活动。</t>
    </r>
  </si>
  <si>
    <r>
      <rPr>
        <rFont val="宋体"/>
        <charset val="-122"/>
        <family val="0"/>
        <sz val="9"/>
      </rPr>
      <t xml:space="preserve">    天然植物纤维编织工艺品制造</t>
    </r>
  </si>
  <si>
    <r>
      <rPr>
        <rFont val="宋体"/>
        <charset val="-122"/>
        <family val="0"/>
        <sz val="9"/>
      </rPr>
      <t xml:space="preserve">  指以竹、藤、棕、草、柳、葵、麻等天然植物纤维为材料，经编织或镶嵌而成具有造型艺术或图案花纹，以欣赏为主的工艺陈列品以及工艺实用品的制作活动。</t>
    </r>
  </si>
  <si>
    <r>
      <rPr>
        <rFont val="宋体"/>
        <charset val="-122"/>
        <family val="0"/>
        <sz val="9"/>
      </rPr>
      <t xml:space="preserve">    抽纱刺绣工艺品制造</t>
    </r>
  </si>
  <si>
    <r>
      <rPr>
        <rFont val="宋体"/>
        <charset val="-122"/>
        <family val="0"/>
        <sz val="9"/>
      </rPr>
      <t xml:space="preserve">  指以棉、麻、丝、毛及人造纤维纺织品等为主要原料，经设计、刺绣、抽、拉、钩等工艺加工各种生活装饰用品，以及以纺织品为主要原料，经特殊手工工艺或民间工艺方法加工成各种具有较强装饰效果的生活用纺织品的生产活动。</t>
    </r>
  </si>
  <si>
    <r>
      <rPr>
        <rFont val="宋体"/>
        <charset val="-122"/>
        <family val="0"/>
        <sz val="9"/>
      </rPr>
      <t xml:space="preserve">    地毯、挂毯制造</t>
    </r>
  </si>
  <si>
    <r>
      <rPr>
        <rFont val="宋体"/>
        <charset val="-122"/>
        <family val="0"/>
        <sz val="9"/>
      </rPr>
      <t xml:space="preserve">  指以羊毛、丝、棉、麻及人造纤维等为原料，经手工编织、机织、栽绒等方式加工而成的各种具有装饰性的地面覆盖物或可用于悬挂、垫坐等用途的生活装饰用品的生产活动。</t>
    </r>
  </si>
  <si>
    <r>
      <rPr>
        <rFont val="宋体"/>
        <charset val="-122"/>
        <family val="0"/>
        <sz val="9"/>
      </rPr>
      <t xml:space="preserve">    珠宝首饰及有关物品的制造</t>
    </r>
  </si>
  <si>
    <r>
      <rPr>
        <rFont val="宋体"/>
        <charset val="-122"/>
        <family val="0"/>
        <sz val="9"/>
      </rPr>
      <t xml:space="preserve">  指以金、银、铂等贵金属及其合金以及钻石、宝石、玉石、翡翠、珍珠等为原料，经金属加工和连结组合、镶嵌等工艺加工制作各种图案的装饰品的制作活动。</t>
    </r>
  </si>
  <si>
    <r>
      <rPr>
        <rFont val="宋体"/>
        <charset val="-122"/>
        <family val="0"/>
        <sz val="9"/>
      </rPr>
      <t xml:space="preserve">    其他工艺美术品制造</t>
    </r>
  </si>
  <si>
    <r>
      <rPr>
        <rFont val="宋体"/>
        <charset val="-122"/>
        <family val="0"/>
        <sz val="9"/>
      </rPr>
      <t xml:space="preserve">  日用杂品制造</t>
    </r>
  </si>
  <si>
    <r>
      <rPr>
        <rFont val="宋体"/>
        <charset val="-122"/>
        <family val="0"/>
        <sz val="9"/>
      </rPr>
      <t xml:space="preserve">    制镜及类似品加工</t>
    </r>
  </si>
  <si>
    <r>
      <rPr>
        <rFont val="宋体"/>
        <charset val="-122"/>
        <family val="0"/>
        <sz val="9"/>
      </rPr>
      <t xml:space="preserve">  指以平板玻璃为材料，经对其进行镀银、镀铝，或冷、热加工后成型的日用制品的制造。</t>
    </r>
  </si>
  <si>
    <r>
      <rPr>
        <rFont val="宋体"/>
        <charset val="-122"/>
        <family val="0"/>
        <sz val="9"/>
      </rPr>
      <t xml:space="preserve">    鬃毛加工、制刷及清扫工具的制造</t>
    </r>
  </si>
  <si>
    <r>
      <rPr>
        <rFont val="宋体"/>
        <charset val="-122"/>
        <family val="0"/>
        <sz val="9"/>
      </rPr>
      <t xml:space="preserve">  指用原毛加工成生产刷子类产品的成品毛的生产，或以成品毛和棕、金属丝、塑料丝等为原料加工制刷的生产，以及其他清扫工具的制造。</t>
    </r>
  </si>
  <si>
    <r>
      <rPr>
        <rFont val="宋体"/>
        <charset val="-122"/>
        <family val="0"/>
        <sz val="9"/>
      </rPr>
      <t xml:space="preserve">    其他日用杂品制造</t>
    </r>
  </si>
  <si>
    <r>
      <rPr>
        <rFont val="宋体"/>
        <charset val="-122"/>
        <family val="0"/>
        <sz val="9"/>
      </rPr>
      <t xml:space="preserve">  指上述类别中均未列明的制伞及其他各种日常生活用杂品的生产活动。</t>
    </r>
  </si>
  <si>
    <r>
      <rPr>
        <rFont val="宋体"/>
        <charset val="-122"/>
        <family val="0"/>
        <sz val="9"/>
      </rPr>
      <t xml:space="preserve">  煤制品制造</t>
    </r>
  </si>
  <si>
    <r>
      <rPr>
        <rFont val="宋体"/>
        <charset val="-122"/>
        <family val="0"/>
        <sz val="9"/>
      </rPr>
      <t xml:space="preserve">  指用烟煤、无烟煤、褐煤及其他各种煤炭制成的煤砖、煤球等固体燃料制品的活动。</t>
    </r>
  </si>
  <si>
    <r>
      <rPr>
        <rFont val="宋体"/>
        <charset val="-122"/>
        <family val="0"/>
        <sz val="9"/>
      </rPr>
      <t xml:space="preserve">  核辐射加工</t>
    </r>
  </si>
  <si>
    <r>
      <rPr>
        <rFont val="宋体"/>
        <charset val="-122"/>
        <family val="0"/>
        <sz val="9"/>
      </rPr>
      <t xml:space="preserve">  指核技术与同位素技术的应用，由核辐照站利用核技术对原有产品改良、改变性质并使其增值的加工活动。</t>
    </r>
  </si>
  <si>
    <r>
      <rPr>
        <rFont val="宋体"/>
        <charset val="-122"/>
        <family val="0"/>
        <sz val="9"/>
      </rPr>
      <t xml:space="preserve">  其他未列明的制造业</t>
    </r>
  </si>
  <si>
    <r>
      <rPr>
        <rFont val="宋体"/>
        <charset val="-122"/>
        <family val="0"/>
        <sz val="9"/>
      </rPr>
      <t xml:space="preserve">  金属废料和碎屑的加工处理</t>
    </r>
  </si>
  <si>
    <r>
      <rPr>
        <rFont val="宋体"/>
        <charset val="-122"/>
        <family val="0"/>
        <sz val="9"/>
      </rPr>
      <t xml:space="preserve">  指从各种废料</t>
    </r>
    <r>
      <rPr>
        <rFont val="Times New Roman"/>
        <family val="1"/>
        <sz val="9"/>
      </rPr>
      <t>[</t>
    </r>
    <r>
      <rPr>
        <rFont val="宋体"/>
        <charset val="-122"/>
        <family val="0"/>
        <sz val="9"/>
      </rPr>
      <t>包括固体废料、废水（液）、废气等</t>
    </r>
    <r>
      <rPr>
        <rFont val="Times New Roman"/>
        <family val="1"/>
        <sz val="9"/>
      </rPr>
      <t>]</t>
    </r>
    <r>
      <rPr>
        <rFont val="宋体"/>
        <charset val="-122"/>
        <family val="0"/>
        <sz val="9"/>
      </rPr>
      <t>中回收，并使之便于转化为新的原材料，或适于进一步加工为金属原料的金属废料和碎屑的再加工处理活动。</t>
    </r>
  </si>
  <si>
    <r>
      <rPr>
        <rFont val="宋体"/>
        <charset val="-122"/>
        <family val="0"/>
        <sz val="9"/>
      </rPr>
      <t xml:space="preserve">  非金属废料和碎屑的加工处理</t>
    </r>
  </si>
  <si>
    <r>
      <rPr>
        <rFont val="宋体"/>
        <charset val="-122"/>
        <family val="0"/>
        <sz val="9"/>
      </rPr>
      <t xml:space="preserve">  指从各种废料</t>
    </r>
    <r>
      <rPr>
        <rFont val="Times New Roman"/>
        <family val="1"/>
        <sz val="9"/>
      </rPr>
      <t>[</t>
    </r>
    <r>
      <rPr>
        <rFont val="宋体"/>
        <charset val="-122"/>
        <family val="0"/>
        <sz val="9"/>
      </rPr>
      <t>包括固体废料、废水（液）、废气等</t>
    </r>
    <r>
      <rPr>
        <rFont val="Times New Roman"/>
        <family val="1"/>
        <sz val="9"/>
      </rPr>
      <t>]</t>
    </r>
    <r>
      <rPr>
        <rFont val="宋体"/>
        <charset val="-122"/>
        <family val="0"/>
        <sz val="9"/>
      </rPr>
      <t>中回收，或经过分类，使其适于进一步加工为新原料的非金属废料和碎屑的再加工处理活动。</t>
    </r>
  </si>
  <si>
    <r>
      <rPr>
        <rFont val="宋体"/>
        <charset val="-122"/>
        <family val="0"/>
        <sz val="9"/>
      </rPr>
      <t xml:space="preserve">  本类包括</t>
    </r>
    <r>
      <rPr>
        <rFont val="Times New Roman"/>
        <family val="1"/>
        <sz val="9"/>
      </rPr>
      <t>44</t>
    </r>
    <r>
      <rPr>
        <rFont val="宋体"/>
        <charset val="-122"/>
        <family val="0"/>
        <sz val="9"/>
      </rPr>
      <t>—</t>
    </r>
    <r>
      <rPr>
        <rFont val="Times New Roman"/>
        <family val="1"/>
        <sz val="9"/>
      </rPr>
      <t>46</t>
    </r>
    <r>
      <rPr>
        <rFont val="宋体"/>
        <charset val="-122"/>
        <family val="0"/>
        <sz val="9"/>
      </rPr>
      <t>大类。</t>
    </r>
  </si>
  <si>
    <r>
      <rPr>
        <rFont val="宋体"/>
        <charset val="-122"/>
        <family val="0"/>
        <sz val="9"/>
      </rPr>
      <t xml:space="preserve">  电力生产</t>
    </r>
  </si>
  <si>
    <r>
      <rPr>
        <rFont val="宋体"/>
        <charset val="-122"/>
        <family val="0"/>
        <sz val="9"/>
      </rPr>
      <t xml:space="preserve">    火力发电</t>
    </r>
    <r>
      <rPr>
        <rFont val="Times New Roman"/>
        <family val="1"/>
        <sz val="9"/>
      </rPr>
      <t xml:space="preserve"> </t>
    </r>
  </si>
  <si>
    <r>
      <rPr>
        <rFont val="宋体"/>
        <charset val="-122"/>
        <family val="0"/>
        <sz val="9"/>
      </rPr>
      <t xml:space="preserve">  指利用煤炭、石油、天然气等燃料燃烧产生的热能，通过火电动力装置转换成电能的生产活动。</t>
    </r>
  </si>
  <si>
    <r>
      <rPr>
        <rFont val="宋体"/>
        <charset val="-122"/>
        <family val="0"/>
        <sz val="9"/>
      </rPr>
      <t xml:space="preserve">    水力发电</t>
    </r>
  </si>
  <si>
    <r>
      <rPr>
        <rFont val="宋体"/>
        <charset val="-122"/>
        <family val="0"/>
        <sz val="9"/>
      </rPr>
      <t xml:space="preserve">  指通过建设水电站将水能转换成电能的生产活动。</t>
    </r>
  </si>
  <si>
    <r>
      <rPr>
        <rFont val="宋体"/>
        <charset val="-122"/>
        <family val="0"/>
        <sz val="9"/>
      </rPr>
      <t xml:space="preserve">    核力发电</t>
    </r>
  </si>
  <si>
    <r>
      <rPr>
        <rFont val="宋体"/>
        <charset val="-122"/>
        <family val="0"/>
        <sz val="9"/>
      </rPr>
      <t xml:space="preserve">  指利用核反应堆中重核裂变所释放出的热能转换成电能的生产活动。</t>
    </r>
  </si>
  <si>
    <r>
      <rPr>
        <rFont val="宋体"/>
        <charset val="-122"/>
        <family val="0"/>
        <sz val="9"/>
      </rPr>
      <t xml:space="preserve">    其他能源发电</t>
    </r>
  </si>
  <si>
    <r>
      <rPr>
        <rFont val="宋体"/>
        <charset val="-122"/>
        <family val="0"/>
        <sz val="9"/>
      </rPr>
      <t xml:space="preserve">  指利用风力、地热、太阳能、潮汐能、生物能及其他未列明的发电活动。</t>
    </r>
  </si>
  <si>
    <r>
      <rPr>
        <rFont val="宋体"/>
        <charset val="-122"/>
        <family val="0"/>
        <sz val="9"/>
      </rPr>
      <t xml:space="preserve">  电力供应</t>
    </r>
  </si>
  <si>
    <r>
      <rPr>
        <rFont val="宋体"/>
        <charset val="-122"/>
        <family val="0"/>
        <sz val="9"/>
      </rPr>
      <t xml:space="preserve">  指利用电网出售给用户电能的输送与分配活动，以及供电局的供电活动。</t>
    </r>
  </si>
  <si>
    <r>
      <rPr>
        <rFont val="宋体"/>
        <charset val="-122"/>
        <family val="0"/>
        <sz val="9"/>
      </rPr>
      <t xml:space="preserve">  热力生产和供应</t>
    </r>
  </si>
  <si>
    <r>
      <rPr>
        <rFont val="宋体"/>
        <charset val="-122"/>
        <family val="0"/>
        <sz val="9"/>
      </rPr>
      <t xml:space="preserve">  指利用煤炭、油、燃气等能源，通过锅炉等装置生产蒸汽和热水，或外购蒸汽、热水进行供应销售、供热设施的维护和管理的活动。</t>
    </r>
  </si>
  <si>
    <r>
      <rPr>
        <rFont val="宋体"/>
        <charset val="-122"/>
        <family val="0"/>
        <sz val="9"/>
      </rPr>
      <t xml:space="preserve">  燃气生产和供应业</t>
    </r>
  </si>
  <si>
    <r>
      <rPr>
        <rFont val="宋体"/>
        <charset val="-122"/>
        <family val="0"/>
        <sz val="9"/>
      </rPr>
      <t xml:space="preserve">  指利用煤炭、油、燃气等能源生产燃气，或外购液化石油气、天然气等燃气，并进行输配，向用户销售燃气的活动，以及对煤气、液化石油气、天然气输配及使用过程中的维修和管理活动。但不包括专门从事罐装液化石油气零售业务的活动。</t>
    </r>
  </si>
  <si>
    <r>
      <rPr>
        <rFont val="宋体"/>
        <charset val="-122"/>
        <family val="0"/>
        <sz val="9"/>
      </rPr>
      <t xml:space="preserve">  自来水的生产和供应</t>
    </r>
  </si>
  <si>
    <r>
      <rPr>
        <rFont val="宋体"/>
        <charset val="-122"/>
        <family val="0"/>
        <sz val="9"/>
      </rPr>
      <t xml:space="preserve">  指将天然水（地下水、地表水）经过蓄集、净化达到生活饮用水或其他用水标准，并向居民家庭、企业和其他用户供应的活动。</t>
    </r>
  </si>
  <si>
    <r>
      <rPr>
        <rFont val="宋体"/>
        <charset val="-122"/>
        <family val="0"/>
        <sz val="9"/>
      </rPr>
      <t xml:space="preserve">  污水处理及其再生利用</t>
    </r>
  </si>
  <si>
    <r>
      <rPr>
        <rFont val="宋体"/>
        <charset val="-122"/>
        <family val="0"/>
        <sz val="9"/>
      </rPr>
      <t xml:space="preserve">  指对污水的收集、处理及净化后的再利用活动。</t>
    </r>
  </si>
  <si>
    <r>
      <rPr>
        <rFont val="宋体"/>
        <charset val="-122"/>
        <family val="0"/>
        <sz val="9"/>
      </rPr>
      <t xml:space="preserve">  其他水的处理、利用与分配</t>
    </r>
  </si>
  <si>
    <r>
      <rPr>
        <rFont val="宋体"/>
        <charset val="-122"/>
        <family val="0"/>
        <sz val="9"/>
      </rPr>
      <t xml:space="preserve">  指将海水淡化处理，达到可以使用标准的生产活动，以及对雨水、微咸水等类似水进行收集、处理和利用活动。</t>
    </r>
  </si>
  <si>
    <r>
      <rPr>
        <rFont val="宋体"/>
        <charset val="-122"/>
        <family val="0"/>
        <sz val="9"/>
      </rPr>
      <t xml:space="preserve">  本类包括</t>
    </r>
    <r>
      <rPr>
        <rFont val="Times New Roman"/>
        <family val="1"/>
        <sz val="9"/>
      </rPr>
      <t>47</t>
    </r>
    <r>
      <rPr>
        <rFont val="宋体"/>
        <charset val="-122"/>
        <family val="0"/>
        <sz val="9"/>
      </rPr>
      <t>—</t>
    </r>
    <r>
      <rPr>
        <rFont val="Times New Roman"/>
        <family val="1"/>
        <sz val="9"/>
      </rPr>
      <t>50</t>
    </r>
    <r>
      <rPr>
        <rFont val="宋体"/>
        <charset val="-122"/>
        <family val="0"/>
        <sz val="9"/>
      </rPr>
      <t xml:space="preserve">大类。 </t>
    </r>
  </si>
  <si>
    <r>
      <rPr>
        <rFont val="宋体"/>
        <charset val="-122"/>
        <family val="0"/>
        <sz val="9"/>
      </rPr>
      <t xml:space="preserve">  指建筑工程从破土动工到工程主体结构竣工（或封顶）的活动过程。不包括工程的内部安装和装饰活动。</t>
    </r>
  </si>
  <si>
    <r>
      <rPr>
        <rFont val="宋体"/>
        <charset val="-122"/>
        <family val="0"/>
        <sz val="9"/>
      </rPr>
      <t xml:space="preserve">  房屋工程建筑</t>
    </r>
  </si>
  <si>
    <r>
      <rPr>
        <rFont val="宋体"/>
        <charset val="-122"/>
        <family val="0"/>
        <sz val="9"/>
      </rPr>
      <t xml:space="preserve">  指房屋主体工程的施工活动。不包括主体工程施工前的工程准备活动。</t>
    </r>
  </si>
  <si>
    <r>
      <rPr>
        <rFont val="宋体"/>
        <charset val="-122"/>
        <family val="0"/>
        <sz val="9"/>
      </rPr>
      <t xml:space="preserve">  土木工程建筑</t>
    </r>
  </si>
  <si>
    <r>
      <rPr>
        <rFont val="宋体"/>
        <charset val="-122"/>
        <family val="0"/>
        <sz val="9"/>
      </rPr>
      <t xml:space="preserve">  指土木工程主体的施工活动。不包括施工前的工程准备活动。</t>
    </r>
  </si>
  <si>
    <r>
      <rPr>
        <rFont val="宋体"/>
        <charset val="-122"/>
        <family val="0"/>
        <sz val="9"/>
      </rPr>
      <t xml:space="preserve">    铁路、道路、隧道和桥梁工程建筑</t>
    </r>
    <r>
      <rPr>
        <rFont val="Times New Roman"/>
        <family val="1"/>
        <sz val="9"/>
      </rPr>
      <t xml:space="preserve">    </t>
    </r>
  </si>
  <si>
    <r>
      <rPr>
        <rFont val="宋体"/>
        <charset val="-122"/>
        <family val="0"/>
        <sz val="9"/>
      </rPr>
      <t xml:space="preserve">    水利和港口工程建筑</t>
    </r>
  </si>
  <si>
    <r>
      <rPr>
        <rFont val="宋体"/>
        <charset val="-122"/>
        <family val="0"/>
        <sz val="9"/>
      </rPr>
      <t xml:space="preserve">    工矿工程建筑</t>
    </r>
  </si>
  <si>
    <r>
      <rPr>
        <rFont val="宋体"/>
        <charset val="-122"/>
        <family val="0"/>
        <sz val="9"/>
      </rPr>
      <t xml:space="preserve">  指除厂房外的矿山和工厂生产设施、设备的施工和安装，以及海洋石油平台的施工。</t>
    </r>
  </si>
  <si>
    <r>
      <rPr>
        <rFont val="宋体"/>
        <charset val="-122"/>
        <family val="0"/>
        <sz val="9"/>
      </rPr>
      <t xml:space="preserve">    架线和管道工程建筑</t>
    </r>
  </si>
  <si>
    <r>
      <rPr>
        <rFont val="宋体"/>
        <charset val="-122"/>
        <family val="0"/>
        <sz val="9"/>
      </rPr>
      <t xml:space="preserve">  指建筑物外的架线、管道和设备的施工。</t>
    </r>
  </si>
  <si>
    <r>
      <rPr>
        <rFont val="宋体"/>
        <charset val="-122"/>
        <family val="0"/>
        <sz val="9"/>
      </rPr>
      <t xml:space="preserve">    其他土木工程建筑</t>
    </r>
  </si>
  <si>
    <r>
      <rPr>
        <rFont val="宋体"/>
        <charset val="-122"/>
        <family val="0"/>
        <sz val="9"/>
      </rPr>
      <t xml:space="preserve">  建筑安装业</t>
    </r>
  </si>
  <si>
    <r>
      <rPr>
        <rFont val="宋体"/>
        <charset val="-122"/>
        <family val="0"/>
        <sz val="9"/>
      </rPr>
      <t xml:space="preserve">  指建筑物主体工程竣工后，建筑物内各种设备的安装活动，以及施工中的线路敷设和管道安装。不包括工程收尾的装饰，如对墙面、地板、天花板、门窗等处理活动。</t>
    </r>
  </si>
  <si>
    <r>
      <rPr>
        <rFont val="宋体"/>
        <charset val="-122"/>
        <family val="0"/>
        <sz val="9"/>
      </rPr>
      <t xml:space="preserve">  建筑装饰业</t>
    </r>
  </si>
  <si>
    <r>
      <rPr>
        <rFont val="宋体"/>
        <charset val="-122"/>
        <family val="0"/>
        <sz val="9"/>
      </rPr>
      <t xml:space="preserve">  指对建筑工程后期的装饰、装修和清理活动，以及对居室的装修活动。</t>
    </r>
  </si>
  <si>
    <r>
      <rPr>
        <rFont val="宋体"/>
        <charset val="-122"/>
        <family val="0"/>
        <sz val="9"/>
      </rPr>
      <t xml:space="preserve">  工程准备</t>
    </r>
  </si>
  <si>
    <r>
      <rPr>
        <rFont val="宋体"/>
        <charset val="-122"/>
        <family val="0"/>
        <sz val="9"/>
      </rPr>
      <t xml:space="preserve">  指房屋、土木工程建筑施工前的准备活动。</t>
    </r>
  </si>
  <si>
    <r>
      <rPr>
        <rFont val="宋体"/>
        <charset val="-122"/>
        <family val="0"/>
        <sz val="9"/>
      </rPr>
      <t xml:space="preserve">  提供施工设备服务</t>
    </r>
  </si>
  <si>
    <r>
      <rPr>
        <rFont val="宋体"/>
        <charset val="-122"/>
        <family val="0"/>
        <sz val="9"/>
      </rPr>
      <t xml:space="preserve">  指为建筑工程提供配有操作人员的施工设备的服务。</t>
    </r>
  </si>
  <si>
    <r>
      <rPr>
        <rFont val="宋体"/>
        <charset val="-122"/>
        <family val="0"/>
        <sz val="9"/>
      </rPr>
      <t xml:space="preserve">  其他未列明的建筑活动</t>
    </r>
  </si>
  <si>
    <r>
      <rPr>
        <rFont val="宋体"/>
        <charset val="-122"/>
        <family val="0"/>
        <sz val="9"/>
      </rPr>
      <t xml:space="preserve">  指上述未列明的其他工程建筑活动。</t>
    </r>
  </si>
  <si>
    <r>
      <rPr>
        <rFont val="宋体"/>
        <charset val="-122"/>
        <family val="0"/>
        <sz val="9"/>
      </rPr>
      <t xml:space="preserve">  本类包括</t>
    </r>
    <r>
      <rPr>
        <rFont val="Times New Roman"/>
        <family val="1"/>
        <sz val="9"/>
      </rPr>
      <t>51</t>
    </r>
    <r>
      <rPr>
        <rFont val="宋体"/>
        <charset val="-122"/>
        <family val="0"/>
        <sz val="9"/>
      </rPr>
      <t>—</t>
    </r>
    <r>
      <rPr>
        <rFont val="Times New Roman"/>
        <family val="1"/>
        <sz val="9"/>
      </rPr>
      <t>59</t>
    </r>
    <r>
      <rPr>
        <rFont val="宋体"/>
        <charset val="-122"/>
        <family val="0"/>
        <sz val="9"/>
      </rPr>
      <t>大类。</t>
    </r>
  </si>
  <si>
    <r>
      <rPr>
        <rFont val="宋体"/>
        <charset val="-122"/>
        <family val="0"/>
        <sz val="9"/>
      </rPr>
      <t xml:space="preserve">  指铁路客运、货运及相关的调度、信号、机车、车辆、检修、工务等活动。不包括铁路系统所属的机车、车辆及信号通信设备的制造厂（公司）、建筑工程公司、商店、学校、科研所、医院等。</t>
    </r>
  </si>
  <si>
    <r>
      <rPr>
        <rFont val="宋体"/>
        <charset val="-122"/>
        <family val="0"/>
        <sz val="9"/>
      </rPr>
      <t xml:space="preserve">  铁路旅客运输</t>
    </r>
  </si>
  <si>
    <r>
      <rPr>
        <rFont val="宋体"/>
        <charset val="-122"/>
        <family val="0"/>
        <sz val="9"/>
      </rPr>
      <t xml:space="preserve">  铁路货物运输</t>
    </r>
  </si>
  <si>
    <r>
      <rPr>
        <rFont val="宋体"/>
        <charset val="-122"/>
        <family val="0"/>
        <sz val="9"/>
      </rPr>
      <t xml:space="preserve">  铁路运输辅助活动</t>
    </r>
  </si>
  <si>
    <r>
      <rPr>
        <rFont val="宋体"/>
        <charset val="-122"/>
        <family val="0"/>
        <sz val="9"/>
      </rPr>
      <t xml:space="preserve">    客运火车站</t>
    </r>
  </si>
  <si>
    <r>
      <rPr>
        <rFont val="宋体"/>
        <charset val="-122"/>
        <family val="0"/>
        <sz val="9"/>
      </rPr>
      <t xml:space="preserve">    货运火车站</t>
    </r>
  </si>
  <si>
    <r>
      <rPr>
        <rFont val="宋体"/>
        <charset val="-122"/>
        <family val="0"/>
        <sz val="9"/>
      </rPr>
      <t xml:space="preserve">    其他铁路运输辅助活动</t>
    </r>
  </si>
  <si>
    <r>
      <rPr>
        <rFont val="宋体"/>
        <charset val="-122"/>
        <family val="0"/>
        <sz val="9"/>
      </rPr>
      <t xml:space="preserve">  指铁路旅客、货物运输及为其服务的客、货运火车站以外的运输网、信号、调度及铁路设施的管理和养护。</t>
    </r>
  </si>
  <si>
    <r>
      <rPr>
        <rFont val="宋体"/>
        <charset val="-122"/>
        <family val="0"/>
        <sz val="9"/>
      </rPr>
      <t xml:space="preserve">  公路旅客运输</t>
    </r>
  </si>
  <si>
    <r>
      <rPr>
        <rFont val="宋体"/>
        <charset val="-122"/>
        <family val="0"/>
        <sz val="9"/>
      </rPr>
      <t xml:space="preserve">  指城市以外道路的旅客运输活动。</t>
    </r>
  </si>
  <si>
    <r>
      <rPr>
        <rFont val="宋体"/>
        <charset val="-122"/>
        <family val="0"/>
        <sz val="9"/>
      </rPr>
      <t xml:space="preserve">  道路货物运输</t>
    </r>
  </si>
  <si>
    <r>
      <rPr>
        <rFont val="宋体"/>
        <charset val="-122"/>
        <family val="0"/>
        <sz val="9"/>
      </rPr>
      <t xml:space="preserve">  指所有道路的货物运输活动。</t>
    </r>
  </si>
  <si>
    <r>
      <rPr>
        <rFont val="宋体"/>
        <charset val="-122"/>
        <family val="0"/>
        <sz val="9"/>
      </rPr>
      <t xml:space="preserve">  道路运输辅助活动</t>
    </r>
  </si>
  <si>
    <r>
      <rPr>
        <rFont val="宋体"/>
        <charset val="-122"/>
        <family val="0"/>
        <sz val="9"/>
      </rPr>
      <t xml:space="preserve">  指与道路运输相关的运输辅助活动。</t>
    </r>
  </si>
  <si>
    <r>
      <rPr>
        <rFont val="宋体"/>
        <charset val="-122"/>
        <family val="0"/>
        <sz val="9"/>
      </rPr>
      <t xml:space="preserve">    客运汽车站</t>
    </r>
  </si>
  <si>
    <r>
      <rPr>
        <rFont val="宋体"/>
        <charset val="-122"/>
        <family val="0"/>
        <sz val="9"/>
      </rPr>
      <t xml:space="preserve">  指长途旅客运输汽车站的服务活动。</t>
    </r>
  </si>
  <si>
    <r>
      <rPr>
        <rFont val="宋体"/>
        <charset val="-122"/>
        <family val="0"/>
        <sz val="9"/>
      </rPr>
      <t xml:space="preserve">    公路管理与养护</t>
    </r>
  </si>
  <si>
    <r>
      <rPr>
        <rFont val="宋体"/>
        <charset val="-122"/>
        <family val="0"/>
        <sz val="9"/>
      </rPr>
      <t xml:space="preserve">    其他道路运输辅助活动</t>
    </r>
  </si>
  <si>
    <r>
      <rPr>
        <rFont val="宋体"/>
        <charset val="-122"/>
        <family val="0"/>
        <sz val="9"/>
      </rPr>
      <t xml:space="preserve">  指城市旅客运输活动。</t>
    </r>
    <r>
      <rPr>
        <rFont val="Times New Roman"/>
        <family val="1"/>
        <sz val="9"/>
      </rPr>
      <t xml:space="preserve"> </t>
    </r>
  </si>
  <si>
    <r>
      <rPr>
        <rFont val="宋体"/>
        <charset val="-122"/>
        <family val="0"/>
        <sz val="9"/>
      </rPr>
      <t xml:space="preserve">  公共电汽车客运</t>
    </r>
  </si>
  <si>
    <r>
      <rPr>
        <rFont val="宋体"/>
        <charset val="-122"/>
        <family val="0"/>
        <sz val="9"/>
      </rPr>
      <t xml:space="preserve">  轨道交通</t>
    </r>
  </si>
  <si>
    <r>
      <rPr>
        <rFont val="宋体"/>
        <charset val="-122"/>
        <family val="0"/>
        <sz val="9"/>
      </rPr>
      <t xml:space="preserve">  出租车客运</t>
    </r>
  </si>
  <si>
    <r>
      <rPr>
        <rFont val="宋体"/>
        <charset val="-122"/>
        <family val="0"/>
        <sz val="9"/>
      </rPr>
      <t xml:space="preserve">  城市轮渡</t>
    </r>
    <r>
      <rPr>
        <rFont val="Times New Roman"/>
        <family val="1"/>
        <sz val="9"/>
      </rPr>
      <t xml:space="preserve"> </t>
    </r>
  </si>
  <si>
    <r>
      <rPr>
        <rFont val="宋体"/>
        <charset val="-122"/>
        <family val="0"/>
        <sz val="9"/>
      </rPr>
      <t xml:space="preserve">  指城市的水上旅客轮渡运营活动。</t>
    </r>
  </si>
  <si>
    <r>
      <rPr>
        <rFont val="宋体"/>
        <charset val="-122"/>
        <family val="0"/>
        <sz val="9"/>
      </rPr>
      <t xml:space="preserve">  其他城市公共交通</t>
    </r>
    <r>
      <rPr>
        <rFont val="Times New Roman"/>
        <family val="1"/>
        <sz val="9"/>
      </rPr>
      <t xml:space="preserve">     </t>
    </r>
  </si>
  <si>
    <r>
      <rPr>
        <rFont val="宋体"/>
        <charset val="-122"/>
        <family val="0"/>
        <sz val="9"/>
      </rPr>
      <t xml:space="preserve">  指其他未列明的城市旅客运输活动。</t>
    </r>
  </si>
  <si>
    <r>
      <rPr>
        <rFont val="宋体"/>
        <charset val="-122"/>
        <family val="0"/>
        <sz val="9"/>
      </rPr>
      <t xml:space="preserve">  水上旅客运输</t>
    </r>
  </si>
  <si>
    <r>
      <rPr>
        <rFont val="宋体"/>
        <charset val="-122"/>
        <family val="0"/>
        <sz val="9"/>
      </rPr>
      <t xml:space="preserve">    远洋旅客运输</t>
    </r>
  </si>
  <si>
    <r>
      <rPr>
        <rFont val="宋体"/>
        <charset val="-122"/>
        <family val="0"/>
        <sz val="9"/>
      </rPr>
      <t xml:space="preserve">    沿海旅客运输</t>
    </r>
  </si>
  <si>
    <r>
      <rPr>
        <rFont val="宋体"/>
        <charset val="-122"/>
        <family val="0"/>
        <sz val="9"/>
      </rPr>
      <t xml:space="preserve">    内河旅客运输</t>
    </r>
  </si>
  <si>
    <r>
      <rPr>
        <rFont val="宋体"/>
        <charset val="-122"/>
        <family val="0"/>
        <sz val="9"/>
      </rPr>
      <t xml:space="preserve">  指江、河、湖泊、水库的水上旅客运输活动。</t>
    </r>
  </si>
  <si>
    <r>
      <rPr>
        <rFont val="宋体"/>
        <charset val="-122"/>
        <family val="0"/>
        <sz val="9"/>
      </rPr>
      <t xml:space="preserve">  水上货物运输</t>
    </r>
  </si>
  <si>
    <r>
      <rPr>
        <rFont val="宋体"/>
        <charset val="-122"/>
        <family val="0"/>
        <sz val="9"/>
      </rPr>
      <t xml:space="preserve">    远洋货物运输</t>
    </r>
  </si>
  <si>
    <r>
      <rPr>
        <rFont val="宋体"/>
        <charset val="-122"/>
        <family val="0"/>
        <sz val="9"/>
      </rPr>
      <t xml:space="preserve">    沿海货物运输</t>
    </r>
  </si>
  <si>
    <r>
      <rPr>
        <rFont val="宋体"/>
        <charset val="-122"/>
        <family val="0"/>
        <sz val="9"/>
      </rPr>
      <t xml:space="preserve">    内河货物运输</t>
    </r>
  </si>
  <si>
    <r>
      <rPr>
        <rFont val="宋体"/>
        <charset val="-122"/>
        <family val="0"/>
        <sz val="9"/>
      </rPr>
      <t xml:space="preserve">  指江、河、湖泊、水库的水上货物运输活动。</t>
    </r>
  </si>
  <si>
    <r>
      <rPr>
        <rFont val="宋体"/>
        <charset val="-122"/>
        <family val="0"/>
        <sz val="9"/>
      </rPr>
      <t xml:space="preserve">  水上运输辅助活动</t>
    </r>
  </si>
  <si>
    <r>
      <rPr>
        <rFont val="宋体"/>
        <charset val="-122"/>
        <family val="0"/>
        <sz val="9"/>
      </rPr>
      <t xml:space="preserve">    客运港口</t>
    </r>
  </si>
  <si>
    <r>
      <rPr>
        <rFont val="宋体"/>
        <charset val="-122"/>
        <family val="0"/>
        <sz val="9"/>
      </rPr>
      <t xml:space="preserve">    货运港口</t>
    </r>
  </si>
  <si>
    <r>
      <rPr>
        <rFont val="宋体"/>
        <charset val="-122"/>
        <family val="0"/>
        <sz val="9"/>
      </rPr>
      <t xml:space="preserve">    其他水上运输辅助活动</t>
    </r>
  </si>
  <si>
    <r>
      <rPr>
        <rFont val="宋体"/>
        <charset val="-122"/>
        <family val="0"/>
        <sz val="9"/>
      </rPr>
      <t xml:space="preserve">  指其他未列明的水上运输辅助活动。</t>
    </r>
  </si>
  <si>
    <r>
      <rPr>
        <rFont val="宋体"/>
        <charset val="-122"/>
        <family val="0"/>
        <sz val="9"/>
      </rPr>
      <t xml:space="preserve">  航空客货运输</t>
    </r>
  </si>
  <si>
    <r>
      <rPr>
        <rFont val="宋体"/>
        <charset val="-122"/>
        <family val="0"/>
        <sz val="9"/>
      </rPr>
      <t xml:space="preserve">    航空旅客运输</t>
    </r>
  </si>
  <si>
    <r>
      <rPr>
        <rFont val="宋体"/>
        <charset val="-122"/>
        <family val="0"/>
        <sz val="9"/>
      </rPr>
      <t xml:space="preserve">  指以旅客运输为主的航空运输活动。</t>
    </r>
  </si>
  <si>
    <r>
      <rPr>
        <rFont val="宋体"/>
        <charset val="-122"/>
        <family val="0"/>
        <sz val="9"/>
      </rPr>
      <t xml:space="preserve">    航空货物运输</t>
    </r>
  </si>
  <si>
    <r>
      <rPr>
        <rFont val="宋体"/>
        <charset val="-122"/>
        <family val="0"/>
        <sz val="9"/>
      </rPr>
      <t xml:space="preserve">  指以货物或邮件为主的航空运输活动。</t>
    </r>
  </si>
  <si>
    <r>
      <rPr>
        <rFont val="宋体"/>
        <charset val="-122"/>
        <family val="0"/>
        <sz val="9"/>
      </rPr>
      <t xml:space="preserve">  通用航空服务</t>
    </r>
  </si>
  <si>
    <r>
      <rPr>
        <rFont val="宋体"/>
        <charset val="-122"/>
        <family val="0"/>
        <sz val="9"/>
      </rPr>
      <t xml:space="preserve">  指除客货运输以外的其他航空服务活动。</t>
    </r>
  </si>
  <si>
    <r>
      <rPr>
        <rFont val="宋体"/>
        <charset val="-122"/>
        <family val="0"/>
        <sz val="9"/>
      </rPr>
      <t xml:space="preserve">  航空运输辅助活动</t>
    </r>
  </si>
  <si>
    <r>
      <rPr>
        <rFont val="宋体"/>
        <charset val="-122"/>
        <family val="0"/>
        <sz val="9"/>
      </rPr>
      <t xml:space="preserve">    机场</t>
    </r>
  </si>
  <si>
    <r>
      <rPr>
        <rFont val="宋体"/>
        <charset val="-122"/>
        <family val="0"/>
        <sz val="9"/>
      </rPr>
      <t xml:space="preserve">    空中交通管理</t>
    </r>
  </si>
  <si>
    <r>
      <rPr>
        <rFont val="宋体"/>
        <charset val="-122"/>
        <family val="0"/>
        <sz val="9"/>
      </rPr>
      <t xml:space="preserve">    其他航空运输辅助活动</t>
    </r>
  </si>
  <si>
    <r>
      <rPr>
        <rFont val="宋体"/>
        <charset val="-122"/>
        <family val="0"/>
        <sz val="9"/>
      </rPr>
      <t xml:space="preserve">  指其他未列明的航空运输辅助活动。</t>
    </r>
  </si>
  <si>
    <r>
      <rPr>
        <rFont val="宋体"/>
        <charset val="-122"/>
        <family val="0"/>
        <sz val="9"/>
      </rPr>
      <t xml:space="preserve">  管道运输业</t>
    </r>
  </si>
  <si>
    <r>
      <rPr>
        <rFont val="宋体"/>
        <charset val="-122"/>
        <family val="0"/>
        <sz val="9"/>
      </rPr>
      <t xml:space="preserve">  指通过管道对气体、液体等的运输活动。</t>
    </r>
  </si>
  <si>
    <r>
      <rPr>
        <rFont val="宋体"/>
        <charset val="-122"/>
        <family val="0"/>
        <sz val="9"/>
      </rPr>
      <t xml:space="preserve">  装卸搬运</t>
    </r>
  </si>
  <si>
    <r>
      <rPr>
        <rFont val="宋体"/>
        <charset val="-122"/>
        <family val="0"/>
        <sz val="9"/>
      </rPr>
      <t xml:space="preserve">  运输代理服务</t>
    </r>
  </si>
  <si>
    <r>
      <rPr>
        <rFont val="宋体"/>
        <charset val="-122"/>
        <family val="0"/>
        <sz val="9"/>
      </rPr>
      <t xml:space="preserve">  指与运输有关的代理及服务活动。</t>
    </r>
  </si>
  <si>
    <r>
      <rPr>
        <rFont val="宋体"/>
        <charset val="-122"/>
        <family val="0"/>
        <sz val="9"/>
      </rPr>
      <t xml:space="preserve">  指专门从事货物仓储、货物运输中转仓储，以及以仓储为主的物流送配活动。</t>
    </r>
  </si>
  <si>
    <r>
      <rPr>
        <rFont val="宋体"/>
        <charset val="-122"/>
        <family val="0"/>
        <sz val="9"/>
      </rPr>
      <t xml:space="preserve">  谷物、棉花等农产品仓储</t>
    </r>
  </si>
  <si>
    <r>
      <rPr>
        <rFont val="宋体"/>
        <charset val="-122"/>
        <family val="0"/>
        <sz val="9"/>
      </rPr>
      <t xml:space="preserve">  其他仓储</t>
    </r>
  </si>
  <si>
    <r>
      <rPr>
        <rFont val="宋体"/>
        <charset val="-122"/>
        <family val="0"/>
        <sz val="9"/>
      </rPr>
      <t xml:space="preserve">  国家邮政</t>
    </r>
  </si>
  <si>
    <r>
      <rPr>
        <rFont val="宋体"/>
        <charset val="-122"/>
        <family val="0"/>
        <sz val="9"/>
      </rPr>
      <t xml:space="preserve">  指国家邮政系统提供的邮政服务。</t>
    </r>
  </si>
  <si>
    <r>
      <rPr>
        <rFont val="宋体"/>
        <charset val="-122"/>
        <family val="0"/>
        <sz val="9"/>
      </rPr>
      <t xml:space="preserve">  其他寄递服务</t>
    </r>
  </si>
  <si>
    <r>
      <rPr>
        <rFont val="宋体"/>
        <charset val="-122"/>
        <family val="0"/>
        <sz val="9"/>
      </rPr>
      <t xml:space="preserve">  指国家邮政系统以外的单位所提供的包裹、小件物品的收集、运输、发送服务。</t>
    </r>
  </si>
  <si>
    <r>
      <rPr>
        <rFont val="宋体"/>
        <charset val="-122"/>
        <family val="0"/>
        <sz val="9"/>
      </rPr>
      <t xml:space="preserve">  本类包括</t>
    </r>
    <r>
      <rPr>
        <rFont val="Times New Roman"/>
        <family val="1"/>
        <sz val="9"/>
      </rPr>
      <t>60</t>
    </r>
    <r>
      <rPr>
        <rFont val="宋体"/>
        <charset val="-122"/>
        <family val="0"/>
        <sz val="9"/>
      </rPr>
      <t>—</t>
    </r>
    <r>
      <rPr>
        <rFont val="Times New Roman"/>
        <family val="1"/>
        <sz val="9"/>
      </rPr>
      <t>62大类。</t>
    </r>
  </si>
  <si>
    <r>
      <rPr>
        <rFont val="宋体"/>
        <charset val="-122"/>
        <family val="0"/>
        <sz val="9"/>
      </rPr>
      <t xml:space="preserve">  电信</t>
    </r>
  </si>
  <si>
    <r>
      <rPr>
        <rFont val="宋体"/>
        <charset val="-122"/>
        <family val="0"/>
        <sz val="9"/>
      </rPr>
      <t xml:space="preserve">  指通过电缆、光缆、无线电波、光波等传输的通信服务。</t>
    </r>
  </si>
  <si>
    <r>
      <rPr>
        <rFont val="宋体"/>
        <charset val="-122"/>
        <family val="0"/>
        <sz val="9"/>
      </rPr>
      <t xml:space="preserve">    固定电信服务</t>
    </r>
  </si>
  <si>
    <r>
      <rPr>
        <rFont val="宋体"/>
        <charset val="-122"/>
        <family val="0"/>
        <sz val="9"/>
      </rPr>
      <t xml:space="preserve">  指固定电话等电信服务活动。</t>
    </r>
  </si>
  <si>
    <r>
      <rPr>
        <rFont val="宋体"/>
        <charset val="-122"/>
        <family val="0"/>
        <sz val="9"/>
      </rPr>
      <t xml:space="preserve">    移动电信服务</t>
    </r>
  </si>
  <si>
    <r>
      <rPr>
        <rFont val="宋体"/>
        <charset val="-122"/>
        <family val="0"/>
        <sz val="9"/>
      </rPr>
      <t xml:space="preserve">  指移动通信等电信服务活动。</t>
    </r>
  </si>
  <si>
    <r>
      <rPr>
        <rFont val="宋体"/>
        <charset val="-122"/>
        <family val="0"/>
        <sz val="9"/>
      </rPr>
      <t xml:space="preserve">    其他电信服务</t>
    </r>
  </si>
  <si>
    <r>
      <rPr>
        <rFont val="宋体"/>
        <charset val="-122"/>
        <family val="0"/>
        <sz val="9"/>
      </rPr>
      <t xml:space="preserve">  指其他未列明的电信服务活动。</t>
    </r>
  </si>
  <si>
    <r>
      <rPr>
        <rFont val="宋体"/>
        <charset val="-122"/>
        <family val="0"/>
        <sz val="9"/>
      </rPr>
      <t xml:space="preserve">  互联网信息服务</t>
    </r>
  </si>
  <si>
    <r>
      <rPr>
        <rFont val="宋体"/>
        <charset val="-122"/>
        <family val="0"/>
        <sz val="9"/>
      </rPr>
      <t xml:space="preserve">  指网络公司通过互联网为客户提供的信息服务。</t>
    </r>
  </si>
  <si>
    <r>
      <rPr>
        <rFont val="宋体"/>
        <charset val="-122"/>
        <family val="0"/>
        <sz val="9"/>
      </rPr>
      <t xml:space="preserve">  广播电视传输服务</t>
    </r>
  </si>
  <si>
    <r>
      <rPr>
        <rFont val="宋体"/>
        <charset val="-122"/>
        <family val="0"/>
        <sz val="9"/>
      </rPr>
      <t xml:space="preserve">    有线广播电视传输服务</t>
    </r>
  </si>
  <si>
    <r>
      <rPr>
        <rFont val="宋体"/>
        <charset val="-122"/>
        <family val="0"/>
        <sz val="9"/>
      </rPr>
      <t xml:space="preserve">  指有线广播电视网和信号的传输服务活动。</t>
    </r>
  </si>
  <si>
    <r>
      <rPr>
        <rFont val="宋体"/>
        <charset val="-122"/>
        <family val="0"/>
        <sz val="9"/>
      </rPr>
      <t xml:space="preserve">    无线广播电视传输服务</t>
    </r>
  </si>
  <si>
    <r>
      <rPr>
        <rFont val="宋体"/>
        <charset val="-122"/>
        <family val="0"/>
        <sz val="9"/>
      </rPr>
      <t xml:space="preserve">  指无线广播电视信号的传输服务活动。</t>
    </r>
  </si>
  <si>
    <r>
      <rPr>
        <rFont val="宋体"/>
        <charset val="-122"/>
        <family val="0"/>
        <sz val="9"/>
      </rPr>
      <t xml:space="preserve">  卫星传输服务</t>
    </r>
  </si>
  <si>
    <r>
      <rPr>
        <rFont val="宋体"/>
        <charset val="-122"/>
        <family val="0"/>
        <sz val="9"/>
      </rPr>
      <t xml:space="preserve">  指人造卫星的电信传输和广播电视传输服务。</t>
    </r>
  </si>
  <si>
    <r>
      <rPr>
        <rFont val="宋体"/>
        <charset val="-122"/>
        <family val="0"/>
        <sz val="9"/>
      </rPr>
      <t xml:space="preserve">  计算机系统服务</t>
    </r>
  </si>
  <si>
    <r>
      <rPr>
        <rFont val="宋体"/>
        <charset val="-122"/>
        <family val="0"/>
        <sz val="9"/>
      </rPr>
      <t xml:space="preserve">  指提供计算机系统的设计、集成、安装等方面的服务。</t>
    </r>
  </si>
  <si>
    <r>
      <rPr>
        <rFont val="宋体"/>
        <charset val="-122"/>
        <family val="0"/>
        <sz val="9"/>
      </rPr>
      <t xml:space="preserve">  数据处理</t>
    </r>
  </si>
  <si>
    <r>
      <rPr>
        <rFont val="宋体"/>
        <charset val="-122"/>
        <family val="0"/>
        <sz val="9"/>
      </rPr>
      <t xml:space="preserve">  指为用户提供数据的录入、加工、存贮等方面的服务，以及使用用户指定的软件加工数据，并将结果返回给用户的活动。</t>
    </r>
  </si>
  <si>
    <r>
      <rPr>
        <rFont val="宋体"/>
        <charset val="-122"/>
        <family val="0"/>
        <sz val="9"/>
      </rPr>
      <t xml:space="preserve">  计算机维修</t>
    </r>
  </si>
  <si>
    <r>
      <rPr>
        <rFont val="宋体"/>
        <charset val="-122"/>
        <family val="0"/>
        <sz val="9"/>
      </rPr>
      <t xml:space="preserve">  指对计算机硬件及系统环境的维护和修理服务。</t>
    </r>
  </si>
  <si>
    <r>
      <rPr>
        <rFont val="宋体"/>
        <charset val="-122"/>
        <family val="0"/>
        <sz val="9"/>
      </rPr>
      <t xml:space="preserve">  其他计算机服务</t>
    </r>
  </si>
  <si>
    <r>
      <rPr>
        <rFont val="宋体"/>
        <charset val="-122"/>
        <family val="0"/>
        <sz val="9"/>
      </rPr>
      <t xml:space="preserve">  指计算机咨询和其他未列明的计算机服务。</t>
    </r>
  </si>
  <si>
    <r>
      <rPr>
        <rFont val="宋体"/>
        <charset val="-122"/>
        <family val="0"/>
        <sz val="9"/>
      </rPr>
      <t xml:space="preserve">  指专门从事计算机软件的设计、程序编制、分析、测试、修改、咨询；为互联网和数据库提供软件设计与技术规范；为软件所支持的系统及环境提供咨询、协调和指导；为硬件嵌入式软件及系统提供咨询、设计、鉴定等活动。</t>
    </r>
    <r>
      <rPr>
        <rFont val="Times New Roman"/>
        <family val="1"/>
        <sz val="9"/>
      </rPr>
      <t xml:space="preserve">         </t>
    </r>
  </si>
  <si>
    <r>
      <rPr>
        <rFont val="宋体"/>
        <charset val="-122"/>
        <family val="0"/>
        <sz val="9"/>
      </rPr>
      <t xml:space="preserve">  公共软件服务</t>
    </r>
  </si>
  <si>
    <r>
      <rPr>
        <rFont val="宋体"/>
        <charset val="-122"/>
        <family val="0"/>
        <sz val="9"/>
      </rPr>
      <t xml:space="preserve">    基础软件服务</t>
    </r>
  </si>
  <si>
    <r>
      <rPr>
        <rFont val="宋体"/>
        <charset val="-122"/>
        <family val="0"/>
        <sz val="9"/>
      </rPr>
      <t xml:space="preserve">  指为一般计算机用户提供的软件设计、编制、分析、测试等服务。</t>
    </r>
  </si>
  <si>
    <r>
      <rPr>
        <rFont val="宋体"/>
        <charset val="-122"/>
        <family val="0"/>
        <sz val="9"/>
      </rPr>
      <t xml:space="preserve">    应用软件服务</t>
    </r>
  </si>
  <si>
    <r>
      <rPr>
        <rFont val="宋体"/>
        <charset val="-122"/>
        <family val="0"/>
        <sz val="9"/>
      </rPr>
      <t xml:space="preserve">  指为专业领域使用计算机的用户提供软件服务，以及提供给最终用户产品中的软件（嵌入式软件）服务。</t>
    </r>
  </si>
  <si>
    <r>
      <rPr>
        <rFont val="宋体"/>
        <charset val="-122"/>
        <family val="0"/>
        <sz val="9"/>
      </rPr>
      <t xml:space="preserve">  其他软件服务</t>
    </r>
  </si>
  <si>
    <r>
      <rPr>
        <rFont val="宋体"/>
        <charset val="-122"/>
        <family val="0"/>
        <sz val="9"/>
      </rPr>
      <t xml:space="preserve">  指为特定客户提供的软件服务，以及与软件有关的咨询等活动。</t>
    </r>
  </si>
  <si>
    <r>
      <rPr>
        <rFont val="宋体"/>
        <charset val="-122"/>
        <family val="0"/>
        <sz val="9"/>
      </rPr>
      <t xml:space="preserve">  本类包括</t>
    </r>
    <r>
      <rPr>
        <rFont val="Times New Roman"/>
        <family val="1"/>
        <sz val="9"/>
      </rPr>
      <t>63</t>
    </r>
    <r>
      <rPr>
        <rFont val="宋体"/>
        <charset val="-122"/>
        <family val="0"/>
        <sz val="9"/>
      </rPr>
      <t>和</t>
    </r>
    <r>
      <rPr>
        <rFont val="Times New Roman"/>
        <family val="1"/>
        <sz val="9"/>
      </rPr>
      <t>65</t>
    </r>
    <r>
      <rPr>
        <rFont val="宋体"/>
        <charset val="-122"/>
        <family val="0"/>
        <sz val="9"/>
      </rPr>
      <t>大类。指商品在流通环节中的批发活动和零售活动。</t>
    </r>
  </si>
  <si>
    <r>
      <rPr>
        <rFont val="宋体"/>
        <charset val="-122"/>
        <family val="0"/>
        <sz val="9"/>
      </rPr>
      <t xml:space="preserve">  指批发商向批发、零售单位及其他企业、事业、机关批量销售生活用品和生产资料的活动，以及从事进出口贸易和贸易经纪与代理的活动。批发商可以对所批发的货物拥有所有权，并以本单位、公司的名义进行交易活动；也可以不拥有货物的所有权，而以中介身份做代理销售商。本类还包括各类商品批发市场中固定摊位的批发活动。</t>
    </r>
  </si>
  <si>
    <r>
      <rPr>
        <rFont val="宋体"/>
        <charset val="-122"/>
        <family val="0"/>
        <sz val="9"/>
      </rPr>
      <t xml:space="preserve">  农畜产品批发</t>
    </r>
  </si>
  <si>
    <r>
      <rPr>
        <rFont val="宋体"/>
        <charset val="-122"/>
        <family val="0"/>
        <sz val="9"/>
      </rPr>
      <t xml:space="preserve">  指未经过加工的农作物及牲畜、畜产品的批发和进出口活动。但不包括蔬菜、水果、肉、禽、蛋及水产品的批发和进出口活动。</t>
    </r>
  </si>
  <si>
    <r>
      <rPr>
        <rFont val="宋体"/>
        <charset val="-122"/>
        <family val="0"/>
        <sz val="9"/>
      </rPr>
      <t xml:space="preserve">    谷物、豆及薯类批发</t>
    </r>
  </si>
  <si>
    <r>
      <rPr>
        <rFont val="宋体"/>
        <charset val="-122"/>
        <family val="0"/>
        <sz val="9"/>
      </rPr>
      <t xml:space="preserve">    种子、饲料批发</t>
    </r>
  </si>
  <si>
    <r>
      <rPr>
        <rFont val="宋体"/>
        <charset val="-122"/>
        <family val="0"/>
        <sz val="9"/>
      </rPr>
      <t xml:space="preserve">    棉、麻批发</t>
    </r>
  </si>
  <si>
    <r>
      <rPr>
        <rFont val="宋体"/>
        <charset val="-122"/>
        <family val="0"/>
        <sz val="9"/>
      </rPr>
      <t xml:space="preserve">    牲畜批发</t>
    </r>
  </si>
  <si>
    <r>
      <rPr>
        <rFont val="宋体"/>
        <charset val="-122"/>
        <family val="0"/>
        <sz val="9"/>
      </rPr>
      <t xml:space="preserve">    其他农畜产品批发</t>
    </r>
  </si>
  <si>
    <r>
      <rPr>
        <rFont val="宋体"/>
        <charset val="-122"/>
        <family val="0"/>
        <sz val="9"/>
      </rPr>
      <t xml:space="preserve">  食品、饮料及烟草制品批发</t>
    </r>
  </si>
  <si>
    <r>
      <rPr>
        <rFont val="宋体"/>
        <charset val="-122"/>
        <family val="0"/>
        <sz val="9"/>
      </rPr>
      <t xml:space="preserve">  指经过加工和制造的食品、饮料及烟草制品的批发和进出口活动，以及蔬菜、水果、肉、禽、蛋及水产品的批发和进出口活动。</t>
    </r>
  </si>
  <si>
    <r>
      <rPr>
        <rFont val="宋体"/>
        <charset val="-122"/>
        <family val="0"/>
        <sz val="9"/>
      </rPr>
      <t xml:space="preserve">    米、面制品及食用油批发</t>
    </r>
  </si>
  <si>
    <r>
      <rPr>
        <rFont val="宋体"/>
        <charset val="-122"/>
        <family val="0"/>
        <sz val="9"/>
      </rPr>
      <t xml:space="preserve">    糕点、糖果及糖批发</t>
    </r>
  </si>
  <si>
    <r>
      <rPr>
        <rFont val="宋体"/>
        <charset val="-122"/>
        <family val="0"/>
        <sz val="9"/>
      </rPr>
      <t xml:space="preserve">    果品、蔬菜批发</t>
    </r>
  </si>
  <si>
    <r>
      <rPr>
        <rFont val="宋体"/>
        <charset val="-122"/>
        <family val="0"/>
        <sz val="9"/>
      </rPr>
      <t xml:space="preserve">    肉、禽、蛋及水产品批发</t>
    </r>
  </si>
  <si>
    <r>
      <rPr>
        <rFont val="宋体"/>
        <charset val="-122"/>
        <family val="0"/>
        <sz val="9"/>
      </rPr>
      <t xml:space="preserve">    盐及调味品批发</t>
    </r>
  </si>
  <si>
    <r>
      <rPr>
        <rFont val="宋体"/>
        <charset val="-122"/>
        <family val="0"/>
        <sz val="9"/>
      </rPr>
      <t xml:space="preserve">    饮料及茶叶批发</t>
    </r>
  </si>
  <si>
    <r>
      <rPr>
        <rFont val="宋体"/>
        <charset val="-122"/>
        <family val="0"/>
        <sz val="9"/>
      </rPr>
      <t xml:space="preserve">  指可直接饮用或稀释、冲泡后饮用的饮料及茶叶的批发和进出口活动。</t>
    </r>
  </si>
  <si>
    <r>
      <rPr>
        <rFont val="宋体"/>
        <charset val="-122"/>
        <family val="0"/>
        <sz val="9"/>
      </rPr>
      <t xml:space="preserve">    烟草制品批发</t>
    </r>
  </si>
  <si>
    <r>
      <rPr>
        <rFont val="宋体"/>
        <charset val="-122"/>
        <family val="0"/>
        <sz val="9"/>
      </rPr>
      <t xml:space="preserve">  指经过加工、生产的烟草制品的批发和进出口活动。</t>
    </r>
  </si>
  <si>
    <r>
      <rPr>
        <rFont val="宋体"/>
        <charset val="-122"/>
        <family val="0"/>
        <sz val="9"/>
      </rPr>
      <t xml:space="preserve">    其他食品批发</t>
    </r>
  </si>
  <si>
    <r>
      <rPr>
        <rFont val="宋体"/>
        <charset val="-122"/>
        <family val="0"/>
        <sz val="9"/>
      </rPr>
      <t xml:space="preserve">  纺织、服装及日用品批发</t>
    </r>
  </si>
  <si>
    <r>
      <rPr>
        <rFont val="宋体"/>
        <charset val="-122"/>
        <family val="0"/>
        <sz val="9"/>
      </rPr>
      <t xml:space="preserve">  指纺织面料、纺织品、服装、鞋、帽及日杂品、生活日用品的批发和进出口活动。</t>
    </r>
  </si>
  <si>
    <r>
      <rPr>
        <rFont val="宋体"/>
        <charset val="-122"/>
        <family val="0"/>
        <sz val="9"/>
      </rPr>
      <t xml:space="preserve">    纺织品、针织品及原料批发</t>
    </r>
  </si>
  <si>
    <r>
      <rPr>
        <rFont val="宋体"/>
        <charset val="-122"/>
        <family val="0"/>
        <sz val="9"/>
      </rPr>
      <t xml:space="preserve">    服装批发</t>
    </r>
  </si>
  <si>
    <r>
      <rPr>
        <rFont val="宋体"/>
        <charset val="-122"/>
        <family val="0"/>
        <sz val="9"/>
      </rPr>
      <t xml:space="preserve">    鞋帽批发</t>
    </r>
  </si>
  <si>
    <r>
      <rPr>
        <rFont val="宋体"/>
        <charset val="-122"/>
        <family val="0"/>
        <sz val="9"/>
      </rPr>
      <t xml:space="preserve">    厨房、卫生间用具及日用杂货批发</t>
    </r>
  </si>
  <si>
    <r>
      <rPr>
        <rFont val="宋体"/>
        <charset val="-122"/>
        <family val="0"/>
        <sz val="9"/>
      </rPr>
      <t xml:space="preserve">  指灶具、炊具、厨具、餐具及各种容器、器皿等的批发和进出口活动；卫生间的用品用具和生活用清洁、清扫用品用具等的批发和进出口活动。</t>
    </r>
  </si>
  <si>
    <r>
      <rPr>
        <rFont val="宋体"/>
        <charset val="-122"/>
        <family val="0"/>
        <sz val="9"/>
      </rPr>
      <t xml:space="preserve">    化妆品及卫生用品批发</t>
    </r>
  </si>
  <si>
    <r>
      <rPr>
        <rFont val="宋体"/>
        <charset val="-122"/>
        <family val="0"/>
        <sz val="9"/>
      </rPr>
      <t xml:space="preserve">    其他日用品批发</t>
    </r>
  </si>
  <si>
    <r>
      <rPr>
        <rFont val="宋体"/>
        <charset val="-122"/>
        <family val="0"/>
        <sz val="9"/>
      </rPr>
      <t xml:space="preserve">  指上述未列明的其他生活日用品的批发和进出口活动。</t>
    </r>
  </si>
  <si>
    <r>
      <rPr>
        <rFont val="宋体"/>
        <charset val="-122"/>
        <family val="0"/>
        <sz val="9"/>
      </rPr>
      <t xml:space="preserve">  文化、体育用品及器材批发</t>
    </r>
  </si>
  <si>
    <r>
      <rPr>
        <rFont val="宋体"/>
        <charset val="-122"/>
        <family val="0"/>
        <sz val="9"/>
      </rPr>
      <t xml:space="preserve">  指各类文具用品、体育用品、图书、报刊、音像、电子出版物、首饰、工艺美术品、收藏品及其他文化用品、器材的批发和进出口活动。</t>
    </r>
  </si>
  <si>
    <r>
      <rPr>
        <rFont val="宋体"/>
        <charset val="-122"/>
        <family val="0"/>
        <sz val="9"/>
      </rPr>
      <t xml:space="preserve">    文具用品批发</t>
    </r>
  </si>
  <si>
    <r>
      <rPr>
        <rFont val="宋体"/>
        <charset val="-122"/>
        <family val="0"/>
        <sz val="9"/>
      </rPr>
      <t xml:space="preserve">    体育用品批发</t>
    </r>
  </si>
  <si>
    <r>
      <rPr>
        <rFont val="宋体"/>
        <charset val="-122"/>
        <family val="0"/>
        <sz val="9"/>
      </rPr>
      <t xml:space="preserve">    图书批发</t>
    </r>
  </si>
  <si>
    <r>
      <rPr>
        <rFont val="宋体"/>
        <charset val="-122"/>
        <family val="0"/>
        <sz val="9"/>
      </rPr>
      <t xml:space="preserve">    报刊批发</t>
    </r>
  </si>
  <si>
    <r>
      <rPr>
        <rFont val="宋体"/>
        <charset val="-122"/>
        <family val="0"/>
        <sz val="9"/>
      </rPr>
      <t xml:space="preserve">    音像制品及电子出版物批发</t>
    </r>
  </si>
  <si>
    <r>
      <rPr>
        <rFont val="宋体"/>
        <charset val="-122"/>
        <family val="0"/>
        <sz val="9"/>
      </rPr>
      <t xml:space="preserve">    首饰、工艺品及收藏品批发</t>
    </r>
  </si>
  <si>
    <r>
      <rPr>
        <rFont val="宋体"/>
        <charset val="-122"/>
        <family val="0"/>
        <sz val="9"/>
      </rPr>
      <t xml:space="preserve">    其他文化用品批发</t>
    </r>
  </si>
  <si>
    <r>
      <rPr>
        <rFont val="宋体"/>
        <charset val="-122"/>
        <family val="0"/>
        <sz val="9"/>
      </rPr>
      <t xml:space="preserve">  医药及医疗器材批发</t>
    </r>
  </si>
  <si>
    <r>
      <rPr>
        <rFont val="宋体"/>
        <charset val="-122"/>
        <family val="0"/>
        <sz val="9"/>
      </rPr>
      <t xml:space="preserve">  指各种化学药品、生物药品、中草药材、中成药及医疗器材的批发和进出口活动。包括兽用药的批发和进出口活动。</t>
    </r>
  </si>
  <si>
    <r>
      <rPr>
        <rFont val="宋体"/>
        <charset val="-122"/>
        <family val="0"/>
        <sz val="9"/>
      </rPr>
      <t xml:space="preserve">    西药批发</t>
    </r>
  </si>
  <si>
    <r>
      <rPr>
        <rFont val="宋体"/>
        <charset val="-122"/>
        <family val="0"/>
        <sz val="9"/>
      </rPr>
      <t xml:space="preserve">    中药材及中成药批发</t>
    </r>
  </si>
  <si>
    <r>
      <rPr>
        <rFont val="宋体"/>
        <charset val="-122"/>
        <family val="0"/>
        <sz val="9"/>
      </rPr>
      <t xml:space="preserve">    医疗用品及器材批发</t>
    </r>
  </si>
  <si>
    <r>
      <rPr>
        <rFont val="宋体"/>
        <charset val="-122"/>
        <family val="0"/>
        <sz val="9"/>
      </rPr>
      <t xml:space="preserve">  矿产品、建材及化工产品批发</t>
    </r>
  </si>
  <si>
    <r>
      <rPr>
        <rFont val="宋体"/>
        <charset val="-122"/>
        <family val="0"/>
        <sz val="9"/>
      </rPr>
      <t xml:space="preserve">  指煤及煤制品、石油制品、矿产品及矿物制品、金属材料、建筑材料和化工产品的批发和进出口活动。</t>
    </r>
  </si>
  <si>
    <r>
      <rPr>
        <rFont val="宋体"/>
        <charset val="-122"/>
        <family val="0"/>
        <sz val="9"/>
      </rPr>
      <t xml:space="preserve">    煤炭及制品批发</t>
    </r>
  </si>
  <si>
    <r>
      <rPr>
        <rFont val="宋体"/>
        <charset val="-122"/>
        <family val="0"/>
        <sz val="9"/>
      </rPr>
      <t xml:space="preserve">    石油及制品批发</t>
    </r>
  </si>
  <si>
    <r>
      <rPr>
        <rFont val="宋体"/>
        <charset val="-122"/>
        <family val="0"/>
        <sz val="9"/>
      </rPr>
      <t xml:space="preserve">    非金属矿及制品批发</t>
    </r>
  </si>
  <si>
    <r>
      <rPr>
        <rFont val="宋体"/>
        <charset val="-122"/>
        <family val="0"/>
        <sz val="9"/>
      </rPr>
      <t xml:space="preserve">    金属及金属矿批发</t>
    </r>
  </si>
  <si>
    <r>
      <rPr>
        <rFont val="宋体"/>
        <charset val="-122"/>
        <family val="0"/>
        <sz val="9"/>
      </rPr>
      <t xml:space="preserve">    建材批发</t>
    </r>
    <r>
      <rPr>
        <rFont val="Times New Roman"/>
        <family val="1"/>
        <sz val="9"/>
      </rPr>
      <t xml:space="preserve">  </t>
    </r>
  </si>
  <si>
    <r>
      <rPr>
        <rFont val="宋体"/>
        <charset val="-122"/>
        <family val="0"/>
        <sz val="9"/>
      </rPr>
      <t xml:space="preserve">  指建筑用材料和装饰装修材料的批发和进出口活动。</t>
    </r>
  </si>
  <si>
    <r>
      <rPr>
        <rFont val="宋体"/>
        <charset val="-122"/>
        <family val="0"/>
        <sz val="9"/>
      </rPr>
      <t xml:space="preserve">    化肥批发</t>
    </r>
  </si>
  <si>
    <r>
      <rPr>
        <rFont val="宋体"/>
        <charset val="-122"/>
        <family val="0"/>
        <sz val="9"/>
      </rPr>
      <t xml:space="preserve">    农药批发</t>
    </r>
  </si>
  <si>
    <r>
      <rPr>
        <rFont val="宋体"/>
        <charset val="-122"/>
        <family val="0"/>
        <sz val="9"/>
      </rPr>
      <t xml:space="preserve">    农用薄膜批发</t>
    </r>
  </si>
  <si>
    <r>
      <rPr>
        <rFont val="宋体"/>
        <charset val="-122"/>
        <family val="0"/>
        <sz val="9"/>
      </rPr>
      <t xml:space="preserve">    其他化工产品批发</t>
    </r>
    <r>
      <rPr>
        <rFont val="Times New Roman"/>
        <family val="1"/>
        <sz val="9"/>
      </rPr>
      <t xml:space="preserve">  </t>
    </r>
  </si>
  <si>
    <r>
      <rPr>
        <rFont val="宋体"/>
        <charset val="-122"/>
        <family val="0"/>
        <sz val="9"/>
      </rPr>
      <t xml:space="preserve">  机械设备、五金交电及电子产品批发</t>
    </r>
  </si>
  <si>
    <r>
      <rPr>
        <rFont val="宋体"/>
        <charset val="-122"/>
        <family val="0"/>
        <sz val="9"/>
      </rPr>
      <t xml:space="preserve">  指通用机械、专用设备、交通运输设备、电气机械、五金交电、家用电器、计算机设备、通讯设备、电子产品、仪器仪表及办公用机械的批发和进出口活动。</t>
    </r>
  </si>
  <si>
    <r>
      <rPr>
        <rFont val="宋体"/>
        <charset val="-122"/>
        <family val="0"/>
        <sz val="9"/>
      </rPr>
      <t xml:space="preserve">    农业机械批发</t>
    </r>
  </si>
  <si>
    <r>
      <rPr>
        <rFont val="宋体"/>
        <charset val="-122"/>
        <family val="0"/>
        <sz val="9"/>
      </rPr>
      <t xml:space="preserve">    汽车、摩托车及零配件批发</t>
    </r>
  </si>
  <si>
    <r>
      <rPr>
        <rFont val="宋体"/>
        <charset val="-122"/>
        <family val="0"/>
        <sz val="9"/>
      </rPr>
      <t xml:space="preserve">    五金、交电批发</t>
    </r>
  </si>
  <si>
    <r>
      <rPr>
        <rFont val="宋体"/>
        <charset val="-122"/>
        <family val="0"/>
        <sz val="9"/>
      </rPr>
      <t xml:space="preserve">  指小五金、工具、水暖部件、照明器材、交电用品及材料的批发和进出口活动。</t>
    </r>
  </si>
  <si>
    <r>
      <rPr>
        <rFont val="宋体"/>
        <charset val="-122"/>
        <family val="0"/>
        <sz val="9"/>
      </rPr>
      <t xml:space="preserve">    家用电器批发</t>
    </r>
  </si>
  <si>
    <r>
      <rPr>
        <rFont val="宋体"/>
        <charset val="-122"/>
        <family val="0"/>
        <sz val="9"/>
      </rPr>
      <t xml:space="preserve">    计算机、软件及辅助设备批发</t>
    </r>
  </si>
  <si>
    <r>
      <rPr>
        <rFont val="宋体"/>
        <charset val="-122"/>
        <family val="0"/>
        <sz val="9"/>
      </rPr>
      <t xml:space="preserve">    通讯及广播电视设备批发</t>
    </r>
  </si>
  <si>
    <r>
      <rPr>
        <rFont val="宋体"/>
        <charset val="-122"/>
        <family val="0"/>
        <sz val="9"/>
      </rPr>
      <t xml:space="preserve">  指电信设备、广播电视设备的批发和进出口活动。</t>
    </r>
  </si>
  <si>
    <r>
      <rPr>
        <rFont val="宋体"/>
        <charset val="-122"/>
        <family val="0"/>
        <sz val="9"/>
      </rPr>
      <t xml:space="preserve">    其他机械设备及电子产品批发</t>
    </r>
  </si>
  <si>
    <r>
      <rPr>
        <rFont val="宋体"/>
        <charset val="-122"/>
        <family val="0"/>
        <sz val="9"/>
      </rPr>
      <t xml:space="preserve">  贸易经纪与代理</t>
    </r>
  </si>
  <si>
    <r>
      <rPr>
        <rFont val="宋体"/>
        <charset val="-122"/>
        <family val="0"/>
        <sz val="9"/>
      </rPr>
      <t xml:space="preserve">  指代办商、商品经纪人、拍卖商的活动；专门为某一生产企业做销售代理的活动；为买卖双方提供贸易机会或代表委托人进行商品交易代理活动。</t>
    </r>
  </si>
  <si>
    <r>
      <rPr>
        <rFont val="宋体"/>
        <charset val="-122"/>
        <family val="0"/>
        <sz val="9"/>
      </rPr>
      <t xml:space="preserve">  其他批发</t>
    </r>
  </si>
  <si>
    <r>
      <rPr>
        <rFont val="宋体"/>
        <charset val="-122"/>
        <family val="0"/>
        <sz val="9"/>
      </rPr>
      <t xml:space="preserve">  指上述未包括的批发和进出口活动。</t>
    </r>
  </si>
  <si>
    <r>
      <rPr>
        <rFont val="宋体"/>
        <charset val="-122"/>
        <family val="0"/>
        <sz val="9"/>
      </rPr>
      <t xml:space="preserve">    再生物资回收与批发</t>
    </r>
  </si>
  <si>
    <r>
      <rPr>
        <rFont val="宋体"/>
        <charset val="-122"/>
        <family val="0"/>
        <sz val="9"/>
      </rPr>
      <t xml:space="preserve">  指将可再生的废旧物资回收，并批发给制造企业作初级原料的活动。</t>
    </r>
  </si>
  <si>
    <r>
      <rPr>
        <rFont val="宋体"/>
        <charset val="-122"/>
        <family val="0"/>
        <sz val="9"/>
      </rPr>
      <t xml:space="preserve">    其他未列明的批发</t>
    </r>
  </si>
  <si>
    <r>
      <rPr>
        <rFont val="宋体"/>
        <charset val="-122"/>
        <family val="0"/>
        <sz val="9"/>
      </rPr>
      <t xml:space="preserve">  指百货商店、超级市场、专门零售商店、品牌专卖店、售货摊等主要面向最终消费者（如居民等）的销售活动。包括以互联网、邮政、电话、售货机等方式的销售活动。还包括在同一地点，后面加工生产，前面销售的店铺（如面包房）。谷物、种子、饲料、牲畜、矿产品、生产用原料、化工原料、农用化工产品、机械设备（乘用车、计算机及通信设备除外）等生产资料的销售不作为零售活动。</t>
    </r>
  </si>
  <si>
    <r>
      <rPr>
        <rFont val="宋体"/>
        <charset val="-122"/>
        <family val="0"/>
        <sz val="9"/>
      </rPr>
      <t xml:space="preserve">  综合零售</t>
    </r>
  </si>
  <si>
    <r>
      <rPr>
        <rFont val="宋体"/>
        <charset val="-122"/>
        <family val="0"/>
        <sz val="9"/>
      </rPr>
      <t xml:space="preserve">    百货零售</t>
    </r>
  </si>
  <si>
    <r>
      <rPr>
        <rFont val="宋体"/>
        <charset val="-122"/>
        <family val="0"/>
        <sz val="9"/>
      </rPr>
      <t xml:space="preserve">  指经营的商品品种较齐全，经营规模较大的综合零售活动。</t>
    </r>
  </si>
  <si>
    <r>
      <rPr>
        <rFont val="宋体"/>
        <charset val="-122"/>
        <family val="0"/>
        <sz val="9"/>
      </rPr>
      <t xml:space="preserve">    超级市场零售</t>
    </r>
  </si>
  <si>
    <r>
      <rPr>
        <rFont val="宋体"/>
        <charset val="-122"/>
        <family val="0"/>
        <sz val="9"/>
      </rPr>
      <t xml:space="preserve">  指经营食品、日用品等的超级市场的综合零售活动。</t>
    </r>
  </si>
  <si>
    <r>
      <rPr>
        <rFont val="宋体"/>
        <charset val="-122"/>
        <family val="0"/>
        <sz val="9"/>
      </rPr>
      <t xml:space="preserve">    其他综合零售</t>
    </r>
  </si>
  <si>
    <r>
      <rPr>
        <rFont val="宋体"/>
        <charset val="-122"/>
        <family val="0"/>
        <sz val="9"/>
      </rPr>
      <t xml:space="preserve">  指日用杂品综合零售活动；为方便城乡居民，在街道、社区、乡镇、农村、工矿区、校区、交通要道口、车站、码头、机场等人口稠密地区，开办的小型综合零售店的活动；以小超市形式开办的便利店活动；农村供销社的零售活动。</t>
    </r>
  </si>
  <si>
    <r>
      <rPr>
        <rFont val="宋体"/>
        <charset val="-122"/>
        <family val="0"/>
        <sz val="9"/>
      </rPr>
      <t xml:space="preserve">  食品、饮料及烟草制品专门零售</t>
    </r>
  </si>
  <si>
    <r>
      <rPr>
        <rFont val="宋体"/>
        <charset val="-122"/>
        <family val="0"/>
        <sz val="9"/>
      </rPr>
      <t xml:space="preserve">  指专门经营粮油、食品、饮料及烟草制品的零售活动。包括为方便城乡居民，在人口稠密地区开设的食品零售店。</t>
    </r>
  </si>
  <si>
    <r>
      <rPr>
        <rFont val="宋体"/>
        <charset val="-122"/>
        <family val="0"/>
        <sz val="9"/>
      </rPr>
      <t xml:space="preserve">    粮油零售</t>
    </r>
  </si>
  <si>
    <r>
      <rPr>
        <rFont val="宋体"/>
        <charset val="-122"/>
        <family val="0"/>
        <sz val="9"/>
      </rPr>
      <t xml:space="preserve">    糕点、面包零售</t>
    </r>
  </si>
  <si>
    <r>
      <rPr>
        <rFont val="宋体"/>
        <charset val="-122"/>
        <family val="0"/>
        <sz val="9"/>
      </rPr>
      <t xml:space="preserve">    果品、蔬菜零售</t>
    </r>
  </si>
  <si>
    <r>
      <rPr>
        <rFont val="宋体"/>
        <charset val="-122"/>
        <family val="0"/>
        <sz val="9"/>
      </rPr>
      <t xml:space="preserve">    肉、禽、蛋及水产品零售</t>
    </r>
  </si>
  <si>
    <r>
      <rPr>
        <rFont val="宋体"/>
        <charset val="-122"/>
        <family val="0"/>
        <sz val="9"/>
      </rPr>
      <t xml:space="preserve">    饮料及茶叶零售</t>
    </r>
  </si>
  <si>
    <r>
      <rPr>
        <rFont val="宋体"/>
        <charset val="-122"/>
        <family val="0"/>
        <sz val="9"/>
      </rPr>
      <t xml:space="preserve">  指专门经营茶叶及各种饮料的零售活动。</t>
    </r>
  </si>
  <si>
    <r>
      <rPr>
        <rFont val="宋体"/>
        <charset val="-122"/>
        <family val="0"/>
        <sz val="9"/>
      </rPr>
      <t xml:space="preserve">    烟草制品零售</t>
    </r>
  </si>
  <si>
    <r>
      <rPr>
        <rFont val="宋体"/>
        <charset val="-122"/>
        <family val="0"/>
        <sz val="9"/>
      </rPr>
      <t xml:space="preserve">    其他食品零售</t>
    </r>
  </si>
  <si>
    <r>
      <rPr>
        <rFont val="宋体"/>
        <charset val="-122"/>
        <family val="0"/>
        <sz val="9"/>
      </rPr>
      <t xml:space="preserve">  指上述未列明的食品零售活动。</t>
    </r>
  </si>
  <si>
    <r>
      <rPr>
        <rFont val="宋体"/>
        <charset val="-122"/>
        <family val="0"/>
        <sz val="9"/>
      </rPr>
      <t xml:space="preserve">  纺织、服装及日用品专门零售</t>
    </r>
  </si>
  <si>
    <r>
      <rPr>
        <rFont val="宋体"/>
        <charset val="-122"/>
        <family val="0"/>
        <sz val="9"/>
      </rPr>
      <t xml:space="preserve">  指专门经营纺织面料、纺织品、服装、鞋、帽及各种生活日用品的零售活动。</t>
    </r>
  </si>
  <si>
    <r>
      <rPr>
        <rFont val="宋体"/>
        <charset val="-122"/>
        <family val="0"/>
        <sz val="9"/>
      </rPr>
      <t xml:space="preserve">    纺织品及针织品零售</t>
    </r>
  </si>
  <si>
    <r>
      <rPr>
        <rFont val="宋体"/>
        <charset val="-122"/>
        <family val="0"/>
        <sz val="9"/>
      </rPr>
      <t xml:space="preserve">    服装零售</t>
    </r>
  </si>
  <si>
    <r>
      <rPr>
        <rFont val="宋体"/>
        <charset val="-122"/>
        <family val="0"/>
        <sz val="9"/>
      </rPr>
      <t xml:space="preserve">    鞋帽零售</t>
    </r>
  </si>
  <si>
    <r>
      <rPr>
        <rFont val="宋体"/>
        <charset val="-122"/>
        <family val="0"/>
        <sz val="9"/>
      </rPr>
      <t xml:space="preserve">    钟表、眼镜零售</t>
    </r>
  </si>
  <si>
    <r>
      <rPr>
        <rFont val="宋体"/>
        <charset val="-122"/>
        <family val="0"/>
        <sz val="9"/>
      </rPr>
      <t xml:space="preserve">    化妆品及卫生用品零售</t>
    </r>
  </si>
  <si>
    <r>
      <rPr>
        <rFont val="宋体"/>
        <charset val="-122"/>
        <family val="0"/>
        <sz val="9"/>
      </rPr>
      <t xml:space="preserve">    其他日用品零售</t>
    </r>
  </si>
  <si>
    <r>
      <rPr>
        <rFont val="宋体"/>
        <charset val="-122"/>
        <family val="0"/>
        <sz val="9"/>
      </rPr>
      <t xml:space="preserve">  文化、体育用品及器材专门零售</t>
    </r>
  </si>
  <si>
    <r>
      <rPr>
        <rFont val="宋体"/>
        <charset val="-122"/>
        <family val="0"/>
        <sz val="9"/>
      </rPr>
      <t xml:space="preserve">  指专门经营文具、体育用品、图书、报刊、音像制品、首饰、工艺美术品、收藏品、照相器材及其他文化用品的零售活动。</t>
    </r>
  </si>
  <si>
    <r>
      <rPr>
        <rFont val="宋体"/>
        <charset val="-122"/>
        <family val="0"/>
        <sz val="9"/>
      </rPr>
      <t xml:space="preserve">    文具用品零售</t>
    </r>
  </si>
  <si>
    <r>
      <rPr>
        <rFont val="宋体"/>
        <charset val="-122"/>
        <family val="0"/>
        <sz val="9"/>
      </rPr>
      <t xml:space="preserve">    体育用品零售</t>
    </r>
  </si>
  <si>
    <r>
      <rPr>
        <rFont val="宋体"/>
        <charset val="-122"/>
        <family val="0"/>
        <sz val="9"/>
      </rPr>
      <t xml:space="preserve">    图书零售</t>
    </r>
  </si>
  <si>
    <r>
      <rPr>
        <rFont val="宋体"/>
        <charset val="-122"/>
        <family val="0"/>
        <sz val="9"/>
      </rPr>
      <t xml:space="preserve">    报刊零售</t>
    </r>
    <r>
      <rPr>
        <rFont val="Times New Roman"/>
        <family val="1"/>
        <sz val="9"/>
      </rPr>
      <t xml:space="preserve"> </t>
    </r>
  </si>
  <si>
    <r>
      <rPr>
        <rFont val="宋体"/>
        <charset val="-122"/>
        <family val="0"/>
        <sz val="9"/>
      </rPr>
      <t xml:space="preserve">    音像制品及电子出版物零售</t>
    </r>
  </si>
  <si>
    <r>
      <rPr>
        <rFont val="宋体"/>
        <charset val="-122"/>
        <family val="0"/>
        <sz val="9"/>
      </rPr>
      <t xml:space="preserve">    珠宝首饰零售</t>
    </r>
  </si>
  <si>
    <r>
      <rPr>
        <rFont val="宋体"/>
        <charset val="-122"/>
        <family val="0"/>
        <sz val="9"/>
      </rPr>
      <t xml:space="preserve">    工艺美术品及收藏品零售</t>
    </r>
  </si>
  <si>
    <r>
      <rPr>
        <rFont val="宋体"/>
        <charset val="-122"/>
        <family val="0"/>
        <sz val="9"/>
      </rPr>
      <t xml:space="preserve">  指专门经营具有收藏价值和艺术价值的工艺品、艺术品、古玩、字画、邮品等的零售活动。</t>
    </r>
  </si>
  <si>
    <r>
      <rPr>
        <rFont val="宋体"/>
        <charset val="-122"/>
        <family val="0"/>
        <sz val="9"/>
      </rPr>
      <t xml:space="preserve">    照相器材零售</t>
    </r>
  </si>
  <si>
    <r>
      <rPr>
        <rFont val="宋体"/>
        <charset val="-122"/>
        <family val="0"/>
        <sz val="9"/>
      </rPr>
      <t xml:space="preserve">    其他文化用品零售</t>
    </r>
  </si>
  <si>
    <r>
      <rPr>
        <rFont val="宋体"/>
        <charset val="-122"/>
        <family val="0"/>
        <sz val="9"/>
      </rPr>
      <t xml:space="preserve">  医药及医疗器材专门零售</t>
    </r>
  </si>
  <si>
    <r>
      <rPr>
        <rFont val="宋体"/>
        <charset val="-122"/>
        <family val="0"/>
        <sz val="9"/>
      </rPr>
      <t xml:space="preserve">  指专门经营各种化学药品、生物药品、中草药材、中成药、医疗用品及器材的零售活动。</t>
    </r>
  </si>
  <si>
    <r>
      <rPr>
        <rFont val="宋体"/>
        <charset val="-122"/>
        <family val="0"/>
        <sz val="9"/>
      </rPr>
      <t xml:space="preserve">    药品零售</t>
    </r>
  </si>
  <si>
    <r>
      <rPr>
        <rFont val="宋体"/>
        <charset val="-122"/>
        <family val="0"/>
        <sz val="9"/>
      </rPr>
      <t xml:space="preserve">    医疗用品及器材零售</t>
    </r>
  </si>
  <si>
    <r>
      <rPr>
        <rFont val="宋体"/>
        <charset val="-122"/>
        <family val="0"/>
        <sz val="9"/>
      </rPr>
      <t xml:space="preserve">  汽车、摩托车、燃料及零配件专门零售</t>
    </r>
  </si>
  <si>
    <r>
      <rPr>
        <rFont val="宋体"/>
        <charset val="-122"/>
        <family val="0"/>
        <sz val="9"/>
      </rPr>
      <t xml:space="preserve">  指专门经营汽车、摩托车、汽车部件、汽车零配件及燃料的零售活动。</t>
    </r>
  </si>
  <si>
    <r>
      <rPr>
        <rFont val="宋体"/>
        <charset val="-122"/>
        <family val="0"/>
        <sz val="9"/>
      </rPr>
      <t xml:space="preserve">    汽车零售</t>
    </r>
  </si>
  <si>
    <r>
      <rPr>
        <rFont val="宋体"/>
        <charset val="-122"/>
        <family val="0"/>
        <sz val="9"/>
      </rPr>
      <t xml:space="preserve">  指</t>
    </r>
    <r>
      <rPr>
        <rFont val="Times New Roman"/>
        <family val="1"/>
        <sz val="9"/>
      </rPr>
      <t>9</t>
    </r>
    <r>
      <rPr>
        <rFont val="宋体"/>
        <charset val="-122"/>
        <family val="0"/>
        <sz val="9"/>
      </rPr>
      <t>人以下的乘用车的零售活动。</t>
    </r>
  </si>
  <si>
    <r>
      <rPr>
        <rFont val="宋体"/>
        <charset val="-122"/>
        <family val="0"/>
        <sz val="9"/>
      </rPr>
      <t xml:space="preserve">    汽车零配件零售</t>
    </r>
  </si>
  <si>
    <r>
      <rPr>
        <rFont val="宋体"/>
        <charset val="-122"/>
        <family val="0"/>
        <sz val="9"/>
      </rPr>
      <t xml:space="preserve">    摩托车及零配件零售</t>
    </r>
  </si>
  <si>
    <r>
      <rPr>
        <rFont val="宋体"/>
        <charset val="-122"/>
        <family val="0"/>
        <sz val="9"/>
      </rPr>
      <t xml:space="preserve">    机动车燃料零售</t>
    </r>
  </si>
  <si>
    <r>
      <rPr>
        <rFont val="宋体"/>
        <charset val="-122"/>
        <family val="0"/>
        <sz val="9"/>
      </rPr>
      <t xml:space="preserve">  指专门经营机动车燃料及相关产品（润滑油）的零售活动。</t>
    </r>
  </si>
  <si>
    <r>
      <rPr>
        <rFont val="宋体"/>
        <charset val="-122"/>
        <family val="0"/>
        <sz val="9"/>
      </rPr>
      <t xml:space="preserve">  家用电器及电子产品专门零售</t>
    </r>
    <r>
      <rPr>
        <rFont val="Times New Roman"/>
        <family val="1"/>
        <sz val="9"/>
      </rPr>
      <t xml:space="preserve"> </t>
    </r>
  </si>
  <si>
    <r>
      <rPr>
        <rFont val="宋体"/>
        <charset val="-122"/>
        <family val="0"/>
        <sz val="9"/>
      </rPr>
      <t xml:space="preserve">  指专门经营家用电器和计算机、软件及辅助设备、电子通信设备、电子元器件及办公设备的零售活动。</t>
    </r>
  </si>
  <si>
    <r>
      <rPr>
        <rFont val="宋体"/>
        <charset val="-122"/>
        <family val="0"/>
        <sz val="9"/>
      </rPr>
      <t xml:space="preserve">    家用电器零售</t>
    </r>
  </si>
  <si>
    <r>
      <rPr>
        <rFont val="宋体"/>
        <charset val="-122"/>
        <family val="0"/>
        <sz val="9"/>
      </rPr>
      <t xml:space="preserve">    计算机、软件及辅助设备零售</t>
    </r>
  </si>
  <si>
    <r>
      <rPr>
        <rFont val="宋体"/>
        <charset val="-122"/>
        <family val="0"/>
        <sz val="9"/>
      </rPr>
      <t xml:space="preserve">    通信设备零售</t>
    </r>
  </si>
  <si>
    <r>
      <rPr>
        <rFont val="宋体"/>
        <charset val="-122"/>
        <family val="0"/>
        <sz val="9"/>
      </rPr>
      <t xml:space="preserve">    其他电子产品零售</t>
    </r>
  </si>
  <si>
    <r>
      <rPr>
        <rFont val="宋体"/>
        <charset val="-122"/>
        <family val="0"/>
        <sz val="9"/>
      </rPr>
      <t xml:space="preserve">  五金、家具及室内装修材料专门零售</t>
    </r>
  </si>
  <si>
    <r>
      <rPr>
        <rFont val="宋体"/>
        <charset val="-122"/>
        <family val="0"/>
        <sz val="9"/>
      </rPr>
      <t xml:space="preserve">  指五金用品、家具和装修材料零售店的销售活动，以及在家具、家居装修、建材城（中心）及展销会上设摊位的销售活动。</t>
    </r>
  </si>
  <si>
    <r>
      <rPr>
        <rFont val="宋体"/>
        <charset val="-122"/>
        <family val="0"/>
        <sz val="9"/>
      </rPr>
      <t xml:space="preserve">    五金零售</t>
    </r>
  </si>
  <si>
    <r>
      <rPr>
        <rFont val="宋体"/>
        <charset val="-122"/>
        <family val="0"/>
        <sz val="9"/>
      </rPr>
      <t xml:space="preserve">    家具零售</t>
    </r>
  </si>
  <si>
    <r>
      <rPr>
        <rFont val="宋体"/>
        <charset val="-122"/>
        <family val="0"/>
        <sz val="9"/>
      </rPr>
      <t xml:space="preserve">    涂料零售</t>
    </r>
  </si>
  <si>
    <r>
      <rPr>
        <rFont val="宋体"/>
        <charset val="-122"/>
        <family val="0"/>
        <sz val="9"/>
      </rPr>
      <t xml:space="preserve">    其他室内装修材料零售</t>
    </r>
  </si>
  <si>
    <r>
      <rPr>
        <rFont val="宋体"/>
        <charset val="-122"/>
        <family val="0"/>
        <sz val="9"/>
      </rPr>
      <t xml:space="preserve">  无店铺及其他零售</t>
    </r>
  </si>
  <si>
    <r>
      <rPr>
        <rFont val="宋体"/>
        <charset val="-122"/>
        <family val="0"/>
        <sz val="9"/>
      </rPr>
      <t xml:space="preserve">    流动货摊零售</t>
    </r>
  </si>
  <si>
    <r>
      <rPr>
        <rFont val="宋体"/>
        <charset val="-122"/>
        <family val="0"/>
        <sz val="9"/>
      </rPr>
      <t xml:space="preserve">  指无固定场所的流动性销售产品的活动。</t>
    </r>
  </si>
  <si>
    <r>
      <rPr>
        <rFont val="宋体"/>
        <charset val="-122"/>
        <family val="0"/>
        <sz val="9"/>
      </rPr>
      <t xml:space="preserve">    邮购及电子销售</t>
    </r>
  </si>
  <si>
    <r>
      <rPr>
        <rFont val="宋体"/>
        <charset val="-122"/>
        <family val="0"/>
        <sz val="9"/>
      </rPr>
      <t xml:space="preserve">  指通过邮政及现代通讯工具（如互联网、电视、电话等）进行销售，并送货上门的零售活动。</t>
    </r>
  </si>
  <si>
    <r>
      <rPr>
        <rFont val="宋体"/>
        <charset val="-122"/>
        <family val="0"/>
        <sz val="9"/>
      </rPr>
      <t xml:space="preserve">    生活用燃料零售</t>
    </r>
  </si>
  <si>
    <r>
      <rPr>
        <rFont val="宋体"/>
        <charset val="-122"/>
        <family val="0"/>
        <sz val="9"/>
      </rPr>
      <t xml:space="preserve">    花卉零售</t>
    </r>
  </si>
  <si>
    <r>
      <rPr>
        <rFont val="宋体"/>
        <charset val="-122"/>
        <family val="0"/>
        <sz val="9"/>
      </rPr>
      <t xml:space="preserve">    旧货零售</t>
    </r>
  </si>
  <si>
    <r>
      <rPr>
        <rFont val="宋体"/>
        <charset val="-122"/>
        <family val="0"/>
        <sz val="9"/>
      </rPr>
      <t xml:space="preserve">    其他未列明的零售</t>
    </r>
  </si>
  <si>
    <r>
      <rPr>
        <rFont val="宋体"/>
        <charset val="-122"/>
        <family val="0"/>
        <sz val="9"/>
      </rPr>
      <t xml:space="preserve">  本类包括</t>
    </r>
    <r>
      <rPr>
        <rFont val="Times New Roman"/>
        <family val="1"/>
        <sz val="9"/>
      </rPr>
      <t>66</t>
    </r>
    <r>
      <rPr>
        <rFont val="宋体"/>
        <charset val="-122"/>
        <family val="0"/>
        <sz val="9"/>
      </rPr>
      <t>和</t>
    </r>
    <r>
      <rPr>
        <rFont val="Times New Roman"/>
        <family val="1"/>
        <sz val="9"/>
      </rPr>
      <t>67</t>
    </r>
    <r>
      <rPr>
        <rFont val="宋体"/>
        <charset val="-122"/>
        <family val="0"/>
        <sz val="9"/>
      </rPr>
      <t>大类。</t>
    </r>
  </si>
  <si>
    <r>
      <rPr>
        <rFont val="宋体"/>
        <charset val="-122"/>
        <family val="0"/>
        <sz val="9"/>
      </rPr>
      <t xml:space="preserve">  指有偿为顾客提供临时住宿的服务活动。</t>
    </r>
  </si>
  <si>
    <r>
      <rPr>
        <rFont val="宋体"/>
        <charset val="-122"/>
        <family val="0"/>
        <sz val="9"/>
      </rPr>
      <t xml:space="preserve">  旅游饭店</t>
    </r>
  </si>
  <si>
    <r>
      <rPr>
        <rFont val="宋体"/>
        <charset val="-122"/>
        <family val="0"/>
        <sz val="9"/>
      </rPr>
      <t xml:space="preserve">  指按照国家有关规定评定的旅游饭店或具有同等质量、水平的饭店活动。</t>
    </r>
  </si>
  <si>
    <r>
      <rPr>
        <rFont val="宋体"/>
        <charset val="-122"/>
        <family val="0"/>
        <sz val="9"/>
      </rPr>
      <t xml:space="preserve">  一般旅馆</t>
    </r>
  </si>
  <si>
    <r>
      <rPr>
        <rFont val="宋体"/>
        <charset val="-122"/>
        <family val="0"/>
        <sz val="9"/>
      </rPr>
      <t xml:space="preserve">  指不具备评定旅游饭店和同等水平饭店的一般旅馆的活动。</t>
    </r>
  </si>
  <si>
    <r>
      <rPr>
        <rFont val="宋体"/>
        <charset val="-122"/>
        <family val="0"/>
        <sz val="9"/>
      </rPr>
      <t xml:space="preserve">  其他住宿服务</t>
    </r>
  </si>
  <si>
    <r>
      <rPr>
        <rFont val="宋体"/>
        <charset val="-122"/>
        <family val="0"/>
        <sz val="9"/>
      </rPr>
      <t xml:space="preserve">  指上述未列明的住宿服务。</t>
    </r>
  </si>
  <si>
    <r>
      <rPr>
        <rFont val="宋体"/>
        <charset val="-122"/>
        <family val="0"/>
        <sz val="9"/>
      </rPr>
      <t xml:space="preserve">  指在一定场所，对食物进行现场烹饪、调制，并出售给顾客主要供现场消费的服务活动。</t>
    </r>
  </si>
  <si>
    <r>
      <rPr>
        <rFont val="宋体"/>
        <charset val="-122"/>
        <family val="0"/>
        <sz val="9"/>
      </rPr>
      <t xml:space="preserve">  正餐服务</t>
    </r>
  </si>
  <si>
    <r>
      <rPr>
        <rFont val="宋体"/>
        <charset val="-122"/>
        <family val="0"/>
        <sz val="9"/>
      </rPr>
      <t xml:space="preserve">  指提供各种中西式炒菜和主食，并由服务员送餐上桌的餐饮服务。</t>
    </r>
  </si>
  <si>
    <r>
      <rPr>
        <rFont val="宋体"/>
        <charset val="-122"/>
        <family val="0"/>
        <sz val="9"/>
      </rPr>
      <t xml:space="preserve">  快餐服务</t>
    </r>
  </si>
  <si>
    <r>
      <rPr>
        <rFont val="宋体"/>
        <charset val="-122"/>
        <family val="0"/>
        <sz val="9"/>
      </rPr>
      <t xml:space="preserve">  饮料及冷饮服务</t>
    </r>
  </si>
  <si>
    <r>
      <rPr>
        <rFont val="宋体"/>
        <charset val="-122"/>
        <family val="0"/>
        <sz val="9"/>
      </rPr>
      <t xml:space="preserve">  指以提供饮料和冷饮为主的服务。</t>
    </r>
  </si>
  <si>
    <r>
      <rPr>
        <rFont val="宋体"/>
        <charset val="-122"/>
        <family val="0"/>
        <sz val="9"/>
      </rPr>
      <t xml:space="preserve">  其他餐饮服务</t>
    </r>
  </si>
  <si>
    <r>
      <rPr>
        <rFont val="宋体"/>
        <charset val="-122"/>
        <family val="0"/>
        <sz val="9"/>
      </rPr>
      <t xml:space="preserve">  指上述未列明的餐饮服务。</t>
    </r>
  </si>
  <si>
    <r>
      <rPr>
        <rFont val="宋体"/>
        <charset val="-122"/>
        <family val="0"/>
        <sz val="9"/>
      </rPr>
      <t xml:space="preserve">  本类包括</t>
    </r>
    <r>
      <rPr>
        <rFont val="Times New Roman"/>
        <family val="1"/>
        <sz val="9"/>
      </rPr>
      <t>68</t>
    </r>
    <r>
      <rPr>
        <rFont val="宋体"/>
        <charset val="-122"/>
        <family val="0"/>
        <sz val="9"/>
      </rPr>
      <t>—</t>
    </r>
    <r>
      <rPr>
        <rFont val="Times New Roman"/>
        <family val="1"/>
        <sz val="9"/>
      </rPr>
      <t xml:space="preserve">71  </t>
    </r>
    <r>
      <rPr>
        <rFont val="宋体"/>
        <charset val="-122"/>
        <family val="0"/>
        <sz val="9"/>
      </rPr>
      <t>大类。</t>
    </r>
  </si>
  <si>
    <r>
      <rPr>
        <rFont val="宋体"/>
        <charset val="-122"/>
        <family val="0"/>
        <sz val="9"/>
      </rPr>
      <t xml:space="preserve">  中央银行</t>
    </r>
  </si>
  <si>
    <r>
      <rPr>
        <rFont val="宋体"/>
        <charset val="-122"/>
        <family val="0"/>
        <sz val="9"/>
      </rPr>
      <t xml:space="preserve">  指代表政府管理金融活动，并制定和执行货币政策的特殊金融机构的活动。</t>
    </r>
  </si>
  <si>
    <r>
      <rPr>
        <rFont val="宋体"/>
        <charset val="-122"/>
        <family val="0"/>
        <sz val="9"/>
      </rPr>
      <t xml:space="preserve">  商业银行</t>
    </r>
  </si>
  <si>
    <r>
      <rPr>
        <rFont val="宋体"/>
        <charset val="-122"/>
        <family val="0"/>
        <sz val="9"/>
      </rPr>
      <t xml:space="preserve">  指国有独资商业银行、股份制银行、城市商业银行、城市信用社、农村信用社等的活动。</t>
    </r>
  </si>
  <si>
    <r>
      <rPr>
        <rFont val="宋体"/>
        <charset val="-122"/>
        <family val="0"/>
        <sz val="9"/>
      </rPr>
      <t xml:space="preserve">  其他银行</t>
    </r>
  </si>
  <si>
    <r>
      <rPr>
        <rFont val="宋体"/>
        <charset val="-122"/>
        <family val="0"/>
        <sz val="9"/>
      </rPr>
      <t xml:space="preserve">  指政策性银行的活动。</t>
    </r>
  </si>
  <si>
    <r>
      <rPr>
        <rFont val="宋体"/>
        <charset val="-122"/>
        <family val="0"/>
        <sz val="9"/>
      </rPr>
      <t xml:space="preserve">  指对股票、债券、期货及其他有价证券的投资交易活动。</t>
    </r>
  </si>
  <si>
    <r>
      <rPr>
        <rFont val="宋体"/>
        <charset val="-122"/>
        <family val="0"/>
        <sz val="9"/>
      </rPr>
      <t xml:space="preserve">  证券市场管理</t>
    </r>
  </si>
  <si>
    <r>
      <rPr>
        <rFont val="宋体"/>
        <charset val="-122"/>
        <family val="0"/>
        <sz val="9"/>
      </rPr>
      <t xml:space="preserve">  指证券、期货市场的管理和监督活动。</t>
    </r>
  </si>
  <si>
    <r>
      <rPr>
        <rFont val="宋体"/>
        <charset val="-122"/>
        <family val="0"/>
        <sz val="9"/>
      </rPr>
      <t xml:space="preserve">  证券经纪与交易</t>
    </r>
  </si>
  <si>
    <r>
      <rPr>
        <rFont val="宋体"/>
        <charset val="-122"/>
        <family val="0"/>
        <sz val="9"/>
      </rPr>
      <t xml:space="preserve">  指证券、期货经纪代理人的代理交易活动；证券、基金的管理等活动；证券营业部的管理活动。</t>
    </r>
  </si>
  <si>
    <r>
      <rPr>
        <rFont val="宋体"/>
        <charset val="-122"/>
        <family val="0"/>
        <sz val="9"/>
      </rPr>
      <t xml:space="preserve">  证券投资</t>
    </r>
  </si>
  <si>
    <r>
      <rPr>
        <rFont val="宋体"/>
        <charset val="-122"/>
        <family val="0"/>
        <sz val="9"/>
      </rPr>
      <t xml:space="preserve">  指在证券市场从事股票、基金、债券、期货及其他有价证券的投资等活动。</t>
    </r>
  </si>
  <si>
    <r>
      <rPr>
        <rFont val="宋体"/>
        <charset val="-122"/>
        <family val="0"/>
        <sz val="9"/>
      </rPr>
      <t xml:space="preserve">  证券分析与咨询</t>
    </r>
  </si>
  <si>
    <r>
      <rPr>
        <rFont val="宋体"/>
        <charset val="-122"/>
        <family val="0"/>
        <sz val="9"/>
      </rPr>
      <t xml:space="preserve">  人寿保险</t>
    </r>
  </si>
  <si>
    <r>
      <rPr>
        <rFont val="宋体"/>
        <charset val="-122"/>
        <family val="0"/>
        <sz val="9"/>
      </rPr>
      <t xml:space="preserve">  指主要提供养老等人寿保险和再保险的活动。</t>
    </r>
  </si>
  <si>
    <r>
      <rPr>
        <rFont val="宋体"/>
        <charset val="-122"/>
        <family val="0"/>
        <sz val="9"/>
      </rPr>
      <t xml:space="preserve">  非人寿保险</t>
    </r>
  </si>
  <si>
    <r>
      <rPr>
        <rFont val="宋体"/>
        <charset val="-122"/>
        <family val="0"/>
        <sz val="9"/>
      </rPr>
      <t xml:space="preserve">  指主要提供除人寿险以外的保险活动和再保险活动。</t>
    </r>
  </si>
  <si>
    <r>
      <rPr>
        <rFont val="宋体"/>
        <charset val="-122"/>
        <family val="0"/>
        <sz val="9"/>
      </rPr>
      <t xml:space="preserve">  保险辅助服务</t>
    </r>
  </si>
  <si>
    <r>
      <rPr>
        <rFont val="宋体"/>
        <charset val="-122"/>
        <family val="0"/>
        <sz val="9"/>
      </rPr>
      <t xml:space="preserve">  指保险代理、评估、监督、咨询等活动。</t>
    </r>
  </si>
  <si>
    <r>
      <rPr>
        <rFont val="宋体"/>
        <charset val="-122"/>
        <family val="0"/>
        <sz val="9"/>
      </rPr>
      <t xml:space="preserve">  指银行、证券、保险以外的金融活动。</t>
    </r>
  </si>
  <si>
    <r>
      <rPr>
        <rFont val="宋体"/>
        <charset val="-122"/>
        <family val="0"/>
        <sz val="9"/>
      </rPr>
      <t xml:space="preserve">  金融信托与管理</t>
    </r>
    <r>
      <rPr>
        <rFont val="Times New Roman"/>
        <family val="1"/>
        <sz val="9"/>
      </rPr>
      <t xml:space="preserve"> </t>
    </r>
  </si>
  <si>
    <r>
      <rPr>
        <rFont val="宋体"/>
        <charset val="-122"/>
        <family val="0"/>
        <sz val="9"/>
      </rPr>
      <t xml:space="preserve">  指代理资金、财产的信托、管理活动，以及基金的托管人活动。</t>
    </r>
  </si>
  <si>
    <r>
      <rPr>
        <rFont val="宋体"/>
        <charset val="-122"/>
        <family val="0"/>
        <sz val="9"/>
      </rPr>
      <t xml:space="preserve">  金融租赁</t>
    </r>
  </si>
  <si>
    <r>
      <rPr>
        <rFont val="宋体"/>
        <charset val="-122"/>
        <family val="0"/>
        <sz val="9"/>
      </rPr>
      <t xml:space="preserve">  财务公司</t>
    </r>
  </si>
  <si>
    <r>
      <rPr>
        <rFont val="宋体"/>
        <charset val="-122"/>
        <family val="0"/>
        <sz val="9"/>
      </rPr>
      <t xml:space="preserve">  指经人民银行批准，为企业融资服务的金融活动。</t>
    </r>
  </si>
  <si>
    <r>
      <rPr>
        <rFont val="宋体"/>
        <charset val="-122"/>
        <family val="0"/>
        <sz val="9"/>
      </rPr>
      <t xml:space="preserve">  邮政储蓄</t>
    </r>
  </si>
  <si>
    <r>
      <rPr>
        <rFont val="宋体"/>
        <charset val="-122"/>
        <family val="0"/>
        <sz val="9"/>
      </rPr>
      <t xml:space="preserve">  典当</t>
    </r>
  </si>
  <si>
    <r>
      <rPr>
        <rFont val="宋体"/>
        <charset val="-122"/>
        <family val="0"/>
        <sz val="9"/>
      </rPr>
      <t xml:space="preserve">  指以实物质押的放款活动。</t>
    </r>
  </si>
  <si>
    <r>
      <rPr>
        <rFont val="宋体"/>
        <charset val="-122"/>
        <family val="0"/>
        <sz val="9"/>
      </rPr>
      <t xml:space="preserve">  其他未列明的金融活动</t>
    </r>
  </si>
  <si>
    <r>
      <rPr>
        <rFont val="宋体"/>
        <charset val="-122"/>
        <family val="0"/>
        <sz val="9"/>
      </rPr>
      <t xml:space="preserve">  指上述未列明的金融活动。</t>
    </r>
  </si>
  <si>
    <r>
      <rPr>
        <rFont val="宋体"/>
        <charset val="-122"/>
        <family val="0"/>
        <sz val="9"/>
      </rPr>
      <t xml:space="preserve">  房地产开发经营</t>
    </r>
  </si>
  <si>
    <r>
      <rPr>
        <rFont val="宋体"/>
        <charset val="-122"/>
        <family val="0"/>
        <sz val="9"/>
      </rPr>
      <t xml:space="preserve">  指房地产开发企业进行的基础设施建设、房屋建设，并转让房地产开发项目或者销售、出租商品房的活动。</t>
    </r>
  </si>
  <si>
    <r>
      <rPr>
        <rFont val="宋体"/>
        <charset val="-122"/>
        <family val="0"/>
        <sz val="9"/>
      </rPr>
      <t xml:space="preserve">  物业管理</t>
    </r>
  </si>
  <si>
    <r>
      <rPr>
        <rFont val="宋体"/>
        <charset val="-122"/>
        <family val="0"/>
        <sz val="9"/>
      </rPr>
      <t xml:space="preserve">  指物业管理企业依照合同约定，对物业进行专业化维修、养护、管理，以及对相关区域内的环境、公共秩序等进行管理，并提供相关服务的活动。</t>
    </r>
  </si>
  <si>
    <r>
      <rPr>
        <rFont val="宋体"/>
        <charset val="-122"/>
        <family val="0"/>
        <sz val="9"/>
      </rPr>
      <t xml:space="preserve">  房地产中介服务</t>
    </r>
  </si>
  <si>
    <r>
      <rPr>
        <rFont val="宋体"/>
        <charset val="-122"/>
        <family val="0"/>
        <sz val="9"/>
      </rPr>
      <t xml:space="preserve">  指房地产咨询、房地产价格评估、房地产经纪等活动。</t>
    </r>
  </si>
  <si>
    <r>
      <rPr>
        <rFont val="宋体"/>
        <charset val="-122"/>
        <family val="0"/>
        <sz val="9"/>
      </rPr>
      <t xml:space="preserve">  其他房地产活动</t>
    </r>
  </si>
  <si>
    <r>
      <rPr>
        <rFont val="宋体"/>
        <charset val="-122"/>
        <family val="0"/>
        <sz val="9"/>
      </rPr>
      <t xml:space="preserve">  本类包括</t>
    </r>
    <r>
      <rPr>
        <rFont val="Times New Roman"/>
        <family val="1"/>
        <sz val="9"/>
      </rPr>
      <t>73</t>
    </r>
    <r>
      <rPr>
        <rFont val="宋体"/>
        <charset val="-122"/>
        <family val="0"/>
        <sz val="9"/>
      </rPr>
      <t>和</t>
    </r>
    <r>
      <rPr>
        <rFont val="Times New Roman"/>
        <family val="1"/>
        <sz val="9"/>
      </rPr>
      <t>74</t>
    </r>
    <r>
      <rPr>
        <rFont val="宋体"/>
        <charset val="-122"/>
        <family val="0"/>
        <sz val="9"/>
      </rPr>
      <t>大类。</t>
    </r>
  </si>
  <si>
    <r>
      <rPr>
        <rFont val="宋体"/>
        <charset val="-122"/>
        <family val="0"/>
        <sz val="9"/>
      </rPr>
      <t xml:space="preserve">  机械设备租赁</t>
    </r>
  </si>
  <si>
    <r>
      <rPr>
        <rFont val="宋体"/>
        <charset val="-122"/>
        <family val="0"/>
        <sz val="9"/>
      </rPr>
      <t xml:space="preserve">  指不配备操作人员的机械设备的租赁服务。</t>
    </r>
  </si>
  <si>
    <r>
      <rPr>
        <rFont val="宋体"/>
        <charset val="-122"/>
        <family val="0"/>
        <sz val="9"/>
      </rPr>
      <t xml:space="preserve">    汽车租赁</t>
    </r>
  </si>
  <si>
    <r>
      <rPr>
        <rFont val="宋体"/>
        <charset val="-122"/>
        <family val="0"/>
        <sz val="9"/>
      </rPr>
      <t xml:space="preserve">    农业机械租赁</t>
    </r>
  </si>
  <si>
    <r>
      <rPr>
        <rFont val="宋体"/>
        <charset val="-122"/>
        <family val="0"/>
        <sz val="9"/>
      </rPr>
      <t xml:space="preserve">    建筑工程机械与设备租赁</t>
    </r>
  </si>
  <si>
    <r>
      <rPr>
        <rFont val="宋体"/>
        <charset val="-122"/>
        <family val="0"/>
        <sz val="9"/>
      </rPr>
      <t xml:space="preserve">    计算机及通讯设备租赁</t>
    </r>
  </si>
  <si>
    <r>
      <rPr>
        <rFont val="宋体"/>
        <charset val="-122"/>
        <family val="0"/>
        <sz val="9"/>
      </rPr>
      <t xml:space="preserve">    其他机械与设备租赁</t>
    </r>
  </si>
  <si>
    <r>
      <rPr>
        <rFont val="宋体"/>
        <charset val="-122"/>
        <family val="0"/>
        <sz val="9"/>
      </rPr>
      <t xml:space="preserve">  文化及日用品出租</t>
    </r>
  </si>
  <si>
    <r>
      <rPr>
        <rFont val="宋体"/>
        <charset val="-122"/>
        <family val="0"/>
        <sz val="9"/>
      </rPr>
      <t xml:space="preserve">    图书及音像制品出租</t>
    </r>
  </si>
  <si>
    <r>
      <rPr>
        <rFont val="宋体"/>
        <charset val="-122"/>
        <family val="0"/>
        <sz val="9"/>
      </rPr>
      <t xml:space="preserve">    其他文化及日用品出租</t>
    </r>
  </si>
  <si>
    <r>
      <rPr>
        <rFont val="宋体"/>
        <charset val="-122"/>
        <family val="0"/>
        <sz val="9"/>
      </rPr>
      <t xml:space="preserve">  企业管理服务</t>
    </r>
  </si>
  <si>
    <r>
      <rPr>
        <rFont val="宋体"/>
        <charset val="-122"/>
        <family val="0"/>
        <sz val="9"/>
      </rPr>
      <t xml:space="preserve">    企业管理机构</t>
    </r>
  </si>
  <si>
    <r>
      <rPr>
        <rFont val="宋体"/>
        <charset val="-122"/>
        <family val="0"/>
        <sz val="9"/>
      </rPr>
      <t xml:space="preserve">  指不具体从事对外经营业务，只负责企业的重大决策、资产管理，协调管理下属各机构和内部日常工作的企业总部的活动，其对外经营业务由下属的独立核算单位或单独核算单位承担。</t>
    </r>
  </si>
  <si>
    <r>
      <rPr>
        <rFont val="宋体"/>
        <charset val="-122"/>
        <family val="0"/>
        <sz val="9"/>
      </rPr>
      <t xml:space="preserve">    投资与资产管理</t>
    </r>
  </si>
  <si>
    <r>
      <rPr>
        <rFont val="宋体"/>
        <charset val="-122"/>
        <family val="0"/>
        <sz val="9"/>
      </rPr>
      <t xml:space="preserve">  指政府主管部门转变职能后，成立的国有资产管理机构和行业管理机构的活动；非金融性投资活动。</t>
    </r>
  </si>
  <si>
    <r>
      <rPr>
        <rFont val="宋体"/>
        <charset val="-122"/>
        <family val="0"/>
        <sz val="9"/>
      </rPr>
      <t xml:space="preserve">    其他企业管理服务</t>
    </r>
  </si>
  <si>
    <r>
      <rPr>
        <rFont val="宋体"/>
        <charset val="-122"/>
        <family val="0"/>
        <sz val="9"/>
      </rPr>
      <t xml:space="preserve">  指其他各类企业管理机构、派出机构，以及为企事业、机关提供后勤服务的活动。</t>
    </r>
  </si>
  <si>
    <r>
      <rPr>
        <rFont val="宋体"/>
        <charset val="-122"/>
        <family val="0"/>
        <sz val="9"/>
      </rPr>
      <t xml:space="preserve">  法律服务</t>
    </r>
  </si>
  <si>
    <r>
      <rPr>
        <rFont val="宋体"/>
        <charset val="-122"/>
        <family val="0"/>
        <sz val="9"/>
      </rPr>
      <t xml:space="preserve">  指律师、公证、仲裁、调解等活动。</t>
    </r>
  </si>
  <si>
    <r>
      <rPr>
        <rFont val="宋体"/>
        <charset val="-122"/>
        <family val="0"/>
        <sz val="9"/>
      </rPr>
      <t xml:space="preserve">    律师及相关的法律服务</t>
    </r>
  </si>
  <si>
    <r>
      <rPr>
        <rFont val="宋体"/>
        <charset val="-122"/>
        <family val="0"/>
        <sz val="9"/>
      </rPr>
      <t xml:space="preserve">  指在民事案件、刑事案件和其他案件中，为原被告双方提供法律代理服务，以及为一般的民事行为提供法律咨询与服务。</t>
    </r>
  </si>
  <si>
    <r>
      <rPr>
        <rFont val="宋体"/>
        <charset val="-122"/>
        <family val="0"/>
        <sz val="9"/>
      </rPr>
      <t xml:space="preserve">    公证服务</t>
    </r>
  </si>
  <si>
    <r>
      <rPr>
        <rFont val="宋体"/>
        <charset val="-122"/>
        <family val="0"/>
        <sz val="9"/>
      </rPr>
      <t xml:space="preserve">    其他法律服务</t>
    </r>
  </si>
  <si>
    <r>
      <rPr>
        <rFont val="宋体"/>
        <charset val="-122"/>
        <family val="0"/>
        <sz val="9"/>
      </rPr>
      <t xml:space="preserve">  咨询与调查</t>
    </r>
  </si>
  <si>
    <r>
      <rPr>
        <rFont val="宋体"/>
        <charset val="-122"/>
        <family val="0"/>
        <sz val="9"/>
      </rPr>
      <t xml:space="preserve">    会计、审计及税务服务</t>
    </r>
  </si>
  <si>
    <r>
      <rPr>
        <rFont val="宋体"/>
        <charset val="-122"/>
        <family val="0"/>
        <sz val="9"/>
      </rPr>
      <t xml:space="preserve">    市场调查</t>
    </r>
  </si>
  <si>
    <r>
      <rPr>
        <rFont val="宋体"/>
        <charset val="-122"/>
        <family val="0"/>
        <sz val="9"/>
      </rPr>
      <t xml:space="preserve">    社会经济咨询</t>
    </r>
  </si>
  <si>
    <r>
      <rPr>
        <rFont val="宋体"/>
        <charset val="-122"/>
        <family val="0"/>
        <sz val="9"/>
      </rPr>
      <t xml:space="preserve">    其他专业咨询</t>
    </r>
  </si>
  <si>
    <r>
      <rPr>
        <rFont val="宋体"/>
        <charset val="-122"/>
        <family val="0"/>
        <sz val="9"/>
      </rPr>
      <t xml:space="preserve">  指社会经济咨询以外的其他专业咨询活动。</t>
    </r>
  </si>
  <si>
    <r>
      <rPr>
        <rFont val="宋体"/>
        <charset val="-122"/>
        <family val="0"/>
        <sz val="9"/>
      </rPr>
      <t xml:space="preserve">  广告业</t>
    </r>
  </si>
  <si>
    <r>
      <rPr>
        <rFont val="宋体"/>
        <charset val="-122"/>
        <family val="0"/>
        <sz val="9"/>
      </rPr>
      <t xml:space="preserve">  指在报纸、期刊、路牌、灯箱、橱窗、互联网、通讯设备及广播电影电视等媒介上为客户策划、制作的有偿宣传活动。</t>
    </r>
  </si>
  <si>
    <r>
      <rPr>
        <rFont val="宋体"/>
        <charset val="-122"/>
        <family val="0"/>
        <sz val="9"/>
      </rPr>
      <t xml:space="preserve">  知识产权服务</t>
    </r>
  </si>
  <si>
    <r>
      <rPr>
        <rFont val="宋体"/>
        <charset val="-122"/>
        <family val="0"/>
        <sz val="9"/>
      </rPr>
      <t xml:space="preserve">  指对专利、商标、版权、著作权、软件、集成电路布图设计等的代理、转让、登记、鉴定、评估、认证、咨询、检索等活动。</t>
    </r>
  </si>
  <si>
    <r>
      <rPr>
        <rFont val="宋体"/>
        <charset val="-122"/>
        <family val="0"/>
        <sz val="9"/>
      </rPr>
      <t xml:space="preserve">  职业中介服务</t>
    </r>
  </si>
  <si>
    <r>
      <rPr>
        <rFont val="宋体"/>
        <charset val="-122"/>
        <family val="0"/>
        <sz val="9"/>
      </rPr>
      <t xml:space="preserve">  指为求职者寻找、选择、介绍、安置工作；为用人单位提供劳动力；提供职业技能鉴定及其他职业中介活动。</t>
    </r>
  </si>
  <si>
    <r>
      <rPr>
        <rFont val="宋体"/>
        <charset val="-122"/>
        <family val="0"/>
        <sz val="9"/>
      </rPr>
      <t xml:space="preserve">  市场管理</t>
    </r>
  </si>
  <si>
    <r>
      <rPr>
        <rFont val="宋体"/>
        <charset val="-122"/>
        <family val="0"/>
        <sz val="9"/>
      </rPr>
      <t xml:space="preserve">  指各种交易市场的管理活动。</t>
    </r>
  </si>
  <si>
    <r>
      <rPr>
        <rFont val="宋体"/>
        <charset val="-122"/>
        <family val="0"/>
        <sz val="9"/>
      </rPr>
      <t xml:space="preserve">  旅行社</t>
    </r>
  </si>
  <si>
    <r>
      <rPr>
        <rFont val="宋体"/>
        <charset val="-122"/>
        <family val="0"/>
        <sz val="9"/>
      </rPr>
      <t xml:space="preserve">  指为社会各界提供商务、组团和散客旅游的服务。包括向顾客提供咨询、旅游计划和建议、日程安排、导游、食宿和交通等服务。</t>
    </r>
  </si>
  <si>
    <r>
      <rPr>
        <rFont val="宋体"/>
        <charset val="-122"/>
        <family val="0"/>
        <sz val="9"/>
      </rPr>
      <t xml:space="preserve">  其他商务服务</t>
    </r>
  </si>
  <si>
    <r>
      <rPr>
        <rFont val="宋体"/>
        <charset val="-122"/>
        <family val="0"/>
        <sz val="9"/>
      </rPr>
      <t xml:space="preserve">    会议及展览服务</t>
    </r>
  </si>
  <si>
    <r>
      <rPr>
        <rFont val="宋体"/>
        <charset val="-122"/>
        <family val="0"/>
        <sz val="9"/>
      </rPr>
      <t xml:space="preserve">  指为商品流通、促销、展示、经贸洽谈、民间交流、企业沟通、国际往来而举办的展览和会议等活动。</t>
    </r>
  </si>
  <si>
    <r>
      <rPr>
        <rFont val="宋体"/>
        <charset val="-122"/>
        <family val="0"/>
        <sz val="9"/>
      </rPr>
      <t xml:space="preserve">    包装服务</t>
    </r>
  </si>
  <si>
    <r>
      <rPr>
        <rFont val="宋体"/>
        <charset val="-122"/>
        <family val="0"/>
        <sz val="9"/>
      </rPr>
      <t xml:space="preserve">  指有偿或按协议为客户提供的包装服务。</t>
    </r>
  </si>
  <si>
    <r>
      <rPr>
        <rFont val="宋体"/>
        <charset val="-122"/>
        <family val="0"/>
        <sz val="9"/>
      </rPr>
      <t xml:space="preserve">    保安服务</t>
    </r>
  </si>
  <si>
    <r>
      <rPr>
        <rFont val="宋体"/>
        <charset val="-122"/>
        <family val="0"/>
        <sz val="9"/>
      </rPr>
      <t xml:space="preserve">  指为社会提供的专业化、有偿安全防范服务活动。</t>
    </r>
  </si>
  <si>
    <r>
      <rPr>
        <rFont val="宋体"/>
        <charset val="-122"/>
        <family val="0"/>
        <sz val="9"/>
      </rPr>
      <t xml:space="preserve">    办公服务</t>
    </r>
  </si>
  <si>
    <r>
      <rPr>
        <rFont val="宋体"/>
        <charset val="-122"/>
        <family val="0"/>
        <sz val="9"/>
      </rPr>
      <t xml:space="preserve">  指为商务、公务及个人提供的各种办公服务。</t>
    </r>
  </si>
  <si>
    <r>
      <rPr>
        <rFont val="宋体"/>
        <charset val="-122"/>
        <family val="0"/>
        <sz val="9"/>
      </rPr>
      <t xml:space="preserve">    其他未列明的商务服务</t>
    </r>
  </si>
  <si>
    <r>
      <rPr>
        <rFont val="宋体"/>
        <charset val="-122"/>
        <family val="0"/>
        <sz val="9"/>
      </rPr>
      <t xml:space="preserve">  指上述未列明的商务服务和代理活动。</t>
    </r>
  </si>
  <si>
    <r>
      <rPr>
        <rFont val="宋体"/>
        <charset val="-122"/>
        <family val="0"/>
        <sz val="9"/>
      </rPr>
      <t xml:space="preserve">  本类包括</t>
    </r>
    <r>
      <rPr>
        <rFont val="Times New Roman"/>
        <family val="1"/>
        <sz val="9"/>
      </rPr>
      <t>75</t>
    </r>
    <r>
      <rPr>
        <rFont val="宋体"/>
        <charset val="-122"/>
        <family val="0"/>
        <sz val="9"/>
      </rPr>
      <t>—</t>
    </r>
    <r>
      <rPr>
        <rFont val="Times New Roman"/>
        <family val="1"/>
        <sz val="9"/>
      </rPr>
      <t>78</t>
    </r>
    <r>
      <rPr>
        <rFont val="宋体"/>
        <charset val="-122"/>
        <family val="0"/>
        <sz val="9"/>
      </rPr>
      <t>大类。</t>
    </r>
  </si>
  <si>
    <r>
      <rPr>
        <rFont val="宋体"/>
        <charset val="-122"/>
        <family val="0"/>
        <sz val="9"/>
      </rPr>
      <t xml:space="preserve">  指为了增加知识（包括有关自然、工程、人类、文化和社会的知识），以及运用这些知识创造新的应用，所进行的系统的、创造性的活动。该活动仅限于对新发现、新理论的研究，新技术、新产品、新工艺的研制。研究与试验发展包括基础研究、应用研究和试验发展。</t>
    </r>
  </si>
  <si>
    <r>
      <rPr>
        <rFont val="宋体"/>
        <charset val="-122"/>
        <family val="0"/>
        <sz val="9"/>
      </rPr>
      <t xml:space="preserve">  自然科学研究与试验发展</t>
    </r>
  </si>
  <si>
    <r>
      <rPr>
        <rFont val="宋体"/>
        <charset val="-122"/>
        <family val="0"/>
        <sz val="9"/>
      </rPr>
      <t xml:space="preserve">  工程和技术研究与试验发展</t>
    </r>
  </si>
  <si>
    <r>
      <rPr>
        <rFont val="宋体"/>
        <charset val="-122"/>
        <family val="0"/>
        <sz val="9"/>
      </rPr>
      <t xml:space="preserve">  农业科学研究与试验发展</t>
    </r>
  </si>
  <si>
    <r>
      <rPr>
        <rFont val="宋体"/>
        <charset val="-122"/>
        <family val="0"/>
        <sz val="9"/>
      </rPr>
      <t xml:space="preserve">  医学研究与试验发展</t>
    </r>
  </si>
  <si>
    <r>
      <rPr>
        <rFont val="宋体"/>
        <charset val="-122"/>
        <family val="0"/>
        <sz val="9"/>
      </rPr>
      <t xml:space="preserve">  社会人文科学研究与试验发展</t>
    </r>
  </si>
  <si>
    <r>
      <rPr>
        <rFont val="宋体"/>
        <charset val="-122"/>
        <family val="0"/>
        <sz val="9"/>
      </rPr>
      <t xml:space="preserve">  气象服务</t>
    </r>
  </si>
  <si>
    <r>
      <rPr>
        <rFont val="宋体"/>
        <charset val="-122"/>
        <family val="0"/>
        <sz val="9"/>
      </rPr>
      <t xml:space="preserve">  指气象的观测、预报和服务等活动。</t>
    </r>
  </si>
  <si>
    <r>
      <rPr>
        <rFont val="宋体"/>
        <charset val="-122"/>
        <family val="0"/>
        <sz val="9"/>
      </rPr>
      <t xml:space="preserve">  地震服务</t>
    </r>
  </si>
  <si>
    <r>
      <rPr>
        <rFont val="宋体"/>
        <charset val="-122"/>
        <family val="0"/>
        <sz val="9"/>
      </rPr>
      <t xml:space="preserve">  指地震监测预报、震灾预防和紧急救援等防震减灾活动。</t>
    </r>
  </si>
  <si>
    <r>
      <rPr>
        <rFont val="宋体"/>
        <charset val="-122"/>
        <family val="0"/>
        <sz val="9"/>
      </rPr>
      <t xml:space="preserve">  海洋服务</t>
    </r>
  </si>
  <si>
    <r>
      <rPr>
        <rFont val="宋体"/>
        <charset val="-122"/>
        <family val="0"/>
        <sz val="9"/>
      </rPr>
      <t xml:space="preserve">  测绘服务</t>
    </r>
  </si>
  <si>
    <r>
      <rPr>
        <rFont val="宋体"/>
        <charset val="-122"/>
        <family val="0"/>
        <sz val="9"/>
      </rPr>
      <t xml:space="preserve">  技术检测</t>
    </r>
  </si>
  <si>
    <r>
      <rPr>
        <rFont val="宋体"/>
        <charset val="-122"/>
        <family val="0"/>
        <sz val="9"/>
      </rPr>
      <t xml:space="preserve">  指通过专业技术手段对动植物、工业产品、商品、专项技术、成果及其他需要鉴定的物品所进行的检测、检验、测试、鉴定等活动。包括认证活动。</t>
    </r>
  </si>
  <si>
    <r>
      <rPr>
        <rFont val="宋体"/>
        <charset val="-122"/>
        <family val="0"/>
        <sz val="9"/>
      </rPr>
      <t xml:space="preserve">  环境监测</t>
    </r>
  </si>
  <si>
    <r>
      <rPr>
        <rFont val="宋体"/>
        <charset val="-122"/>
        <family val="0"/>
        <sz val="9"/>
      </rPr>
      <t xml:space="preserve">  指对环境各要素，对生产与生活等各类污染源排放的液体、气体、固体、辐射等污染物或污染因子，以及对生态系统指标进行的测试和监测活动。</t>
    </r>
  </si>
  <si>
    <r>
      <rPr>
        <rFont val="宋体"/>
        <charset val="-122"/>
        <family val="0"/>
        <sz val="9"/>
      </rPr>
      <t xml:space="preserve">  工程技术与规划管理</t>
    </r>
    <r>
      <rPr>
        <rFont val="Times New Roman"/>
        <family val="1"/>
        <sz val="9"/>
      </rPr>
      <t xml:space="preserve">   </t>
    </r>
  </si>
  <si>
    <r>
      <rPr>
        <rFont val="宋体"/>
        <charset val="-122"/>
        <family val="0"/>
        <sz val="9"/>
      </rPr>
      <t xml:space="preserve">    工程管理服务</t>
    </r>
  </si>
  <si>
    <r>
      <rPr>
        <rFont val="宋体"/>
        <charset val="-122"/>
        <family val="0"/>
        <sz val="9"/>
      </rPr>
      <t xml:space="preserve">  指与建筑工程有关的工程筹建、计划、造价、资金、预算、场地、招标、咨询、监理等服务活动。</t>
    </r>
  </si>
  <si>
    <r>
      <rPr>
        <rFont val="宋体"/>
        <charset val="-122"/>
        <family val="0"/>
        <sz val="9"/>
      </rPr>
      <t xml:space="preserve">    工程勘察设计</t>
    </r>
  </si>
  <si>
    <r>
      <rPr>
        <rFont val="宋体"/>
        <charset val="-122"/>
        <family val="0"/>
        <sz val="9"/>
      </rPr>
      <t xml:space="preserve">  指建筑施工前的工程地质勘察和工程设计等活动。</t>
    </r>
  </si>
  <si>
    <r>
      <rPr>
        <rFont val="宋体"/>
        <charset val="-122"/>
        <family val="0"/>
        <sz val="9"/>
      </rPr>
      <t xml:space="preserve">    规划管理</t>
    </r>
  </si>
  <si>
    <r>
      <rPr>
        <rFont val="宋体"/>
        <charset val="-122"/>
        <family val="0"/>
        <sz val="9"/>
      </rPr>
      <t xml:space="preserve">  指对区域和城市、集镇、村庄的规划，以及其他规划活动。</t>
    </r>
  </si>
  <si>
    <r>
      <rPr>
        <rFont val="宋体"/>
        <charset val="-122"/>
        <family val="0"/>
        <sz val="9"/>
      </rPr>
      <t xml:space="preserve">  其他专业技术服务</t>
    </r>
  </si>
  <si>
    <r>
      <rPr>
        <rFont val="宋体"/>
        <charset val="-122"/>
        <family val="0"/>
        <sz val="9"/>
      </rPr>
      <t xml:space="preserve">  指上述未列明的专业技术活动。</t>
    </r>
  </si>
  <si>
    <r>
      <rPr>
        <rFont val="宋体"/>
        <charset val="-122"/>
        <family val="0"/>
        <sz val="9"/>
      </rPr>
      <t xml:space="preserve">  技术推广服务</t>
    </r>
  </si>
  <si>
    <r>
      <rPr>
        <rFont val="宋体"/>
        <charset val="-122"/>
        <family val="0"/>
        <sz val="9"/>
      </rPr>
      <t xml:space="preserve">  指将新技术、新产品、新工艺直接推向市场而进行的相关技术活动，以及技术推广和转让活动。</t>
    </r>
  </si>
  <si>
    <r>
      <rPr>
        <rFont val="宋体"/>
        <charset val="-122"/>
        <family val="0"/>
        <sz val="9"/>
      </rPr>
      <t xml:space="preserve">  科技中介服务</t>
    </r>
  </si>
  <si>
    <r>
      <rPr>
        <rFont val="宋体"/>
        <charset val="-122"/>
        <family val="0"/>
        <sz val="9"/>
      </rPr>
      <t xml:space="preserve">  指为科技活动提供社会化服务与管理，在政府、各类科技活动主体与市场之间提供居间服务的组织，主要开展信息交流、技术咨询、技术孵化、科技评估和科技鉴证等活动。</t>
    </r>
  </si>
  <si>
    <r>
      <rPr>
        <rFont val="宋体"/>
        <charset val="-122"/>
        <family val="0"/>
        <sz val="9"/>
      </rPr>
      <t xml:space="preserve">  其他科技服务</t>
    </r>
  </si>
  <si>
    <r>
      <rPr>
        <rFont val="宋体"/>
        <charset val="-122"/>
        <family val="0"/>
        <sz val="9"/>
      </rPr>
      <t xml:space="preserve">  指除技术推广、科技中介以外的其他科技服务。</t>
    </r>
  </si>
  <si>
    <r>
      <rPr>
        <rFont val="宋体"/>
        <charset val="-122"/>
        <family val="0"/>
        <sz val="9"/>
      </rPr>
      <t xml:space="preserve">  指对矿产资源、工程地质、科学研究进行的地质勘查、测试、监测、评估等活动。</t>
    </r>
  </si>
  <si>
    <r>
      <rPr>
        <rFont val="宋体"/>
        <charset val="-122"/>
        <family val="0"/>
        <sz val="9"/>
      </rPr>
      <t xml:space="preserve">  矿产地质勘查</t>
    </r>
  </si>
  <si>
    <r>
      <rPr>
        <rFont val="宋体"/>
        <charset val="-122"/>
        <family val="0"/>
        <sz val="9"/>
      </rPr>
      <t xml:space="preserve">  指对固体、液体、气体及混合体的矿产资源的地质勘查活动。</t>
    </r>
  </si>
  <si>
    <r>
      <rPr>
        <rFont val="宋体"/>
        <charset val="-122"/>
        <family val="0"/>
        <sz val="9"/>
      </rPr>
      <t xml:space="preserve">    能源矿产地质勘查</t>
    </r>
  </si>
  <si>
    <r>
      <rPr>
        <rFont val="宋体"/>
        <charset val="-122"/>
        <family val="0"/>
        <sz val="9"/>
      </rPr>
      <t xml:space="preserve">    固体矿产地质勘查</t>
    </r>
  </si>
  <si>
    <r>
      <rPr>
        <rFont val="宋体"/>
        <charset val="-122"/>
        <family val="0"/>
        <sz val="9"/>
      </rPr>
      <t xml:space="preserve">    其他矿产地质勘查</t>
    </r>
  </si>
  <si>
    <r>
      <rPr>
        <rFont val="宋体"/>
        <charset val="-122"/>
        <family val="0"/>
        <sz val="9"/>
      </rPr>
      <t xml:space="preserve">  基础地质勘查</t>
    </r>
  </si>
  <si>
    <r>
      <rPr>
        <rFont val="宋体"/>
        <charset val="-122"/>
        <family val="0"/>
        <sz val="9"/>
      </rPr>
      <t xml:space="preserve">  指区域、海洋、环境和水文地质勘查活动。</t>
    </r>
  </si>
  <si>
    <r>
      <rPr>
        <rFont val="宋体"/>
        <charset val="-122"/>
        <family val="0"/>
        <sz val="9"/>
      </rPr>
      <t xml:space="preserve">  地质勘查技术服务</t>
    </r>
  </si>
  <si>
    <r>
      <rPr>
        <rFont val="宋体"/>
        <charset val="-122"/>
        <family val="0"/>
        <sz val="9"/>
      </rPr>
      <t xml:space="preserve">  指除矿产地质勘查、基础地质勘查以外的其他勘查和相关的技术服务。</t>
    </r>
  </si>
  <si>
    <r>
      <rPr>
        <rFont val="宋体"/>
        <charset val="-122"/>
        <family val="0"/>
        <sz val="9"/>
      </rPr>
      <t xml:space="preserve">  本类包括</t>
    </r>
    <r>
      <rPr>
        <rFont val="Times New Roman"/>
        <family val="1"/>
        <sz val="9"/>
      </rPr>
      <t>79</t>
    </r>
    <r>
      <rPr>
        <rFont val="宋体"/>
        <charset val="-122"/>
        <family val="0"/>
        <sz val="9"/>
      </rPr>
      <t>—</t>
    </r>
    <r>
      <rPr>
        <rFont val="Times New Roman"/>
        <family val="1"/>
        <sz val="9"/>
      </rPr>
      <t>81</t>
    </r>
    <r>
      <rPr>
        <rFont val="宋体"/>
        <charset val="-122"/>
        <family val="0"/>
        <sz val="9"/>
      </rPr>
      <t>大类。</t>
    </r>
  </si>
  <si>
    <r>
      <rPr>
        <rFont val="宋体"/>
        <charset val="-122"/>
        <family val="0"/>
        <sz val="9"/>
      </rPr>
      <t xml:space="preserve">  防洪管理</t>
    </r>
  </si>
  <si>
    <r>
      <rPr>
        <rFont val="宋体"/>
        <charset val="-122"/>
        <family val="0"/>
        <sz val="9"/>
      </rPr>
      <t xml:space="preserve">  指对河流、湖泊、行蓄洪区和沿海的防洪设施的管理及防涝管理活动。</t>
    </r>
  </si>
  <si>
    <r>
      <rPr>
        <rFont val="宋体"/>
        <charset val="-122"/>
        <family val="0"/>
        <sz val="9"/>
      </rPr>
      <t xml:space="preserve">  水资源管理</t>
    </r>
  </si>
  <si>
    <r>
      <rPr>
        <rFont val="宋体"/>
        <charset val="-122"/>
        <family val="0"/>
        <sz val="9"/>
      </rPr>
      <t xml:space="preserve">  指对水资源的开发、利用、配置、节约等活动。</t>
    </r>
  </si>
  <si>
    <r>
      <rPr>
        <rFont val="宋体"/>
        <charset val="-122"/>
        <family val="0"/>
        <sz val="9"/>
      </rPr>
      <t xml:space="preserve">    水库管理</t>
    </r>
  </si>
  <si>
    <r>
      <rPr>
        <rFont val="宋体"/>
        <charset val="-122"/>
        <family val="0"/>
        <sz val="9"/>
      </rPr>
      <t xml:space="preserve">  指对水库等水利设施的管理活动。</t>
    </r>
  </si>
  <si>
    <r>
      <rPr>
        <rFont val="宋体"/>
        <charset val="-122"/>
        <family val="0"/>
        <sz val="9"/>
      </rPr>
      <t xml:space="preserve">    调水、引水管理</t>
    </r>
  </si>
  <si>
    <r>
      <rPr>
        <rFont val="宋体"/>
        <charset val="-122"/>
        <family val="0"/>
        <sz val="9"/>
      </rPr>
      <t xml:space="preserve">  指对运河、河渠、渠道、水利枢纽、水闸的管理活动。</t>
    </r>
  </si>
  <si>
    <r>
      <rPr>
        <rFont val="宋体"/>
        <charset val="-122"/>
        <family val="0"/>
        <sz val="9"/>
      </rPr>
      <t xml:space="preserve">    其他水资源管理</t>
    </r>
  </si>
  <si>
    <r>
      <rPr>
        <rFont val="宋体"/>
        <charset val="-122"/>
        <family val="0"/>
        <sz val="9"/>
      </rPr>
      <t xml:space="preserve">  指节水及其他未列明的水资源管理活动。</t>
    </r>
  </si>
  <si>
    <r>
      <rPr>
        <rFont val="宋体"/>
        <charset val="-122"/>
        <family val="0"/>
        <sz val="9"/>
      </rPr>
      <t xml:space="preserve">  其他水利管理</t>
    </r>
  </si>
  <si>
    <r>
      <rPr>
        <rFont val="宋体"/>
        <charset val="-122"/>
        <family val="0"/>
        <sz val="9"/>
      </rPr>
      <t xml:space="preserve">  指水土保持、保护及其他水利管理活动。</t>
    </r>
  </si>
  <si>
    <r>
      <rPr>
        <rFont val="宋体"/>
        <charset val="-122"/>
        <family val="0"/>
        <sz val="9"/>
      </rPr>
      <t xml:space="preserve">  自然保护</t>
    </r>
  </si>
  <si>
    <r>
      <rPr>
        <rFont val="宋体"/>
        <charset val="-122"/>
        <family val="0"/>
        <sz val="9"/>
      </rPr>
      <t xml:space="preserve">    自然保护区管理</t>
    </r>
  </si>
  <si>
    <r>
      <rPr>
        <rFont val="宋体"/>
        <charset val="-122"/>
        <family val="0"/>
        <sz val="9"/>
      </rPr>
      <t xml:space="preserve">  指对有代表性的自然生态系统、珍稀濒危野生动植物物种和有特殊意义的自然遗迹等予以特殊保护和管理的活动。</t>
    </r>
  </si>
  <si>
    <r>
      <rPr>
        <rFont val="宋体"/>
        <charset val="-122"/>
        <family val="0"/>
        <sz val="9"/>
      </rPr>
      <t xml:space="preserve">    野生动植物保护</t>
    </r>
  </si>
  <si>
    <r>
      <rPr>
        <rFont val="宋体"/>
        <charset val="-122"/>
        <family val="0"/>
        <sz val="9"/>
      </rPr>
      <t xml:space="preserve">  指对野生及濒危动植物的饲养、培育、繁殖等保护活动，以及对栖息地的管理活动。</t>
    </r>
  </si>
  <si>
    <r>
      <rPr>
        <rFont val="宋体"/>
        <charset val="-122"/>
        <family val="0"/>
        <sz val="9"/>
      </rPr>
      <t xml:space="preserve">    其他自然保护</t>
    </r>
  </si>
  <si>
    <r>
      <rPr>
        <rFont val="宋体"/>
        <charset val="-122"/>
        <family val="0"/>
        <sz val="9"/>
      </rPr>
      <t xml:space="preserve">  指除自然保护区管理、野生动植物保护以外的其他自然保护活动。</t>
    </r>
  </si>
  <si>
    <r>
      <rPr>
        <rFont val="宋体"/>
        <charset val="-122"/>
        <family val="0"/>
        <sz val="9"/>
      </rPr>
      <t xml:space="preserve">  环境治理</t>
    </r>
  </si>
  <si>
    <r>
      <rPr>
        <rFont val="宋体"/>
        <charset val="-122"/>
        <family val="0"/>
        <sz val="9"/>
      </rPr>
      <t xml:space="preserve">    城市市容管理</t>
    </r>
  </si>
  <si>
    <r>
      <rPr>
        <rFont val="宋体"/>
        <charset val="-122"/>
        <family val="0"/>
        <sz val="9"/>
      </rPr>
      <t xml:space="preserve">    城市环境卫生管理</t>
    </r>
  </si>
  <si>
    <r>
      <rPr>
        <rFont val="宋体"/>
        <charset val="-122"/>
        <family val="0"/>
        <sz val="9"/>
      </rPr>
      <t xml:space="preserve">  指城市垃圾的清扫、收集、运输、处理、处置和综合利用活动，以及对公共厕所、化粪池的清扫、收集、运输和管理活动。</t>
    </r>
  </si>
  <si>
    <r>
      <rPr>
        <rFont val="宋体"/>
        <charset val="-122"/>
        <family val="0"/>
        <sz val="9"/>
      </rPr>
      <t xml:space="preserve">    水污染治理</t>
    </r>
  </si>
  <si>
    <r>
      <rPr>
        <rFont val="宋体"/>
        <charset val="-122"/>
        <family val="0"/>
        <sz val="9"/>
      </rPr>
      <t xml:space="preserve">  指对江、河、湖泊、水库及地下水、地表水的污染综合治理活动。</t>
    </r>
  </si>
  <si>
    <r>
      <rPr>
        <rFont val="宋体"/>
        <charset val="-122"/>
        <family val="0"/>
        <sz val="9"/>
      </rPr>
      <t xml:space="preserve">    危险废物治理</t>
    </r>
  </si>
  <si>
    <r>
      <rPr>
        <rFont val="宋体"/>
        <charset val="-122"/>
        <family val="0"/>
        <sz val="9"/>
      </rPr>
      <t xml:space="preserve">  指对制造、维修、医疗等活动产生的危险废物进行收集、贮存、利用、处理和处置等活动。</t>
    </r>
  </si>
  <si>
    <r>
      <rPr>
        <rFont val="宋体"/>
        <charset val="-122"/>
        <family val="0"/>
        <sz val="9"/>
      </rPr>
      <t xml:space="preserve">    其他环境治理</t>
    </r>
    <r>
      <rPr>
        <rFont val="Times New Roman"/>
        <family val="1"/>
        <sz val="9"/>
      </rPr>
      <t xml:space="preserve"> </t>
    </r>
  </si>
  <si>
    <r>
      <rPr>
        <rFont val="宋体"/>
        <charset val="-122"/>
        <family val="0"/>
        <sz val="9"/>
      </rPr>
      <t xml:space="preserve">  指除市容管理、城市环境卫生、水污染、危险废物治理以外的其他环境治理活动。</t>
    </r>
  </si>
  <si>
    <r>
      <rPr>
        <rFont val="宋体"/>
        <charset val="-122"/>
        <family val="0"/>
        <sz val="9"/>
      </rPr>
      <t xml:space="preserve">  市政公共设施管理</t>
    </r>
  </si>
  <si>
    <r>
      <rPr>
        <rFont val="宋体"/>
        <charset val="-122"/>
        <family val="0"/>
        <sz val="9"/>
      </rPr>
      <t xml:space="preserve">  指城市污水排放、雨水排放、路灯、道路、桥梁、隧道、广场、涵洞、防空等市政设施的维护、抢险、紧急处理、管理等活动。</t>
    </r>
  </si>
  <si>
    <r>
      <rPr>
        <rFont val="宋体"/>
        <charset val="-122"/>
        <family val="0"/>
        <sz val="9"/>
      </rPr>
      <t xml:space="preserve">  城市绿化管理</t>
    </r>
  </si>
  <si>
    <r>
      <rPr>
        <rFont val="宋体"/>
        <charset val="-122"/>
        <family val="0"/>
        <sz val="9"/>
      </rPr>
      <t xml:space="preserve">  指城市园林绿化的管理活动。</t>
    </r>
    <r>
      <rPr>
        <rFont val="Times New Roman"/>
        <family val="1"/>
        <sz val="9"/>
      </rPr>
      <t xml:space="preserve"> </t>
    </r>
  </si>
  <si>
    <r>
      <rPr>
        <rFont val="宋体"/>
        <charset val="-122"/>
        <family val="0"/>
        <sz val="9"/>
      </rPr>
      <t xml:space="preserve">  游览景区管理</t>
    </r>
  </si>
  <si>
    <r>
      <rPr>
        <rFont val="宋体"/>
        <charset val="-122"/>
        <family val="0"/>
        <sz val="9"/>
      </rPr>
      <t xml:space="preserve">  指为游人提供休闲、观光、游玩、度假的各类自然景观、人文景观、人造景观和其他景观的保护和管理活动。</t>
    </r>
  </si>
  <si>
    <r>
      <rPr>
        <rFont val="宋体"/>
        <charset val="-122"/>
        <family val="0"/>
        <sz val="9"/>
      </rPr>
      <t xml:space="preserve">    风景名胜区管理</t>
    </r>
  </si>
  <si>
    <r>
      <rPr>
        <rFont val="宋体"/>
        <charset val="-122"/>
        <family val="0"/>
        <sz val="9"/>
      </rPr>
      <t xml:space="preserve">  指对具有一定规模的自然景观、人文景物的管理和保护活动，以及对环境优美、具有观赏、文化或科学价值风景名胜区的保护和管理活动。</t>
    </r>
  </si>
  <si>
    <r>
      <rPr>
        <rFont val="宋体"/>
        <charset val="-122"/>
        <family val="0"/>
        <sz val="9"/>
      </rPr>
      <t xml:space="preserve">    公园管理</t>
    </r>
  </si>
  <si>
    <r>
      <rPr>
        <rFont val="宋体"/>
        <charset val="-122"/>
        <family val="0"/>
        <sz val="9"/>
      </rPr>
      <t xml:space="preserve">  指主要为人们提供休闲、观赏、游览以及科普、科研的城市公园的管理活动。</t>
    </r>
  </si>
  <si>
    <r>
      <rPr>
        <rFont val="宋体"/>
        <charset val="-122"/>
        <family val="0"/>
        <sz val="9"/>
      </rPr>
      <t xml:space="preserve">    其他游览景区管理</t>
    </r>
  </si>
  <si>
    <r>
      <rPr>
        <rFont val="宋体"/>
        <charset val="-122"/>
        <family val="0"/>
        <sz val="9"/>
      </rPr>
      <t xml:space="preserve">  指其他未列明的游览景区的管理活动。</t>
    </r>
  </si>
  <si>
    <r>
      <rPr>
        <rFont val="宋体"/>
        <charset val="-122"/>
        <family val="0"/>
        <sz val="9"/>
      </rPr>
      <t xml:space="preserve">  本类包括</t>
    </r>
    <r>
      <rPr>
        <rFont val="Times New Roman"/>
        <family val="1"/>
        <sz val="9"/>
      </rPr>
      <t>82</t>
    </r>
    <r>
      <rPr>
        <rFont val="宋体"/>
        <charset val="-122"/>
        <family val="0"/>
        <sz val="9"/>
      </rPr>
      <t>—</t>
    </r>
    <r>
      <rPr>
        <rFont val="Times New Roman"/>
        <family val="1"/>
        <sz val="9"/>
      </rPr>
      <t>83</t>
    </r>
    <r>
      <rPr>
        <rFont val="宋体"/>
        <charset val="-122"/>
        <family val="0"/>
        <sz val="9"/>
      </rPr>
      <t>大类。</t>
    </r>
  </si>
  <si>
    <r>
      <rPr>
        <rFont val="宋体"/>
        <charset val="-122"/>
        <family val="0"/>
        <sz val="9"/>
      </rPr>
      <t xml:space="preserve">  家庭服务</t>
    </r>
  </si>
  <si>
    <r>
      <rPr>
        <rFont val="宋体"/>
        <charset val="-122"/>
        <family val="0"/>
        <sz val="9"/>
      </rPr>
      <t xml:space="preserve">  托儿所</t>
    </r>
  </si>
  <si>
    <r>
      <rPr>
        <rFont val="宋体"/>
        <charset val="-122"/>
        <family val="0"/>
        <sz val="9"/>
      </rPr>
      <t xml:space="preserve">  指社会、街道、个人办的面向不足三岁幼儿的看护服务。看护服务可分为全托、日托、半托，或计时服务。</t>
    </r>
  </si>
  <si>
    <r>
      <rPr>
        <rFont val="宋体"/>
        <charset val="-122"/>
        <family val="0"/>
        <sz val="9"/>
      </rPr>
      <t xml:space="preserve">  洗染服务</t>
    </r>
  </si>
  <si>
    <r>
      <rPr>
        <rFont val="宋体"/>
        <charset val="-122"/>
        <family val="0"/>
        <sz val="9"/>
      </rPr>
      <t xml:space="preserve">  指专营的洗染店以及在宾馆、饭店内常设的独立（或相对独立）洗染服务。</t>
    </r>
  </si>
  <si>
    <r>
      <rPr>
        <rFont val="宋体"/>
        <charset val="-122"/>
        <family val="0"/>
        <sz val="9"/>
      </rPr>
      <t xml:space="preserve">  理发及美容保健服务</t>
    </r>
  </si>
  <si>
    <r>
      <rPr>
        <rFont val="宋体"/>
        <charset val="-122"/>
        <family val="0"/>
        <sz val="9"/>
      </rPr>
      <t xml:space="preserve">  指专业理发、美容保健服务，以及在宾馆、饭店或娱乐场所常设的独立（或相对独立）理发、美容保健服务。</t>
    </r>
  </si>
  <si>
    <r>
      <rPr>
        <rFont val="宋体"/>
        <charset val="-122"/>
        <family val="0"/>
        <sz val="9"/>
      </rPr>
      <t xml:space="preserve">  洗浴服务</t>
    </r>
  </si>
  <si>
    <r>
      <rPr>
        <rFont val="宋体"/>
        <charset val="-122"/>
        <family val="0"/>
        <sz val="9"/>
      </rPr>
      <t xml:space="preserve">  指专业洗浴室以及在宾馆、饭店或娱乐场所常设的独立（或相对独立）洗浴服务。</t>
    </r>
  </si>
  <si>
    <r>
      <rPr>
        <rFont val="宋体"/>
        <charset val="-122"/>
        <family val="0"/>
        <sz val="9"/>
      </rPr>
      <t xml:space="preserve">  婚姻服务</t>
    </r>
  </si>
  <si>
    <r>
      <rPr>
        <rFont val="宋体"/>
        <charset val="-122"/>
        <family val="0"/>
        <sz val="9"/>
      </rPr>
      <t xml:space="preserve">  指从事婚姻介绍、婚庆典礼等服务。</t>
    </r>
  </si>
  <si>
    <r>
      <rPr>
        <rFont val="宋体"/>
        <charset val="-122"/>
        <family val="0"/>
        <sz val="9"/>
      </rPr>
      <t xml:space="preserve">  殡葬服务</t>
    </r>
  </si>
  <si>
    <r>
      <rPr>
        <rFont val="宋体"/>
        <charset val="-122"/>
        <family val="0"/>
        <sz val="9"/>
      </rPr>
      <t xml:space="preserve">  指与殡葬有关的各类服务。</t>
    </r>
  </si>
  <si>
    <r>
      <rPr>
        <rFont val="宋体"/>
        <charset val="-122"/>
        <family val="0"/>
        <sz val="9"/>
      </rPr>
      <t xml:space="preserve">  摄影扩印服务</t>
    </r>
  </si>
  <si>
    <r>
      <rPr>
        <rFont val="宋体"/>
        <charset val="-122"/>
        <family val="0"/>
        <sz val="9"/>
      </rPr>
      <t xml:space="preserve">  其他居民服务</t>
    </r>
  </si>
  <si>
    <r>
      <rPr>
        <rFont val="宋体"/>
        <charset val="-122"/>
        <family val="0"/>
        <sz val="9"/>
      </rPr>
      <t xml:space="preserve">  指上述未包括的居民服务。</t>
    </r>
  </si>
  <si>
    <r>
      <rPr>
        <rFont val="宋体"/>
        <charset val="-122"/>
        <family val="0"/>
        <sz val="9"/>
      </rPr>
      <t xml:space="preserve">  修理与维护</t>
    </r>
  </si>
  <si>
    <r>
      <rPr>
        <rFont val="宋体"/>
        <charset val="-122"/>
        <family val="0"/>
        <sz val="9"/>
      </rPr>
      <t xml:space="preserve">    汽车、摩托车维护与保养</t>
    </r>
  </si>
  <si>
    <r>
      <rPr>
        <rFont val="宋体"/>
        <charset val="-122"/>
        <family val="0"/>
        <sz val="9"/>
      </rPr>
      <t xml:space="preserve">  指非汽车制造厂、修理厂的修理和维护活动。这类活动一般在路边规模较小的修理服务部进行。包括为汽车、摩托车提供上油、充气、打蜡、抛光、喷漆、清洗、换零配件、出售零部件等服务。</t>
    </r>
  </si>
  <si>
    <r>
      <rPr>
        <rFont val="宋体"/>
        <charset val="-122"/>
        <family val="0"/>
        <sz val="9"/>
      </rPr>
      <t xml:space="preserve">    办公设备维修</t>
    </r>
  </si>
  <si>
    <r>
      <rPr>
        <rFont val="宋体"/>
        <charset val="-122"/>
        <family val="0"/>
        <sz val="9"/>
      </rPr>
      <t xml:space="preserve">  指各种办公设备修理公司、修理门市部和修理网点的修理活动。</t>
    </r>
  </si>
  <si>
    <r>
      <rPr>
        <rFont val="宋体"/>
        <charset val="-122"/>
        <family val="0"/>
        <sz val="9"/>
      </rPr>
      <t xml:space="preserve">    家用电器修理</t>
    </r>
  </si>
  <si>
    <r>
      <rPr>
        <rFont val="宋体"/>
        <charset val="-122"/>
        <family val="0"/>
        <sz val="9"/>
      </rPr>
      <t xml:space="preserve">  指家用电器维修门市部，以及生产企业驻各地的维修网点和维修中心的修理活动。</t>
    </r>
  </si>
  <si>
    <r>
      <rPr>
        <rFont val="宋体"/>
        <charset val="-122"/>
        <family val="0"/>
        <sz val="9"/>
      </rPr>
      <t xml:space="preserve">    其他日用品修理</t>
    </r>
  </si>
  <si>
    <r>
      <rPr>
        <rFont val="宋体"/>
        <charset val="-122"/>
        <family val="0"/>
        <sz val="9"/>
      </rPr>
      <t xml:space="preserve">  指其他日用品维修门市部、修理摊点的活动，以及生产企业驻各地的维修网点和维修中心的修理活动。</t>
    </r>
  </si>
  <si>
    <r>
      <rPr>
        <rFont val="宋体"/>
        <charset val="-122"/>
        <family val="0"/>
        <sz val="9"/>
      </rPr>
      <t xml:space="preserve">  清洁服务</t>
    </r>
  </si>
  <si>
    <r>
      <rPr>
        <rFont val="宋体"/>
        <charset val="-122"/>
        <family val="0"/>
        <sz val="9"/>
      </rPr>
      <t xml:space="preserve">  指对建筑物、办公用品、家庭用品的清洗和消毒服务。包括专业公司和个人的清洗服务。</t>
    </r>
  </si>
  <si>
    <r>
      <rPr>
        <rFont val="宋体"/>
        <charset val="-122"/>
        <family val="0"/>
        <sz val="9"/>
      </rPr>
      <t xml:space="preserve">    建筑物清洁服务</t>
    </r>
  </si>
  <si>
    <r>
      <rPr>
        <rFont val="宋体"/>
        <charset val="-122"/>
        <family val="0"/>
        <sz val="9"/>
      </rPr>
      <t xml:space="preserve">  指对建筑物内外墙、玻璃幕墙、地面、天花板及烟囱的清洗活动。</t>
    </r>
  </si>
  <si>
    <r>
      <rPr>
        <rFont val="宋体"/>
        <charset val="-122"/>
        <family val="0"/>
        <sz val="9"/>
      </rPr>
      <t xml:space="preserve">    其他清洁服务</t>
    </r>
  </si>
  <si>
    <r>
      <rPr>
        <rFont val="宋体"/>
        <charset val="-122"/>
        <family val="0"/>
        <sz val="9"/>
      </rPr>
      <t xml:space="preserve">  指专业清洗人员为企业的机器、办公设备的清洗活动，以及为居民的日用品、器具及设备的清洗活动。包括清扫、消毒等服务。</t>
    </r>
  </si>
  <si>
    <r>
      <rPr>
        <rFont val="宋体"/>
        <charset val="-122"/>
        <family val="0"/>
        <sz val="9"/>
      </rPr>
      <t xml:space="preserve">  其他未列明的服务</t>
    </r>
  </si>
  <si>
    <r>
      <rPr>
        <rFont val="宋体"/>
        <charset val="-122"/>
        <family val="0"/>
        <sz val="9"/>
      </rPr>
      <t xml:space="preserve">  学前教育</t>
    </r>
  </si>
  <si>
    <r>
      <rPr>
        <rFont val="宋体"/>
        <charset val="-122"/>
        <family val="0"/>
        <sz val="9"/>
      </rPr>
      <t xml:space="preserve">  指按照国家幼儿教育规定对学龄前幼儿进行保育和教育的活动。</t>
    </r>
  </si>
  <si>
    <r>
      <rPr>
        <rFont val="宋体"/>
        <charset val="-122"/>
        <family val="0"/>
        <sz val="9"/>
      </rPr>
      <t xml:space="preserve">  初等教育</t>
    </r>
  </si>
  <si>
    <r>
      <rPr>
        <rFont val="宋体"/>
        <charset val="-122"/>
        <family val="0"/>
        <sz val="9"/>
      </rPr>
      <t xml:space="preserve">  指义务教育法规定的初等教育和成人扫盲教育活动。</t>
    </r>
  </si>
  <si>
    <r>
      <rPr>
        <rFont val="宋体"/>
        <charset val="-122"/>
        <family val="0"/>
        <sz val="9"/>
      </rPr>
      <t xml:space="preserve">  中等教育</t>
    </r>
  </si>
  <si>
    <r>
      <rPr>
        <rFont val="宋体"/>
        <charset val="-122"/>
        <family val="0"/>
        <sz val="9"/>
      </rPr>
      <t xml:space="preserve">    初中教育</t>
    </r>
  </si>
  <si>
    <r>
      <rPr>
        <rFont val="宋体"/>
        <charset val="-122"/>
        <family val="0"/>
        <sz val="9"/>
      </rPr>
      <t xml:space="preserve">  指义务教育法规定的对小学毕业生进行初级中等教育的活动。</t>
    </r>
  </si>
  <si>
    <r>
      <rPr>
        <rFont val="宋体"/>
        <charset val="-122"/>
        <family val="0"/>
        <sz val="9"/>
      </rPr>
      <t xml:space="preserve">    高中教育</t>
    </r>
  </si>
  <si>
    <r>
      <rPr>
        <rFont val="宋体"/>
        <charset val="-122"/>
        <family val="0"/>
        <sz val="9"/>
      </rPr>
      <t xml:space="preserve">  指非义务教育阶段，通过考试招收初中毕业生进行普通高中教育的活动。</t>
    </r>
  </si>
  <si>
    <r>
      <rPr>
        <rFont val="宋体"/>
        <charset val="-122"/>
        <family val="0"/>
        <sz val="9"/>
      </rPr>
      <t xml:space="preserve">    中等专业教育</t>
    </r>
  </si>
  <si>
    <r>
      <rPr>
        <rFont val="宋体"/>
        <charset val="-122"/>
        <family val="0"/>
        <sz val="9"/>
      </rPr>
      <t xml:space="preserve">    职业中学教育</t>
    </r>
  </si>
  <si>
    <r>
      <rPr>
        <rFont val="宋体"/>
        <charset val="-122"/>
        <family val="0"/>
        <sz val="9"/>
      </rPr>
      <t xml:space="preserve">  指根据教育行政部门的规定，招收小学或初中毕业生实施中等职业技术教育的活动。</t>
    </r>
  </si>
  <si>
    <r>
      <rPr>
        <rFont val="宋体"/>
        <charset val="-122"/>
        <family val="0"/>
        <sz val="9"/>
      </rPr>
      <t xml:space="preserve">    技工学校教育</t>
    </r>
  </si>
  <si>
    <r>
      <rPr>
        <rFont val="宋体"/>
        <charset val="-122"/>
        <family val="0"/>
        <sz val="9"/>
      </rPr>
      <t xml:space="preserve">  指各级政府、各主管部门、企业办的技工学校的教育活动。</t>
    </r>
  </si>
  <si>
    <r>
      <rPr>
        <rFont val="宋体"/>
        <charset val="-122"/>
        <family val="0"/>
        <sz val="9"/>
      </rPr>
      <t xml:space="preserve">    其他中等教育</t>
    </r>
  </si>
  <si>
    <r>
      <rPr>
        <rFont val="宋体"/>
        <charset val="-122"/>
        <family val="0"/>
        <sz val="9"/>
      </rPr>
      <t xml:space="preserve">  指其他未列明的中等教育活动。</t>
    </r>
  </si>
  <si>
    <r>
      <rPr>
        <rFont val="宋体"/>
        <charset val="-122"/>
        <family val="0"/>
        <sz val="9"/>
      </rPr>
      <t xml:space="preserve">  高等教育</t>
    </r>
  </si>
  <si>
    <r>
      <rPr>
        <rFont val="宋体"/>
        <charset val="-122"/>
        <family val="0"/>
        <sz val="9"/>
      </rPr>
      <t xml:space="preserve">    普通高等教育</t>
    </r>
  </si>
  <si>
    <r>
      <rPr>
        <rFont val="宋体"/>
        <charset val="-122"/>
        <family val="0"/>
        <sz val="9"/>
      </rPr>
      <t xml:space="preserve">  指经教育行政部门批准，由国家、地方、社会办的获取学历的高等教育活动。指在完成高级中等教育基础上实施的教育。</t>
    </r>
  </si>
  <si>
    <r>
      <rPr>
        <rFont val="宋体"/>
        <charset val="-122"/>
        <family val="0"/>
        <sz val="9"/>
      </rPr>
      <t xml:space="preserve">    成人高等教育</t>
    </r>
  </si>
  <si>
    <r>
      <rPr>
        <rFont val="宋体"/>
        <charset val="-122"/>
        <family val="0"/>
        <sz val="9"/>
      </rPr>
      <t xml:space="preserve">  指经教育主管部门批准举办的成人高等教育活动。</t>
    </r>
  </si>
  <si>
    <r>
      <rPr>
        <rFont val="宋体"/>
        <charset val="-122"/>
        <family val="0"/>
        <sz val="9"/>
      </rPr>
      <t xml:space="preserve">  其他教育</t>
    </r>
  </si>
  <si>
    <r>
      <rPr>
        <rFont val="宋体"/>
        <charset val="-122"/>
        <family val="0"/>
        <sz val="9"/>
      </rPr>
      <t xml:space="preserve">    职业技能培训</t>
    </r>
  </si>
  <si>
    <r>
      <rPr>
        <rFont val="宋体"/>
        <charset val="-122"/>
        <family val="0"/>
        <sz val="9"/>
      </rPr>
      <t xml:space="preserve">  指经教育主管部门、劳动部门或有关主管部门批准，由政府部门、企业、社会办的职业培训、就业培训及各种知识、技能的培训活动。</t>
    </r>
  </si>
  <si>
    <r>
      <rPr>
        <rFont val="宋体"/>
        <charset val="-122"/>
        <family val="0"/>
        <sz val="9"/>
      </rPr>
      <t xml:space="preserve">    特殊教育</t>
    </r>
  </si>
  <si>
    <r>
      <rPr>
        <rFont val="宋体"/>
        <charset val="-122"/>
        <family val="0"/>
        <sz val="9"/>
      </rPr>
      <t xml:space="preserve">  指为残障儿童提供的特殊教育活动。</t>
    </r>
  </si>
  <si>
    <r>
      <rPr>
        <rFont val="宋体"/>
        <charset val="-122"/>
        <family val="0"/>
        <sz val="9"/>
      </rPr>
      <t xml:space="preserve">    其他未列明的教育</t>
    </r>
  </si>
  <si>
    <r>
      <rPr>
        <rFont val="宋体"/>
        <charset val="-122"/>
        <family val="0"/>
        <sz val="9"/>
      </rPr>
      <t xml:space="preserve">  指党政教育和上述未列明的教育活动。</t>
    </r>
  </si>
  <si>
    <r>
      <rPr>
        <rFont val="宋体"/>
        <charset val="-122"/>
        <family val="0"/>
        <sz val="9"/>
      </rPr>
      <t xml:space="preserve">  本类包括</t>
    </r>
    <r>
      <rPr>
        <rFont val="Times New Roman"/>
        <family val="1"/>
        <sz val="9"/>
      </rPr>
      <t>85</t>
    </r>
    <r>
      <rPr>
        <rFont val="宋体"/>
        <charset val="-122"/>
        <family val="0"/>
        <sz val="9"/>
      </rPr>
      <t>—</t>
    </r>
    <r>
      <rPr>
        <rFont val="Times New Roman"/>
        <family val="1"/>
        <sz val="9"/>
      </rPr>
      <t>87</t>
    </r>
    <r>
      <rPr>
        <rFont val="宋体"/>
        <charset val="-122"/>
        <family val="0"/>
        <sz val="9"/>
      </rPr>
      <t>大类。</t>
    </r>
  </si>
  <si>
    <r>
      <rPr>
        <rFont val="宋体"/>
        <charset val="-122"/>
        <family val="0"/>
        <sz val="9"/>
      </rPr>
      <t xml:space="preserve">  医院</t>
    </r>
  </si>
  <si>
    <r>
      <rPr>
        <rFont val="宋体"/>
        <charset val="-122"/>
        <family val="0"/>
        <sz val="9"/>
      </rPr>
      <t xml:space="preserve">    综合医院</t>
    </r>
  </si>
  <si>
    <r>
      <rPr>
        <rFont val="宋体"/>
        <charset val="-122"/>
        <family val="0"/>
        <sz val="9"/>
      </rPr>
      <t xml:space="preserve">    中医医院</t>
    </r>
  </si>
  <si>
    <r>
      <rPr>
        <rFont val="宋体"/>
        <charset val="-122"/>
        <family val="0"/>
        <sz val="9"/>
      </rPr>
      <t xml:space="preserve">    中西医结合医院</t>
    </r>
  </si>
  <si>
    <r>
      <rPr>
        <rFont val="宋体"/>
        <charset val="-122"/>
        <family val="0"/>
        <sz val="9"/>
      </rPr>
      <t xml:space="preserve">    民族医院</t>
    </r>
  </si>
  <si>
    <r>
      <rPr>
        <rFont val="宋体"/>
        <charset val="-122"/>
        <family val="0"/>
        <sz val="9"/>
      </rPr>
      <t xml:space="preserve">    专科医院</t>
    </r>
  </si>
  <si>
    <r>
      <rPr>
        <rFont val="宋体"/>
        <charset val="-122"/>
        <family val="0"/>
        <sz val="9"/>
      </rPr>
      <t xml:space="preserve">    疗养院</t>
    </r>
  </si>
  <si>
    <r>
      <rPr>
        <rFont val="宋体"/>
        <charset val="-122"/>
        <family val="0"/>
        <sz val="9"/>
      </rPr>
      <t xml:space="preserve">  卫生院及社区医疗活动</t>
    </r>
  </si>
  <si>
    <r>
      <rPr>
        <rFont val="宋体"/>
        <charset val="-122"/>
        <family val="0"/>
        <sz val="9"/>
      </rPr>
      <t xml:space="preserve">  指城镇街道、社区医院和乡（镇）医疗卫生机构的活动。</t>
    </r>
  </si>
  <si>
    <r>
      <rPr>
        <rFont val="宋体"/>
        <charset val="-122"/>
        <family val="0"/>
        <sz val="9"/>
      </rPr>
      <t xml:space="preserve">  门诊部医疗活动</t>
    </r>
  </si>
  <si>
    <r>
      <rPr>
        <rFont val="宋体"/>
        <charset val="-122"/>
        <family val="0"/>
        <sz val="9"/>
      </rPr>
      <t xml:space="preserve">  指门诊部、诊所、医务室、卫生站、护理院等卫生机构的活动。</t>
    </r>
  </si>
  <si>
    <r>
      <rPr>
        <rFont val="宋体"/>
        <charset val="-122"/>
        <family val="0"/>
        <sz val="9"/>
      </rPr>
      <t xml:space="preserve">  计划生育技术服务活动</t>
    </r>
  </si>
  <si>
    <r>
      <rPr>
        <rFont val="宋体"/>
        <charset val="-122"/>
        <family val="0"/>
        <sz val="9"/>
      </rPr>
      <t xml:space="preserve">  指各地区计划生育技术服务机构的活动。</t>
    </r>
  </si>
  <si>
    <r>
      <rPr>
        <rFont val="宋体"/>
        <charset val="-122"/>
        <family val="0"/>
        <sz val="9"/>
      </rPr>
      <t xml:space="preserve">  妇幼保健活动</t>
    </r>
  </si>
  <si>
    <r>
      <rPr>
        <rFont val="宋体"/>
        <charset val="-122"/>
        <family val="0"/>
        <sz val="9"/>
      </rPr>
      <t xml:space="preserve">  指非医院的妇女及婴幼儿保健活动。</t>
    </r>
  </si>
  <si>
    <r>
      <rPr>
        <rFont val="宋体"/>
        <charset val="-122"/>
        <family val="0"/>
        <sz val="9"/>
      </rPr>
      <t xml:space="preserve">  专科疾病防治活动</t>
    </r>
  </si>
  <si>
    <r>
      <rPr>
        <rFont val="宋体"/>
        <charset val="-122"/>
        <family val="0"/>
        <sz val="9"/>
      </rPr>
      <t xml:space="preserve">  指对各种专科疾病进行预防及群众预防的活动。</t>
    </r>
  </si>
  <si>
    <r>
      <rPr>
        <rFont val="宋体"/>
        <charset val="-122"/>
        <family val="0"/>
        <sz val="9"/>
      </rPr>
      <t xml:space="preserve">  疾病预防控制及防疫活动</t>
    </r>
  </si>
  <si>
    <r>
      <rPr>
        <rFont val="宋体"/>
        <charset val="-122"/>
        <family val="0"/>
        <sz val="9"/>
      </rPr>
      <t xml:space="preserve">  其他卫生活动</t>
    </r>
  </si>
  <si>
    <r>
      <rPr>
        <rFont val="宋体"/>
        <charset val="-122"/>
        <family val="0"/>
        <sz val="9"/>
      </rPr>
      <t xml:space="preserve">  指急救中心及其他未列明的卫生机构的活动。</t>
    </r>
  </si>
  <si>
    <r>
      <rPr>
        <rFont val="宋体"/>
        <charset val="-122"/>
        <family val="0"/>
        <sz val="9"/>
      </rPr>
      <t xml:space="preserve">  社会保障业</t>
    </r>
  </si>
  <si>
    <r>
      <rPr>
        <rFont val="宋体"/>
        <charset val="-122"/>
        <family val="0"/>
        <sz val="9"/>
      </rPr>
      <t xml:space="preserve">  指依据国家有关规定开展的各种社会保障活动。</t>
    </r>
  </si>
  <si>
    <r>
      <rPr>
        <rFont val="宋体"/>
        <charset val="-122"/>
        <family val="0"/>
        <sz val="9"/>
      </rPr>
      <t xml:space="preserve">  提供住宿的社会福利</t>
    </r>
  </si>
  <si>
    <r>
      <rPr>
        <rFont val="宋体"/>
        <charset val="-122"/>
        <family val="0"/>
        <sz val="9"/>
      </rPr>
      <t xml:space="preserve">  指提供临时、长期住宿的福利和救济活动。</t>
    </r>
  </si>
  <si>
    <r>
      <rPr>
        <rFont val="宋体"/>
        <charset val="-122"/>
        <family val="0"/>
        <sz val="9"/>
      </rPr>
      <t xml:space="preserve">    干部休养所</t>
    </r>
  </si>
  <si>
    <r>
      <rPr>
        <rFont val="宋体"/>
        <charset val="-122"/>
        <family val="0"/>
        <sz val="9"/>
      </rPr>
      <t xml:space="preserve">    收养收容服务</t>
    </r>
  </si>
  <si>
    <r>
      <rPr>
        <rFont val="宋体"/>
        <charset val="-122"/>
        <family val="0"/>
        <sz val="9"/>
      </rPr>
      <t xml:space="preserve">  指对孤儿、老人、残疾人、弱智儿童、流浪儿童、盲流等人员的收养、收容活动。</t>
    </r>
  </si>
  <si>
    <r>
      <rPr>
        <rFont val="宋体"/>
        <charset val="-122"/>
        <family val="0"/>
        <sz val="9"/>
      </rPr>
      <t xml:space="preserve">  不提供住宿的社会福利</t>
    </r>
  </si>
  <si>
    <r>
      <rPr>
        <rFont val="宋体"/>
        <charset val="-122"/>
        <family val="0"/>
        <sz val="9"/>
      </rPr>
      <t xml:space="preserve">  指为孤儿、老人、残疾人、弱智儿童、军烈属、五保户及其他弱势群体提供不住宿的看护、帮助活动，以及其他社会福利活动。</t>
    </r>
  </si>
  <si>
    <r>
      <rPr>
        <rFont val="宋体"/>
        <charset val="-122"/>
        <family val="0"/>
        <sz val="9"/>
      </rPr>
      <t xml:space="preserve">  本类包括</t>
    </r>
    <r>
      <rPr>
        <rFont val="Times New Roman"/>
        <family val="1"/>
        <sz val="9"/>
      </rPr>
      <t>88</t>
    </r>
    <r>
      <rPr>
        <rFont val="宋体"/>
        <charset val="-122"/>
        <family val="0"/>
        <sz val="9"/>
      </rPr>
      <t>—</t>
    </r>
    <r>
      <rPr>
        <rFont val="Times New Roman"/>
        <family val="1"/>
        <sz val="9"/>
      </rPr>
      <t>92</t>
    </r>
    <r>
      <rPr>
        <rFont val="宋体"/>
        <charset val="-122"/>
        <family val="0"/>
        <sz val="9"/>
      </rPr>
      <t>大类。</t>
    </r>
  </si>
  <si>
    <r>
      <rPr>
        <rFont val="宋体"/>
        <charset val="-122"/>
        <family val="0"/>
        <sz val="9"/>
      </rPr>
      <t xml:space="preserve">  新闻业</t>
    </r>
  </si>
  <si>
    <r>
      <rPr>
        <rFont val="宋体"/>
        <charset val="-122"/>
        <family val="0"/>
        <sz val="9"/>
      </rPr>
      <t xml:space="preserve">  出版业</t>
    </r>
  </si>
  <si>
    <r>
      <rPr>
        <rFont val="宋体"/>
        <charset val="-122"/>
        <family val="0"/>
        <sz val="9"/>
      </rPr>
      <t xml:space="preserve">    图书出版</t>
    </r>
  </si>
  <si>
    <r>
      <rPr>
        <rFont val="宋体"/>
        <charset val="-122"/>
        <family val="0"/>
        <sz val="9"/>
      </rPr>
      <t xml:space="preserve">    报纸出版</t>
    </r>
  </si>
  <si>
    <r>
      <rPr>
        <rFont val="宋体"/>
        <charset val="-122"/>
        <family val="0"/>
        <sz val="9"/>
      </rPr>
      <t xml:space="preserve">    期刊出版</t>
    </r>
  </si>
  <si>
    <r>
      <rPr>
        <rFont val="宋体"/>
        <charset val="-122"/>
        <family val="0"/>
        <sz val="9"/>
      </rPr>
      <t xml:space="preserve">    音像制品出版</t>
    </r>
  </si>
  <si>
    <r>
      <rPr>
        <rFont val="宋体"/>
        <charset val="-122"/>
        <family val="0"/>
        <sz val="9"/>
      </rPr>
      <t xml:space="preserve">    电子出版物出版</t>
    </r>
  </si>
  <si>
    <r>
      <rPr>
        <rFont val="宋体"/>
        <charset val="-122"/>
        <family val="0"/>
        <sz val="9"/>
      </rPr>
      <t xml:space="preserve">    其他出版</t>
    </r>
  </si>
  <si>
    <r>
      <rPr>
        <rFont val="宋体"/>
        <charset val="-122"/>
        <family val="0"/>
        <sz val="9"/>
      </rPr>
      <t xml:space="preserve">  指对广播、电视、电影、录音、录像内容的制作、编导、主持、播出、放映等活动。不包括广播电视信号的传输和接收活动。</t>
    </r>
  </si>
  <si>
    <r>
      <rPr>
        <rFont val="宋体"/>
        <charset val="-122"/>
        <family val="0"/>
        <sz val="9"/>
      </rPr>
      <t xml:space="preserve">  广播</t>
    </r>
  </si>
  <si>
    <r>
      <rPr>
        <rFont val="宋体"/>
        <charset val="-122"/>
        <family val="0"/>
        <sz val="9"/>
      </rPr>
      <t xml:space="preserve">  指广播节目的制作和播放等服务。</t>
    </r>
  </si>
  <si>
    <r>
      <rPr>
        <rFont val="宋体"/>
        <charset val="-122"/>
        <family val="0"/>
        <sz val="9"/>
      </rPr>
      <t xml:space="preserve">  电视</t>
    </r>
  </si>
  <si>
    <r>
      <rPr>
        <rFont val="宋体"/>
        <charset val="-122"/>
        <family val="0"/>
        <sz val="9"/>
      </rPr>
      <t xml:space="preserve">  指电视节目的制作和播放等服务。</t>
    </r>
  </si>
  <si>
    <r>
      <rPr>
        <rFont val="宋体"/>
        <charset val="-122"/>
        <family val="0"/>
        <sz val="9"/>
      </rPr>
      <t xml:space="preserve">  电影</t>
    </r>
  </si>
  <si>
    <r>
      <rPr>
        <rFont val="宋体"/>
        <charset val="-122"/>
        <family val="0"/>
        <sz val="9"/>
      </rPr>
      <t xml:space="preserve">  指电影的制作、发行和放映活动。</t>
    </r>
  </si>
  <si>
    <r>
      <rPr>
        <rFont val="宋体"/>
        <charset val="-122"/>
        <family val="0"/>
        <sz val="9"/>
      </rPr>
      <t xml:space="preserve">    电影制作与发行</t>
    </r>
  </si>
  <si>
    <r>
      <rPr>
        <rFont val="宋体"/>
        <charset val="-122"/>
        <family val="0"/>
        <sz val="9"/>
      </rPr>
      <t xml:space="preserve">  指电影的制片、制作、监制、发行等活动。</t>
    </r>
  </si>
  <si>
    <r>
      <rPr>
        <rFont val="宋体"/>
        <charset val="-122"/>
        <family val="0"/>
        <sz val="9"/>
      </rPr>
      <t xml:space="preserve">    电影放映</t>
    </r>
  </si>
  <si>
    <r>
      <rPr>
        <rFont val="宋体"/>
        <charset val="-122"/>
        <family val="0"/>
        <sz val="9"/>
      </rPr>
      <t xml:space="preserve">  指专业电影院以及设在娱乐场所独立（或相对独立）的电影放映场所的活动。</t>
    </r>
  </si>
  <si>
    <r>
      <rPr>
        <rFont val="宋体"/>
        <charset val="-122"/>
        <family val="0"/>
        <sz val="9"/>
      </rPr>
      <t xml:space="preserve">  音像制作</t>
    </r>
  </si>
  <si>
    <r>
      <rPr>
        <rFont val="宋体"/>
        <charset val="-122"/>
        <family val="0"/>
        <sz val="9"/>
      </rPr>
      <t xml:space="preserve">  指从事录音、摄像、录像等制作活动。其制品可以出版、销售，可以作为广播、电影、电视广告，可以在其他宣传场合播放，或提供给广播电台播放，但不做为电视节目播放。</t>
    </r>
  </si>
  <si>
    <r>
      <rPr>
        <rFont val="宋体"/>
        <charset val="-122"/>
        <family val="0"/>
        <sz val="9"/>
      </rPr>
      <t xml:space="preserve">  文艺创作与表演</t>
    </r>
  </si>
  <si>
    <r>
      <rPr>
        <rFont val="宋体"/>
        <charset val="-122"/>
        <family val="0"/>
        <sz val="9"/>
      </rPr>
      <t xml:space="preserve">  指文学、美术创造和表演艺术（如戏曲、歌舞、话剧、音乐、杂技、马戏、木偶等表演艺术）等活动。</t>
    </r>
  </si>
  <si>
    <r>
      <rPr>
        <rFont val="宋体"/>
        <charset val="-122"/>
        <family val="0"/>
        <sz val="9"/>
      </rPr>
      <t xml:space="preserve">  艺术表演场馆</t>
    </r>
  </si>
  <si>
    <r>
      <rPr>
        <rFont val="宋体"/>
        <charset val="-122"/>
        <family val="0"/>
        <sz val="9"/>
      </rPr>
      <t xml:space="preserve">  指有观众席、舞台、灯光设备，专供文艺团体演出的场所的管理活动。</t>
    </r>
  </si>
  <si>
    <r>
      <rPr>
        <rFont val="宋体"/>
        <charset val="-122"/>
        <family val="0"/>
        <sz val="9"/>
      </rPr>
      <t xml:space="preserve">  图书馆与档案馆</t>
    </r>
  </si>
  <si>
    <r>
      <rPr>
        <rFont val="宋体"/>
        <charset val="-122"/>
        <family val="0"/>
        <sz val="9"/>
      </rPr>
      <t xml:space="preserve">    图书馆</t>
    </r>
  </si>
  <si>
    <r>
      <rPr>
        <rFont val="宋体"/>
        <charset val="-122"/>
        <family val="0"/>
        <sz val="9"/>
      </rPr>
      <t xml:space="preserve">    档案馆</t>
    </r>
  </si>
  <si>
    <r>
      <rPr>
        <rFont val="宋体"/>
        <charset val="-122"/>
        <family val="0"/>
        <sz val="9"/>
      </rPr>
      <t xml:space="preserve">  文物及文化保护</t>
    </r>
  </si>
  <si>
    <r>
      <rPr>
        <rFont val="宋体"/>
        <charset val="-122"/>
        <family val="0"/>
        <sz val="9"/>
      </rPr>
      <t xml:space="preserve">  指对具有历史、文化、艺术、科学价值，并经有关部门鉴定，列入文物保护范围的不可移动文物的保护和管理活动；对我国语言、文字、民间文化艺术、民俗等非物质遗产的文化保护和管理活动。</t>
    </r>
  </si>
  <si>
    <r>
      <rPr>
        <rFont val="宋体"/>
        <charset val="-122"/>
        <family val="0"/>
        <sz val="9"/>
      </rPr>
      <t xml:space="preserve">  博物馆</t>
    </r>
  </si>
  <si>
    <r>
      <rPr>
        <rFont val="宋体"/>
        <charset val="-122"/>
        <family val="0"/>
        <sz val="9"/>
      </rPr>
      <t xml:space="preserve">  指收藏、研究、展示文物和标本的博物馆的活动，以及展示人类文化、艺术、科技、文明的美术馆、艺术馆、展览馆、科技馆、天文馆等管理活动。</t>
    </r>
  </si>
  <si>
    <r>
      <rPr>
        <rFont val="宋体"/>
        <charset val="-122"/>
        <family val="0"/>
        <sz val="9"/>
      </rPr>
      <t xml:space="preserve">  烈士陵园、纪念馆</t>
    </r>
  </si>
  <si>
    <r>
      <rPr>
        <rFont val="宋体"/>
        <charset val="-122"/>
        <family val="0"/>
        <sz val="9"/>
      </rPr>
      <t xml:space="preserve">  群众文化活动</t>
    </r>
  </si>
  <si>
    <r>
      <rPr>
        <rFont val="宋体"/>
        <charset val="-122"/>
        <family val="0"/>
        <sz val="9"/>
      </rPr>
      <t xml:space="preserve">  指开展群众文化活动场所的管理活动。</t>
    </r>
  </si>
  <si>
    <r>
      <rPr>
        <rFont val="宋体"/>
        <charset val="-122"/>
        <family val="0"/>
        <sz val="9"/>
      </rPr>
      <t xml:space="preserve">  文化艺术经纪代理</t>
    </r>
  </si>
  <si>
    <r>
      <rPr>
        <rFont val="宋体"/>
        <charset val="-122"/>
        <family val="0"/>
        <sz val="9"/>
      </rPr>
      <t xml:space="preserve">  其他文化艺术</t>
    </r>
  </si>
  <si>
    <r>
      <rPr>
        <rFont val="宋体"/>
        <charset val="-122"/>
        <family val="0"/>
        <sz val="9"/>
      </rPr>
      <t xml:space="preserve">  体育组织</t>
    </r>
  </si>
  <si>
    <r>
      <rPr>
        <rFont val="宋体"/>
        <charset val="-122"/>
        <family val="0"/>
        <sz val="9"/>
      </rPr>
      <t xml:space="preserve">  指专业从事体育比赛、训练、辅导和管理的组织的活动。</t>
    </r>
  </si>
  <si>
    <r>
      <rPr>
        <rFont val="宋体"/>
        <charset val="-122"/>
        <family val="0"/>
        <sz val="9"/>
      </rPr>
      <t xml:space="preserve">  体育场馆</t>
    </r>
  </si>
  <si>
    <r>
      <rPr>
        <rFont val="宋体"/>
        <charset val="-122"/>
        <family val="0"/>
        <sz val="9"/>
      </rPr>
      <t xml:space="preserve">  指可供观赏比赛的场馆和专供运动员训练用的场地的管理活动。</t>
    </r>
  </si>
  <si>
    <r>
      <rPr>
        <rFont val="宋体"/>
        <charset val="-122"/>
        <family val="0"/>
        <sz val="9"/>
      </rPr>
      <t xml:space="preserve">  其他体育</t>
    </r>
  </si>
  <si>
    <r>
      <rPr>
        <rFont val="宋体"/>
        <charset val="-122"/>
        <family val="0"/>
        <sz val="9"/>
      </rPr>
      <t xml:space="preserve">  指上述未包括的体育活动。</t>
    </r>
  </si>
  <si>
    <r>
      <rPr>
        <rFont val="宋体"/>
        <charset val="-122"/>
        <family val="0"/>
        <sz val="9"/>
      </rPr>
      <t xml:space="preserve">  室内娱乐活动</t>
    </r>
  </si>
  <si>
    <r>
      <rPr>
        <rFont val="宋体"/>
        <charset val="-122"/>
        <family val="0"/>
        <sz val="9"/>
      </rPr>
      <t xml:space="preserve">  指室内各种娱乐活动和以娱乐为主的活动。</t>
    </r>
  </si>
  <si>
    <r>
      <rPr>
        <rFont val="宋体"/>
        <charset val="-122"/>
        <family val="0"/>
        <sz val="9"/>
      </rPr>
      <t xml:space="preserve">  游乐园</t>
    </r>
  </si>
  <si>
    <r>
      <rPr>
        <rFont val="宋体"/>
        <charset val="-122"/>
        <family val="0"/>
        <sz val="9"/>
      </rPr>
      <t xml:space="preserve">  指配有娱乐设施的大型室外娱乐活动及以娱乐为主的活动。</t>
    </r>
  </si>
  <si>
    <r>
      <rPr>
        <rFont val="宋体"/>
        <charset val="-122"/>
        <family val="0"/>
        <sz val="9"/>
      </rPr>
      <t xml:space="preserve">  休闲健身娱乐活动</t>
    </r>
  </si>
  <si>
    <r>
      <rPr>
        <rFont val="宋体"/>
        <charset val="-122"/>
        <family val="0"/>
        <sz val="9"/>
      </rPr>
      <t xml:space="preserve">  指主要面向社会开放的休闲健身娱乐场所和其他体育娱乐场所的管理活动。</t>
    </r>
  </si>
  <si>
    <r>
      <rPr>
        <rFont val="宋体"/>
        <charset val="-122"/>
        <family val="0"/>
        <sz val="9"/>
      </rPr>
      <t xml:space="preserve">  其他娱乐活动</t>
    </r>
  </si>
  <si>
    <r>
      <rPr>
        <rFont val="宋体"/>
        <charset val="-122"/>
        <family val="0"/>
        <sz val="9"/>
      </rPr>
      <t xml:space="preserve">  指各种形式的彩票活动，以及公园、海滩和旅游景点内小型设施的娱乐活动。</t>
    </r>
  </si>
  <si>
    <r>
      <rPr>
        <rFont val="宋体"/>
        <charset val="-122"/>
        <family val="0"/>
        <sz val="9"/>
      </rPr>
      <t xml:space="preserve">  本类包括</t>
    </r>
    <r>
      <rPr>
        <rFont val="Times New Roman"/>
        <family val="1"/>
        <sz val="9"/>
      </rPr>
      <t>93</t>
    </r>
    <r>
      <rPr>
        <rFont val="宋体"/>
        <charset val="-122"/>
        <family val="0"/>
        <sz val="9"/>
      </rPr>
      <t>—</t>
    </r>
    <r>
      <rPr>
        <rFont val="Times New Roman"/>
        <family val="1"/>
        <sz val="9"/>
      </rPr>
      <t>97</t>
    </r>
    <r>
      <rPr>
        <rFont val="宋体"/>
        <charset val="-122"/>
        <family val="0"/>
        <sz val="9"/>
      </rPr>
      <t>大类。</t>
    </r>
  </si>
  <si>
    <r>
      <rPr>
        <rFont val="宋体"/>
        <charset val="-122"/>
        <family val="0"/>
        <sz val="9"/>
      </rPr>
      <t xml:space="preserve">  中国共产党机关</t>
    </r>
  </si>
  <si>
    <r>
      <rPr>
        <rFont val="宋体"/>
        <charset val="-122"/>
        <family val="0"/>
        <sz val="9"/>
      </rPr>
      <t xml:space="preserve">  指宪法规定的国家机构的活动和国家武装力量。</t>
    </r>
  </si>
  <si>
    <r>
      <rPr>
        <rFont val="宋体"/>
        <charset val="-122"/>
        <family val="0"/>
        <sz val="9"/>
      </rPr>
      <t xml:space="preserve">  国家权力机构</t>
    </r>
  </si>
  <si>
    <r>
      <rPr>
        <rFont val="宋体"/>
        <charset val="-122"/>
        <family val="0"/>
        <sz val="9"/>
      </rPr>
      <t xml:space="preserve">  指宪法规定的全国和地方各级人民代表大会及常委会机关的活动。</t>
    </r>
  </si>
  <si>
    <r>
      <rPr>
        <rFont val="宋体"/>
        <charset val="-122"/>
        <family val="0"/>
        <sz val="9"/>
      </rPr>
      <t xml:space="preserve">  国家行政机构</t>
    </r>
  </si>
  <si>
    <r>
      <rPr>
        <rFont val="宋体"/>
        <charset val="-122"/>
        <family val="0"/>
        <sz val="9"/>
      </rPr>
      <t xml:space="preserve">  指国务院及所属行政主管部门的活动；县以上地方各级人民政府及所属各工作部门的活动；乡（镇）级地方人民政府的活动；行政管理部门下属的监督、检查机构的活动。</t>
    </r>
  </si>
  <si>
    <r>
      <rPr>
        <rFont val="宋体"/>
        <charset val="-122"/>
        <family val="0"/>
        <sz val="9"/>
      </rPr>
      <t xml:space="preserve">    综合事务管理机构</t>
    </r>
  </si>
  <si>
    <r>
      <rPr>
        <rFont val="宋体"/>
        <charset val="-122"/>
        <family val="0"/>
        <sz val="9"/>
      </rPr>
      <t xml:space="preserve">  指中央和地方人民政府的活动，以及依法管理全国或地方综合事务的政府主管部门的活动。</t>
    </r>
  </si>
  <si>
    <r>
      <rPr>
        <rFont val="宋体"/>
        <charset val="-122"/>
        <family val="0"/>
        <sz val="9"/>
      </rPr>
      <t xml:space="preserve">    对外事务管理机构</t>
    </r>
  </si>
  <si>
    <r>
      <rPr>
        <rFont val="宋体"/>
        <charset val="-122"/>
        <family val="0"/>
        <sz val="9"/>
      </rPr>
      <t xml:space="preserve">    公共安全管理机构</t>
    </r>
  </si>
  <si>
    <r>
      <rPr>
        <rFont val="宋体"/>
        <charset val="-122"/>
        <family val="0"/>
        <sz val="9"/>
      </rPr>
      <t xml:space="preserve">    社会事务管理机构</t>
    </r>
  </si>
  <si>
    <r>
      <rPr>
        <rFont val="宋体"/>
        <charset val="-122"/>
        <family val="0"/>
        <sz val="9"/>
      </rPr>
      <t xml:space="preserve">    经济事务管理机构</t>
    </r>
  </si>
  <si>
    <r>
      <rPr>
        <rFont val="宋体"/>
        <charset val="-122"/>
        <family val="0"/>
        <sz val="9"/>
      </rPr>
      <t xml:space="preserve">    政府事务管理机构</t>
    </r>
  </si>
  <si>
    <r>
      <rPr>
        <rFont val="宋体"/>
        <charset val="-122"/>
        <family val="0"/>
        <sz val="9"/>
      </rPr>
      <t xml:space="preserve">  指依法对国务院及其主管部门有关事务的管理，以及对各级人民政府及工作部门有关事务的管理活动。</t>
    </r>
  </si>
  <si>
    <r>
      <rPr>
        <rFont val="宋体"/>
        <charset val="-122"/>
        <family val="0"/>
        <sz val="9"/>
      </rPr>
      <t xml:space="preserve">    行政监督检查机构</t>
    </r>
  </si>
  <si>
    <r>
      <rPr>
        <rFont val="宋体"/>
        <charset val="-122"/>
        <family val="0"/>
        <sz val="9"/>
      </rPr>
      <t xml:space="preserve">  指依法对社会经济活动进行监督、监理、稽查、检查、查处等活动。包括独立（或相对独立）于各级行政管理单位的执法检查大队的活动。</t>
    </r>
  </si>
  <si>
    <r>
      <rPr>
        <rFont val="宋体"/>
        <charset val="-122"/>
        <family val="0"/>
        <sz val="9"/>
      </rPr>
      <t xml:space="preserve">  人民法院和人民检察院</t>
    </r>
  </si>
  <si>
    <r>
      <rPr>
        <rFont val="宋体"/>
        <charset val="-122"/>
        <family val="0"/>
        <sz val="9"/>
      </rPr>
      <t xml:space="preserve">  指宪法规定的人民法院和人民检察院的活动。</t>
    </r>
  </si>
  <si>
    <r>
      <rPr>
        <rFont val="宋体"/>
        <charset val="-122"/>
        <family val="0"/>
        <sz val="9"/>
      </rPr>
      <t xml:space="preserve">    人民法院</t>
    </r>
  </si>
  <si>
    <r>
      <rPr>
        <rFont val="宋体"/>
        <charset val="-122"/>
        <family val="0"/>
        <sz val="9"/>
      </rPr>
      <t xml:space="preserve">    人民检察院</t>
    </r>
  </si>
  <si>
    <r>
      <rPr>
        <rFont val="宋体"/>
        <charset val="-122"/>
        <family val="0"/>
        <sz val="9"/>
      </rPr>
      <t xml:space="preserve">  其他国家机构</t>
    </r>
  </si>
  <si>
    <r>
      <rPr>
        <rFont val="宋体"/>
        <charset val="-122"/>
        <family val="0"/>
        <sz val="9"/>
      </rPr>
      <t xml:space="preserve">  指其他未另列明的国家机构的活动。</t>
    </r>
  </si>
  <si>
    <r>
      <rPr>
        <rFont val="宋体"/>
        <charset val="-122"/>
        <family val="0"/>
        <sz val="9"/>
      </rPr>
      <t xml:space="preserve">  人民政协</t>
    </r>
  </si>
  <si>
    <r>
      <rPr>
        <rFont val="宋体"/>
        <charset val="-122"/>
        <family val="0"/>
        <sz val="9"/>
      </rPr>
      <t xml:space="preserve">  民主党派</t>
    </r>
  </si>
  <si>
    <r>
      <rPr>
        <rFont val="宋体"/>
        <charset val="-122"/>
        <family val="0"/>
        <sz val="9"/>
      </rPr>
      <t xml:space="preserve">  群众团体</t>
    </r>
  </si>
  <si>
    <r>
      <rPr>
        <rFont val="宋体"/>
        <charset val="-122"/>
        <family val="0"/>
        <sz val="9"/>
      </rPr>
      <t xml:space="preserve">  指不在社会团体登记管理机关登记的群众团体的活动。</t>
    </r>
  </si>
  <si>
    <r>
      <rPr>
        <rFont val="宋体"/>
        <charset val="-122"/>
        <family val="0"/>
        <sz val="9"/>
      </rPr>
      <t xml:space="preserve">    工会</t>
    </r>
  </si>
  <si>
    <r>
      <rPr>
        <rFont val="宋体"/>
        <charset val="-122"/>
        <family val="0"/>
        <sz val="9"/>
      </rPr>
      <t xml:space="preserve">    妇联</t>
    </r>
  </si>
  <si>
    <r>
      <rPr>
        <rFont val="宋体"/>
        <charset val="-122"/>
        <family val="0"/>
        <sz val="9"/>
      </rPr>
      <t xml:space="preserve">    共青团</t>
    </r>
  </si>
  <si>
    <r>
      <rPr>
        <rFont val="宋体"/>
        <charset val="-122"/>
        <family val="0"/>
        <sz val="9"/>
      </rPr>
      <t xml:space="preserve">    其他群众团体</t>
    </r>
  </si>
  <si>
    <r>
      <rPr>
        <rFont val="宋体"/>
        <charset val="-122"/>
        <family val="0"/>
        <sz val="9"/>
      </rPr>
      <t xml:space="preserve">  社会团体</t>
    </r>
  </si>
  <si>
    <r>
      <rPr>
        <rFont val="宋体"/>
        <charset val="-122"/>
        <family val="0"/>
        <sz val="9"/>
      </rPr>
      <t xml:space="preserve">  指依法在社会团体登记管理机关登记的单位的活动。</t>
    </r>
  </si>
  <si>
    <r>
      <rPr>
        <rFont val="宋体"/>
        <charset val="-122"/>
        <family val="0"/>
        <sz val="9"/>
      </rPr>
      <t xml:space="preserve">    专业性团体</t>
    </r>
  </si>
  <si>
    <r>
      <rPr>
        <rFont val="宋体"/>
        <charset val="-122"/>
        <family val="0"/>
        <sz val="9"/>
      </rPr>
      <t xml:space="preserve">  指由同一领域的成员、专家组成的社会团体（如学科、学术、文化、艺术、教育、卫生等）的活动。</t>
    </r>
  </si>
  <si>
    <r>
      <rPr>
        <rFont val="宋体"/>
        <charset val="-122"/>
        <family val="0"/>
        <sz val="9"/>
      </rPr>
      <t xml:space="preserve">    行业性团体</t>
    </r>
  </si>
  <si>
    <r>
      <rPr>
        <rFont val="宋体"/>
        <charset val="-122"/>
        <family val="0"/>
        <sz val="9"/>
      </rPr>
      <t xml:space="preserve">  指由一个行业，或某一类企业，或不同企业的雇主（经理、厂长）组成的社会团体的活动。</t>
    </r>
  </si>
  <si>
    <r>
      <rPr>
        <rFont val="宋体"/>
        <charset val="-122"/>
        <family val="0"/>
        <sz val="9"/>
      </rPr>
      <t xml:space="preserve">    其他社会团体</t>
    </r>
  </si>
  <si>
    <r>
      <rPr>
        <rFont val="宋体"/>
        <charset val="-122"/>
        <family val="0"/>
        <sz val="9"/>
      </rPr>
      <t xml:space="preserve">  指未列明的其他社会团体的活动。</t>
    </r>
  </si>
  <si>
    <r>
      <rPr>
        <rFont val="宋体"/>
        <charset val="-122"/>
        <family val="0"/>
        <sz val="9"/>
      </rPr>
      <t xml:space="preserve">  宗教组织</t>
    </r>
  </si>
  <si>
    <r>
      <rPr>
        <rFont val="宋体"/>
        <charset val="-122"/>
        <family val="0"/>
        <sz val="9"/>
      </rPr>
      <t xml:space="preserve">  指经批准的宗教组织的活动和寺庙、清真寺、教堂等的宗教活动。</t>
    </r>
  </si>
  <si>
    <r>
      <rPr>
        <rFont val="宋体"/>
        <charset val="-122"/>
        <family val="0"/>
        <sz val="9"/>
      </rPr>
      <t xml:space="preserve">  指通过选举产生的社区性组织，该组织为本地区提供一般性管理、调解、治安、优抚、计划生育等服务。</t>
    </r>
  </si>
  <si>
    <r>
      <rPr>
        <rFont val="宋体"/>
        <charset val="-122"/>
        <family val="0"/>
        <sz val="9"/>
      </rPr>
      <t xml:space="preserve">  社区自治组织</t>
    </r>
  </si>
  <si>
    <r>
      <rPr>
        <rFont val="宋体"/>
        <charset val="-122"/>
        <family val="0"/>
        <sz val="9"/>
      </rPr>
      <t xml:space="preserve">  指城市、镇的居民通过选举产生的群众性自治组织的管理活动。</t>
    </r>
  </si>
  <si>
    <r>
      <rPr>
        <rFont val="宋体"/>
        <charset val="-122"/>
        <family val="0"/>
        <sz val="9"/>
      </rPr>
      <t xml:space="preserve">  村民自治组织</t>
    </r>
  </si>
  <si>
    <r>
      <rPr>
        <rFont val="宋体"/>
        <charset val="-122"/>
        <family val="0"/>
        <sz val="9"/>
      </rPr>
      <t xml:space="preserve">  指农村村民通过选举产生的群众性自治组织的管理活动。</t>
    </r>
  </si>
  <si>
    <r>
      <rPr>
        <rFont val="宋体"/>
        <charset val="-122"/>
        <family val="0"/>
        <sz val="9"/>
      </rPr>
      <t xml:space="preserve">  国际组织</t>
    </r>
  </si>
  <si>
    <r>
      <rPr>
        <rFont val="宋体"/>
        <charset val="-122"/>
        <family val="0"/>
        <sz val="9"/>
      </rPr>
      <t xml:space="preserve">  指联合国和其他国际组织驻我国境内的机构的活动。</t>
    </r>
  </si>
  <si>
    <r>
      <rPr>
        <rFont val="宋体"/>
        <charset val="-122"/>
        <family val="0"/>
        <b val="true"/>
        <sz val="16"/>
      </rPr>
      <t xml:space="preserve">        项目评估评级台账</t>
    </r>
  </si>
  <si>
    <r>
      <t>固定资产投资估算表</t>
    </r>
  </si>
  <si>
    <r>
      <t>固定资产投资资产分类表</t>
    </r>
  </si>
  <si>
    <r>
      <t>投资计划与资金筹措表</t>
    </r>
  </si>
  <si>
    <r>
      <t>总成本费用表</t>
    </r>
  </si>
  <si>
    <r>
      <t>损益及利润分配表</t>
    </r>
  </si>
  <si>
    <r>
      <t>项目贷款偿还期计算表</t>
    </r>
  </si>
  <si>
    <r>
      <t>项目现金流量表</t>
    </r>
  </si>
  <si>
    <r>
      <t>项目偿债备付率计算表</t>
    </r>
  </si>
  <si>
    <r>
      <t>平均债务与息税折旧摊销前盈利比率计算表</t>
    </r>
  </si>
  <si>
    <r>
      <t>债务期内的债务偿付比率计算表</t>
    </r>
  </si>
  <si>
    <r>
      <t>评估项目基础数据表</t>
    </r>
  </si>
  <si>
    <r>
      <t>生产投入物估算表</t>
    </r>
  </si>
  <si>
    <r>
      <t>资产折旧及摊销估算表</t>
    </r>
  </si>
  <si>
    <r>
      <t>销售收入及税金估算表</t>
    </r>
  </si>
  <si>
    <r>
      <t>经济评估基础数据及效益指标表</t>
    </r>
  </si>
  <si>
    <r>
      <t>全部经济评价参数一览表</t>
    </r>
  </si>
  <si>
    <r>
      <t>单因素敏感性分析表</t>
    </r>
  </si>
  <si>
    <r>
      <t>初始评级（</t>
    </r>
    <r>
      <rPr>
        <rFont val="Times New Roman"/>
        <family val="1"/>
        <sz val="10"/>
      </rPr>
      <t>R1</t>
    </r>
    <r>
      <rPr>
        <rFont val="宋体"/>
        <charset val="-122"/>
        <family val="0"/>
        <sz val="10"/>
      </rPr>
      <t>）</t>
    </r>
  </si>
  <si>
    <r>
      <t>系统评级（</t>
    </r>
    <r>
      <rPr>
        <rFont val="Times New Roman"/>
        <family val="1"/>
        <sz val="10"/>
      </rPr>
      <t>R2</t>
    </r>
    <r>
      <rPr>
        <rFont val="宋体"/>
        <charset val="-122"/>
        <family val="0"/>
        <sz val="10"/>
      </rPr>
      <t>）</t>
    </r>
  </si>
  <si>
    <r>
      <t>教育费附加税率（</t>
    </r>
    <r>
      <rPr>
        <rFont val="Times New Roman"/>
        <family val="1"/>
        <sz val="9"/>
      </rPr>
      <t>%</t>
    </r>
    <r>
      <rPr>
        <rFont val="宋体"/>
        <charset val="-122"/>
        <family val="0"/>
        <sz val="9"/>
      </rPr>
      <t>）</t>
    </r>
  </si>
  <si>
    <r>
      <t>其他费率（</t>
    </r>
    <r>
      <rPr>
        <rFont val="Times New Roman"/>
        <family val="1"/>
        <sz val="9"/>
      </rPr>
      <t>%</t>
    </r>
    <r>
      <rPr>
        <rFont val="宋体"/>
        <charset val="-122"/>
        <family val="0"/>
        <sz val="9"/>
      </rPr>
      <t>）</t>
    </r>
  </si>
  <si>
    <r>
      <t>所得税率（</t>
    </r>
    <r>
      <rPr>
        <rFont val="Times New Roman"/>
        <family val="1"/>
        <sz val="9"/>
      </rPr>
      <t>%</t>
    </r>
    <r>
      <rPr>
        <rFont val="宋体"/>
        <charset val="-122"/>
        <family val="0"/>
        <sz val="9"/>
      </rPr>
      <t>）</t>
    </r>
  </si>
  <si>
    <r>
      <t>盈余公积金（</t>
    </r>
    <r>
      <rPr>
        <rFont val="Times New Roman"/>
        <family val="1"/>
        <sz val="9"/>
      </rPr>
      <t>%</t>
    </r>
    <r>
      <rPr>
        <rFont val="宋体"/>
        <charset val="-122"/>
        <family val="0"/>
        <sz val="9"/>
      </rPr>
      <t>）</t>
    </r>
  </si>
  <si>
    <r>
      <t>固定资产投资方向调节税率（</t>
    </r>
    <r>
      <rPr>
        <rFont val="Times New Roman"/>
        <family val="1"/>
        <sz val="9"/>
      </rPr>
      <t>%</t>
    </r>
    <r>
      <rPr>
        <rFont val="宋体"/>
        <charset val="-122"/>
        <family val="0"/>
        <sz val="9"/>
      </rPr>
      <t>）</t>
    </r>
  </si>
  <si>
    <r>
      <t>公益金（</t>
    </r>
    <r>
      <rPr>
        <rFont val="Times New Roman"/>
        <family val="1"/>
        <sz val="9"/>
      </rPr>
      <t>%</t>
    </r>
    <r>
      <rPr>
        <rFont val="宋体"/>
        <charset val="-122"/>
        <family val="0"/>
        <sz val="9"/>
      </rPr>
      <t>）</t>
    </r>
  </si>
  <si>
    <r>
      <t>国家新批准税费（</t>
    </r>
    <r>
      <rPr>
        <rFont val="Times New Roman"/>
        <family val="1"/>
        <sz val="9"/>
      </rPr>
      <t>%</t>
    </r>
    <r>
      <rPr>
        <rFont val="宋体"/>
        <charset val="-122"/>
        <family val="0"/>
        <sz val="9"/>
      </rPr>
      <t>）</t>
    </r>
  </si>
  <si>
    <r>
      <t>任意盈余公积金比例（</t>
    </r>
    <r>
      <rPr>
        <rFont val="Times New Roman"/>
        <family val="1"/>
        <sz val="9"/>
      </rPr>
      <t>%</t>
    </r>
    <r>
      <rPr>
        <rFont val="宋体"/>
        <charset val="-122"/>
        <family val="0"/>
        <sz val="9"/>
      </rPr>
      <t>）</t>
    </r>
  </si>
  <si>
    <r>
      <t>应付利润支付比例（</t>
    </r>
    <r>
      <rPr>
        <rFont val="Times New Roman"/>
        <family val="1"/>
        <sz val="9"/>
      </rPr>
      <t>%</t>
    </r>
    <r>
      <rPr>
        <rFont val="宋体"/>
        <charset val="-122"/>
        <family val="0"/>
        <sz val="9"/>
      </rPr>
      <t>）</t>
    </r>
  </si>
  <si>
    <r>
      <t>未分配利润还款比例（</t>
    </r>
    <r>
      <rPr>
        <rFont val="Times New Roman"/>
        <family val="1"/>
        <sz val="9"/>
      </rPr>
      <t>%</t>
    </r>
    <r>
      <rPr>
        <rFont val="宋体"/>
        <charset val="-122"/>
        <family val="0"/>
        <sz val="9"/>
      </rPr>
      <t>）</t>
    </r>
  </si>
  <si>
    <r>
      <t>职工工资福利比例（</t>
    </r>
    <r>
      <rPr>
        <rFont val="Times New Roman"/>
        <family val="1"/>
        <sz val="9"/>
      </rPr>
      <t>%</t>
    </r>
    <r>
      <rPr>
        <rFont val="宋体"/>
        <charset val="-122"/>
        <family val="0"/>
        <sz val="9"/>
      </rPr>
      <t>）</t>
    </r>
  </si>
  <si>
    <r>
      <t>前三年折旧还款比例（</t>
    </r>
    <r>
      <rPr>
        <rFont val="Times New Roman"/>
        <family val="1"/>
        <sz val="9"/>
      </rPr>
      <t>%</t>
    </r>
    <r>
      <rPr>
        <rFont val="宋体"/>
        <charset val="-122"/>
        <family val="0"/>
        <sz val="9"/>
      </rPr>
      <t>）</t>
    </r>
  </si>
  <si>
    <r>
      <t>三年后折旧还款比例（</t>
    </r>
    <r>
      <rPr>
        <rFont val="Times New Roman"/>
        <family val="1"/>
        <sz val="9"/>
      </rPr>
      <t>%</t>
    </r>
    <r>
      <rPr>
        <rFont val="宋体"/>
        <charset val="-122"/>
        <family val="0"/>
        <sz val="9"/>
      </rPr>
      <t>）</t>
    </r>
  </si>
  <si>
    <r>
      <t>项目基准折现率（</t>
    </r>
    <r>
      <rPr>
        <rFont val="Times New Roman"/>
        <family val="1"/>
        <sz val="9"/>
      </rPr>
      <t>%</t>
    </r>
    <r>
      <rPr>
        <rFont val="宋体"/>
        <charset val="-122"/>
        <family val="0"/>
        <sz val="9"/>
      </rPr>
      <t>）</t>
    </r>
  </si>
  <si>
    <r>
      <rPr>
        <rFont val="宋体"/>
        <charset val="-122"/>
        <family val="0"/>
        <b val="true"/>
        <sz val="16"/>
      </rPr>
      <t xml:space="preserve">        固定资产贷款项目评估台账</t>
    </r>
  </si>
  <si>
    <r>
      <t>I</t>
    </r>
    <r>
      <rPr>
        <rFont val="宋体"/>
        <charset val="-122"/>
        <family val="0"/>
        <sz val="12"/>
      </rPr>
      <t>F(?$100-?$124=0,0,</t>
    </r>
    <r>
      <rPr>
        <rFont val="宋体"/>
        <charset val="-122"/>
        <family val="0"/>
        <sz val="12"/>
      </rPr>
      <t>(?$7+?$16)*offset(??,83,0)/(?$100-?$124)</t>
    </r>
    <r>
      <rPr>
        <rFont val="宋体"/>
        <charset val="-122"/>
        <family val="0"/>
        <sz val="12"/>
      </rPr>
      <t>)</t>
    </r>
  </si>
  <si>
    <r>
      <t>IF(OR(?$100-?$124=0,?$110=0),0,</t>
    </r>
    <r>
      <rPr>
        <rFont val="宋体"/>
        <charset val="-122"/>
        <family val="0"/>
        <sz val="12"/>
      </rPr>
      <t>((?$7+?$16)*(1-?$101/(?$100-?$124))-?$33</t>
    </r>
    <r>
      <rPr>
        <rFont val="宋体"/>
        <charset val="-122"/>
        <family val="0"/>
        <sz val="12"/>
      </rPr>
      <t>-?$38-?$39-?$40</t>
    </r>
    <r>
      <rPr>
        <rFont val="宋体"/>
        <charset val="-122"/>
        <family val="0"/>
        <sz val="12"/>
      </rPr>
      <t>-?$45)*offset(??,83,0)/?$110</t>
    </r>
    <r>
      <rPr>
        <rFont val="宋体"/>
        <charset val="-122"/>
        <family val="0"/>
        <sz val="12"/>
      </rPr>
      <t>)</t>
    </r>
  </si>
  <si>
    <r>
      <t>p</t>
    </r>
    <r>
      <rPr>
        <rFont val="宋体"/>
        <charset val="-122"/>
        <family val="0"/>
        <sz val="12"/>
      </rPr>
      <t>gb5</t>
    </r>
  </si>
  <si>
    <r>
      <t>D</t>
    </r>
    <r>
      <rPr>
        <rFont val="宋体"/>
        <charset val="-122"/>
        <family val="0"/>
        <sz val="12"/>
      </rPr>
      <t>17:BM17</t>
    </r>
  </si>
  <si>
    <r>
      <t>E2</t>
    </r>
    <r>
      <rPr>
        <rFont val="宋体"/>
        <charset val="-122"/>
        <family val="0"/>
        <sz val="12"/>
      </rPr>
      <t>3</t>
    </r>
    <r>
      <rPr>
        <rFont val="宋体"/>
        <charset val="-122"/>
        <family val="0"/>
        <sz val="12"/>
      </rPr>
      <t>:BN2</t>
    </r>
    <r>
      <rPr>
        <rFont val="宋体"/>
        <charset val="-122"/>
        <family val="0"/>
        <sz val="12"/>
      </rPr>
      <t>3</t>
    </r>
  </si>
  <si>
    <r>
      <t>E3</t>
    </r>
    <r>
      <rPr>
        <rFont val="宋体"/>
        <charset val="-122"/>
        <family val="0"/>
        <sz val="12"/>
      </rPr>
      <t>4</t>
    </r>
    <r>
      <rPr>
        <rFont val="宋体"/>
        <charset val="-122"/>
        <family val="0"/>
        <sz val="12"/>
      </rPr>
      <t>:BN3</t>
    </r>
    <r>
      <rPr>
        <rFont val="宋体"/>
        <charset val="-122"/>
        <family val="0"/>
        <sz val="12"/>
      </rPr>
      <t>4</t>
    </r>
  </si>
  <si>
    <r>
      <t>E4</t>
    </r>
    <r>
      <rPr>
        <rFont val="宋体"/>
        <charset val="-122"/>
        <family val="0"/>
        <sz val="12"/>
      </rPr>
      <t>5</t>
    </r>
    <r>
      <rPr>
        <rFont val="宋体"/>
        <charset val="-122"/>
        <family val="0"/>
        <sz val="12"/>
      </rPr>
      <t>:BN4</t>
    </r>
    <r>
      <rPr>
        <rFont val="宋体"/>
        <charset val="-122"/>
        <family val="0"/>
        <sz val="12"/>
      </rPr>
      <t>5</t>
    </r>
  </si>
  <si>
    <r>
      <t>E5</t>
    </r>
    <r>
      <rPr>
        <rFont val="宋体"/>
        <charset val="-122"/>
        <family val="0"/>
        <sz val="12"/>
      </rPr>
      <t>6</t>
    </r>
    <r>
      <rPr>
        <rFont val="宋体"/>
        <charset val="-122"/>
        <family val="0"/>
        <sz val="12"/>
      </rPr>
      <t>:BN5</t>
    </r>
    <r>
      <rPr>
        <rFont val="宋体"/>
        <charset val="-122"/>
        <family val="0"/>
        <sz val="12"/>
      </rPr>
      <t>6</t>
    </r>
  </si>
  <si>
    <r>
      <t>E6</t>
    </r>
    <r>
      <rPr>
        <rFont val="宋体"/>
        <charset val="-122"/>
        <family val="0"/>
        <sz val="12"/>
      </rPr>
      <t>7</t>
    </r>
    <r>
      <rPr>
        <rFont val="宋体"/>
        <charset val="-122"/>
        <family val="0"/>
        <sz val="12"/>
      </rPr>
      <t>:BN6</t>
    </r>
    <r>
      <rPr>
        <rFont val="宋体"/>
        <charset val="-122"/>
        <family val="0"/>
        <sz val="12"/>
      </rPr>
      <t>7</t>
    </r>
  </si>
  <si>
    <r>
      <t>E7</t>
    </r>
    <r>
      <rPr>
        <rFont val="宋体"/>
        <charset val="-122"/>
        <family val="0"/>
        <sz val="12"/>
      </rPr>
      <t>8</t>
    </r>
    <r>
      <rPr>
        <rFont val="宋体"/>
        <charset val="-122"/>
        <family val="0"/>
        <sz val="12"/>
      </rPr>
      <t>:BN7</t>
    </r>
    <r>
      <rPr>
        <rFont val="宋体"/>
        <charset val="-122"/>
        <family val="0"/>
        <sz val="12"/>
      </rPr>
      <t>8</t>
    </r>
  </si>
  <si>
    <r>
      <t>E8</t>
    </r>
    <r>
      <rPr>
        <rFont val="宋体"/>
        <charset val="-122"/>
        <family val="0"/>
        <sz val="12"/>
      </rPr>
      <t>9</t>
    </r>
    <r>
      <rPr>
        <rFont val="宋体"/>
        <charset val="-122"/>
        <family val="0"/>
        <sz val="12"/>
      </rPr>
      <t>:BN8</t>
    </r>
    <r>
      <rPr>
        <rFont val="宋体"/>
        <charset val="-122"/>
        <family val="0"/>
        <sz val="12"/>
      </rPr>
      <t>9</t>
    </r>
  </si>
  <si>
    <r>
      <t>E</t>
    </r>
    <r>
      <rPr>
        <rFont val="宋体"/>
        <charset val="-122"/>
        <family val="0"/>
        <sz val="12"/>
      </rPr>
      <t>100</t>
    </r>
    <r>
      <rPr>
        <rFont val="宋体"/>
        <charset val="-122"/>
        <family val="0"/>
        <sz val="12"/>
      </rPr>
      <t>:BN</t>
    </r>
    <r>
      <rPr>
        <rFont val="宋体"/>
        <charset val="-122"/>
        <family val="0"/>
        <sz val="12"/>
      </rPr>
      <t>100</t>
    </r>
  </si>
  <si>
    <r>
      <t>E1</t>
    </r>
    <r>
      <rPr>
        <rFont val="宋体"/>
        <charset val="-122"/>
        <family val="0"/>
        <sz val="12"/>
      </rPr>
      <t>11</t>
    </r>
    <r>
      <rPr>
        <rFont val="宋体"/>
        <charset val="-122"/>
        <family val="0"/>
        <sz val="12"/>
      </rPr>
      <t>:BN1</t>
    </r>
    <r>
      <rPr>
        <rFont val="宋体"/>
        <charset val="-122"/>
        <family val="0"/>
        <sz val="12"/>
      </rPr>
      <t>11</t>
    </r>
  </si>
  <si>
    <r>
      <t>E1</t>
    </r>
    <r>
      <rPr>
        <rFont val="宋体"/>
        <charset val="-122"/>
        <family val="0"/>
        <sz val="12"/>
      </rPr>
      <t>22</t>
    </r>
    <r>
      <rPr>
        <rFont val="宋体"/>
        <charset val="-122"/>
        <family val="0"/>
        <sz val="12"/>
      </rPr>
      <t>:BN1</t>
    </r>
    <r>
      <rPr>
        <rFont val="宋体"/>
        <charset val="-122"/>
        <family val="0"/>
        <sz val="12"/>
      </rPr>
      <t>22</t>
    </r>
  </si>
  <si>
    <r>
      <t>E13</t>
    </r>
    <r>
      <rPr>
        <rFont val="宋体"/>
        <charset val="-122"/>
        <family val="0"/>
        <sz val="12"/>
      </rPr>
      <t>4</t>
    </r>
    <r>
      <rPr>
        <rFont val="宋体"/>
        <charset val="-122"/>
        <family val="0"/>
        <sz val="12"/>
      </rPr>
      <t>:BN13</t>
    </r>
    <r>
      <rPr>
        <rFont val="宋体"/>
        <charset val="-122"/>
        <family val="0"/>
        <sz val="12"/>
      </rPr>
      <t>4</t>
    </r>
  </si>
  <si>
    <r>
      <t>E14</t>
    </r>
    <r>
      <rPr>
        <rFont val="宋体"/>
        <charset val="-122"/>
        <family val="0"/>
        <sz val="12"/>
      </rPr>
      <t>5</t>
    </r>
    <r>
      <rPr>
        <rFont val="宋体"/>
        <charset val="-122"/>
        <family val="0"/>
        <sz val="12"/>
      </rPr>
      <t>:BN14</t>
    </r>
    <r>
      <rPr>
        <rFont val="宋体"/>
        <charset val="-122"/>
        <family val="0"/>
        <sz val="12"/>
      </rPr>
      <t>5</t>
    </r>
  </si>
  <si>
    <r>
      <t>E15</t>
    </r>
    <r>
      <rPr>
        <rFont val="宋体"/>
        <charset val="-122"/>
        <family val="0"/>
        <sz val="12"/>
      </rPr>
      <t>6</t>
    </r>
    <r>
      <rPr>
        <rFont val="宋体"/>
        <charset val="-122"/>
        <family val="0"/>
        <sz val="12"/>
      </rPr>
      <t>:BN15</t>
    </r>
    <r>
      <rPr>
        <rFont val="宋体"/>
        <charset val="-122"/>
        <family val="0"/>
        <sz val="12"/>
      </rPr>
      <t>6</t>
    </r>
  </si>
  <si>
    <r>
      <t>E16</t>
    </r>
    <r>
      <rPr>
        <rFont val="宋体"/>
        <charset val="-122"/>
        <family val="0"/>
        <sz val="12"/>
      </rPr>
      <t>7</t>
    </r>
    <r>
      <rPr>
        <rFont val="宋体"/>
        <charset val="-122"/>
        <family val="0"/>
        <sz val="12"/>
      </rPr>
      <t>:BN16</t>
    </r>
    <r>
      <rPr>
        <rFont val="宋体"/>
        <charset val="-122"/>
        <family val="0"/>
        <sz val="12"/>
      </rPr>
      <t>7</t>
    </r>
  </si>
  <si>
    <r>
      <t>E17</t>
    </r>
    <r>
      <rPr>
        <rFont val="宋体"/>
        <charset val="-122"/>
        <family val="0"/>
        <sz val="12"/>
      </rPr>
      <t>8</t>
    </r>
    <r>
      <rPr>
        <rFont val="宋体"/>
        <charset val="-122"/>
        <family val="0"/>
        <sz val="12"/>
      </rPr>
      <t>:BN17</t>
    </r>
    <r>
      <rPr>
        <rFont val="宋体"/>
        <charset val="-122"/>
        <family val="0"/>
        <sz val="12"/>
      </rPr>
      <t>8</t>
    </r>
  </si>
  <si>
    <r>
      <t>E1</t>
    </r>
    <r>
      <rPr>
        <rFont val="宋体"/>
        <charset val="-122"/>
        <family val="0"/>
        <sz val="12"/>
      </rPr>
      <t>90</t>
    </r>
    <r>
      <rPr>
        <rFont val="宋体"/>
        <charset val="-122"/>
        <family val="0"/>
        <sz val="12"/>
      </rPr>
      <t>:BN1</t>
    </r>
    <r>
      <rPr>
        <rFont val="宋体"/>
        <charset val="-122"/>
        <family val="0"/>
        <sz val="12"/>
      </rPr>
      <t>90</t>
    </r>
  </si>
  <si>
    <r>
      <t>E</t>
    </r>
    <r>
      <rPr>
        <rFont val="宋体"/>
        <charset val="-122"/>
        <family val="0"/>
        <sz val="12"/>
      </rPr>
      <t>201</t>
    </r>
    <r>
      <rPr>
        <rFont val="宋体"/>
        <charset val="-122"/>
        <family val="0"/>
        <sz val="12"/>
      </rPr>
      <t>:BN</t>
    </r>
    <r>
      <rPr>
        <rFont val="宋体"/>
        <charset val="-122"/>
        <family val="0"/>
        <sz val="12"/>
      </rPr>
      <t>201</t>
    </r>
  </si>
  <si>
    <r>
      <t>E21</t>
    </r>
    <r>
      <rPr>
        <rFont val="宋体"/>
        <charset val="-122"/>
        <family val="0"/>
        <sz val="12"/>
      </rPr>
      <t>3</t>
    </r>
    <r>
      <rPr>
        <rFont val="宋体"/>
        <charset val="-122"/>
        <family val="0"/>
        <sz val="12"/>
      </rPr>
      <t>:BN21</t>
    </r>
    <r>
      <rPr>
        <rFont val="宋体"/>
        <charset val="-122"/>
        <family val="0"/>
        <sz val="12"/>
      </rPr>
      <t>3</t>
    </r>
  </si>
  <si>
    <r>
      <t>E22</t>
    </r>
    <r>
      <rPr>
        <rFont val="宋体"/>
        <charset val="-122"/>
        <family val="0"/>
        <sz val="12"/>
      </rPr>
      <t>4</t>
    </r>
    <r>
      <rPr>
        <rFont val="宋体"/>
        <charset val="-122"/>
        <family val="0"/>
        <sz val="12"/>
      </rPr>
      <t>:BN22</t>
    </r>
    <r>
      <rPr>
        <rFont val="宋体"/>
        <charset val="-122"/>
        <family val="0"/>
        <sz val="12"/>
      </rPr>
      <t>4</t>
    </r>
  </si>
  <si>
    <r>
      <t>E23</t>
    </r>
    <r>
      <rPr>
        <rFont val="宋体"/>
        <charset val="-122"/>
        <family val="0"/>
        <sz val="12"/>
      </rPr>
      <t>6</t>
    </r>
    <r>
      <rPr>
        <rFont val="宋体"/>
        <charset val="-122"/>
        <family val="0"/>
        <sz val="12"/>
      </rPr>
      <t>:BN23</t>
    </r>
    <r>
      <rPr>
        <rFont val="宋体"/>
        <charset val="-122"/>
        <family val="0"/>
        <sz val="12"/>
      </rPr>
      <t>6</t>
    </r>
  </si>
  <si>
    <r>
      <t>E24</t>
    </r>
    <r>
      <rPr>
        <rFont val="宋体"/>
        <charset val="-122"/>
        <family val="0"/>
        <sz val="12"/>
      </rPr>
      <t>7</t>
    </r>
    <r>
      <rPr>
        <rFont val="宋体"/>
        <charset val="-122"/>
        <family val="0"/>
        <sz val="12"/>
      </rPr>
      <t>:BN24</t>
    </r>
    <r>
      <rPr>
        <rFont val="宋体"/>
        <charset val="-122"/>
        <family val="0"/>
        <sz val="12"/>
      </rPr>
      <t>7</t>
    </r>
  </si>
  <si>
    <r>
      <t>E25</t>
    </r>
    <r>
      <rPr>
        <rFont val="宋体"/>
        <charset val="-122"/>
        <family val="0"/>
        <sz val="12"/>
      </rPr>
      <t>9</t>
    </r>
    <r>
      <rPr>
        <rFont val="宋体"/>
        <charset val="-122"/>
        <family val="0"/>
        <sz val="12"/>
      </rPr>
      <t>:BN25</t>
    </r>
    <r>
      <rPr>
        <rFont val="宋体"/>
        <charset val="-122"/>
        <family val="0"/>
        <sz val="12"/>
      </rPr>
      <t>9</t>
    </r>
  </si>
  <si>
    <r>
      <t>E2</t>
    </r>
    <r>
      <rPr>
        <rFont val="宋体"/>
        <charset val="-122"/>
        <family val="0"/>
        <sz val="12"/>
      </rPr>
      <t>70</t>
    </r>
    <r>
      <rPr>
        <rFont val="宋体"/>
        <charset val="-122"/>
        <family val="0"/>
        <sz val="12"/>
      </rPr>
      <t>:BN2</t>
    </r>
    <r>
      <rPr>
        <rFont val="宋体"/>
        <charset val="-122"/>
        <family val="0"/>
        <sz val="12"/>
      </rPr>
      <t>70</t>
    </r>
  </si>
  <si>
    <r>
      <t>E2</t>
    </r>
    <r>
      <rPr>
        <rFont val="宋体"/>
        <charset val="-122"/>
        <family val="0"/>
        <sz val="12"/>
      </rPr>
      <t>82</t>
    </r>
    <r>
      <rPr>
        <rFont val="宋体"/>
        <charset val="-122"/>
        <family val="0"/>
        <sz val="12"/>
      </rPr>
      <t>:BN2</t>
    </r>
    <r>
      <rPr>
        <rFont val="宋体"/>
        <charset val="-122"/>
        <family val="0"/>
        <sz val="12"/>
      </rPr>
      <t>82</t>
    </r>
  </si>
  <si>
    <r>
      <t>E29</t>
    </r>
    <r>
      <rPr>
        <rFont val="宋体"/>
        <charset val="-122"/>
        <family val="0"/>
        <sz val="12"/>
      </rPr>
      <t>3</t>
    </r>
    <r>
      <rPr>
        <rFont val="宋体"/>
        <charset val="-122"/>
        <family val="0"/>
        <sz val="12"/>
      </rPr>
      <t>:BN29</t>
    </r>
    <r>
      <rPr>
        <rFont val="宋体"/>
        <charset val="-122"/>
        <family val="0"/>
        <sz val="12"/>
      </rPr>
      <t>3</t>
    </r>
  </si>
  <si>
    <r>
      <rPr>
        <rFont val="宋体"/>
        <charset val="-122"/>
        <family val="0"/>
        <b val="true"/>
        <color indexed="8"/>
        <sz val="12"/>
      </rPr>
      <t xml:space="preserve">  经济评估基础数据与效益指标表</t>
    </r>
  </si>
</sst>
</file>

<file path=xl/styles.xml><?xml version="1.0" encoding="utf-8"?>
<styleSheet xmlns="http://schemas.openxmlformats.org/spreadsheetml/2006/main">
  <numFmts count="15">
    <numFmt numFmtId="300" formatCode="0.00_ "/>
    <numFmt numFmtId="301" formatCode="0_ "/>
    <numFmt numFmtId="302" formatCode="0.0000_ "/>
    <numFmt numFmtId="303" formatCode="0.000_ "/>
    <numFmt numFmtId="304" formatCode="0.000_);[Red]\(0.000\)"/>
    <numFmt numFmtId="305" formatCode="0.0000_);[Red]\(0.0000\)"/>
    <numFmt numFmtId="306" formatCode="0.00_);[Red]\(0.00\)"/>
    <numFmt numFmtId="307" formatCode="0.0%"/>
    <numFmt numFmtId="308" formatCode="General"/>
    <numFmt numFmtId="309" formatCode="0.00%"/>
    <numFmt numFmtId="310" formatCode="_ * #,##0.00_ ;_ * \-#,##0.00_ ;_ * &quot;-&quot;??_ ;_ @_ "/>
    <numFmt numFmtId="311" formatCode="_ &quot;￥&quot;* #,##0_ ;_ &quot;￥&quot;* \-#,##0_ ;_ &quot;￥&quot;* &quot;-&quot;_ ;_ @_ "/>
    <numFmt numFmtId="312" formatCode="_ * #,##0_ ;_ * \-#,##0_ ;_ * &quot;-&quot;_ ;_ @_ "/>
    <numFmt numFmtId="313" formatCode="0%"/>
    <numFmt numFmtId="314" formatCode="_ &quot;￥&quot;* #,##0.00_ ;_ &quot;￥&quot;* \-#,##0.00_ ;_ &quot;￥&quot;* &quot;-&quot;??_ ;_ @_ "/>
  </numFmts>
  <fonts count="65">
    <font>
      <name val="宋体"/>
      <charset val="-122"/>
      <family val="0"/>
      <sz val="12"/>
    </font>
    <font>
      <name val="等线"/>
      <charset val="134"/>
      <color rgb="FF175CEB"/>
      <sz val="10"/>
      <u/>
      <scheme val="minor"/>
    </font>
    <font>
      <name val="Segoe UI Symbol"/>
      <family val="2"/>
      <color rgb="FF000000"/>
      <sz val="10"/>
    </font>
    <font>
      <name val="宋体"/>
      <charset val="-122"/>
      <family val="0"/>
      <b val="true"/>
      <sz val="20"/>
    </font>
    <font>
      <name val="宋体"/>
      <charset val="-122"/>
      <family val="0"/>
      <b val="true"/>
      <sz val="9"/>
    </font>
    <font>
      <name val="Times New Roman"/>
      <family val="1"/>
      <b val="true"/>
      <sz val="11"/>
    </font>
    <font>
      <name val="宋体"/>
      <charset val="-122"/>
      <family val="0"/>
      <b val="true"/>
      <sz val="11"/>
    </font>
    <font>
      <name val="Times New Roman"/>
      <family val="1"/>
      <sz val="9"/>
    </font>
    <font>
      <name val="Times New Roman"/>
      <family val="1"/>
      <b val="true"/>
      <sz val="9"/>
    </font>
    <font>
      <name val="Times New Roman"/>
      <family val="1"/>
      <sz val="11"/>
    </font>
    <font>
      <name val="Times New Roman"/>
      <family val="1"/>
      <b val="true"/>
      <i val="true"/>
      <sz val="9"/>
    </font>
    <font>
      <name val="Times New Roman"/>
      <family val="1"/>
      <i val="true"/>
      <sz val="9"/>
    </font>
    <font>
      <name val="Times New Roman"/>
      <family val="1"/>
      <sz val="12"/>
    </font>
    <font>
      <name val="Times New Roman"/>
      <family val="1"/>
      <sz val="10"/>
    </font>
    <font>
      <name val="仿宋_GB2312"/>
      <family val="0"/>
      <sz val="12"/>
    </font>
    <font>
      <name val="楷体_GB2312"/>
      <family val="0"/>
      <b val="true"/>
      <sz val="11"/>
    </font>
    <font>
      <name val="宋体"/>
      <charset val="-122"/>
      <family val="0"/>
      <sz val="9"/>
    </font>
    <font>
      <name val="仿宋_GB2312"/>
      <family val="0"/>
      <b val="true"/>
      <sz val="14"/>
    </font>
    <font>
      <name val="宋体"/>
      <charset val="-122"/>
      <family val="0"/>
      <sz val="8"/>
    </font>
    <font>
      <name val="宋体"/>
      <charset val="-122"/>
      <family val="0"/>
      <color rgb="FF000000"/>
      <sz val="12"/>
    </font>
    <font>
      <name val="宋体"/>
      <charset val="-122"/>
      <family val="0"/>
      <color theme="1"/>
      <sz val="11"/>
      <scheme val="minor"/>
    </font>
    <font>
      <name val="仿宋"/>
      <family val="3"/>
      <color theme="1"/>
      <sz val="10"/>
    </font>
    <font>
      <name val="仿宋"/>
      <family val="3"/>
      <color rgb="FF000000"/>
      <sz val="10"/>
    </font>
    <font>
      <name val="宋体"/>
      <charset val="-122"/>
      <family val="0"/>
      <b val="true"/>
      <color rgb="FF000000"/>
      <sz val="12"/>
    </font>
    <font>
      <name val="宋体"/>
      <charset val="-122"/>
      <family val="0"/>
      <b val="true"/>
      <color rgb="FF000000"/>
      <sz val="9"/>
    </font>
    <font>
      <name val="宋体"/>
      <charset val="-122"/>
      <family val="0"/>
      <color rgb="FF000000"/>
      <sz val="9"/>
    </font>
    <font>
      <name val="宋体"/>
      <charset val="-122"/>
      <family val="0"/>
      <b val="true"/>
      <color rgb="FFC00000"/>
      <sz val="9"/>
    </font>
    <font>
      <name val="宋体"/>
      <charset val="-122"/>
      <family val="0"/>
      <b val="true"/>
      <color rgb="FFFF0000"/>
      <sz val="9"/>
    </font>
    <font>
      <name val="宋体"/>
      <charset val="-122"/>
      <family val="0"/>
      <b val="true"/>
      <sz val="12"/>
    </font>
    <font>
      <name val="宋体"/>
      <charset val="-122"/>
      <family val="0"/>
      <color rgb="FFC00000"/>
      <sz val="9"/>
    </font>
    <font>
      <name val="宋体"/>
      <charset val="-122"/>
      <family val="0"/>
      <b val="true"/>
      <color rgb="FFC00000"/>
      <sz val="12"/>
    </font>
    <font>
      <name val="宋体"/>
      <charset val="-122"/>
      <family val="0"/>
      <sz val="16"/>
      <scheme val="minor"/>
    </font>
    <font>
      <name val="宋体"/>
      <charset val="-122"/>
      <family val="0"/>
      <sz val="12"/>
      <scheme val="minor"/>
    </font>
    <font>
      <name val="宋体"/>
      <charset val="-122"/>
      <family val="0"/>
      <color rgb="FF800080"/>
      <sz val="12"/>
      <u/>
    </font>
    <font>
      <name val="宋体"/>
      <charset val="-122"/>
      <family val="0"/>
      <sz val="14"/>
      <scheme val="minor"/>
    </font>
    <font>
      <name val="仿宋"/>
      <family val="3"/>
      <sz val="14"/>
    </font>
    <font>
      <name val="宋体"/>
      <charset val="-122"/>
      <family val="0"/>
      <sz val="18"/>
    </font>
    <font>
      <name val="宋体"/>
      <charset val="-122"/>
      <family val="0"/>
      <sz val="10"/>
    </font>
    <font>
      <name val="楷体_GB2312"/>
      <family val="0"/>
      <sz val="11"/>
    </font>
    <font>
      <name val="宋体"/>
      <charset val="-122"/>
      <family val="0"/>
      <color rgb="FFFFC000"/>
      <sz val="9"/>
    </font>
    <font>
      <name val="宋体"/>
      <charset val="-122"/>
      <family val="0"/>
      <color theme="0"/>
      <sz val="9"/>
    </font>
    <font>
      <name val="宋体"/>
      <charset val="-122"/>
      <family val="0"/>
      <color rgb="FFFF0000"/>
      <sz val="9"/>
    </font>
    <font>
      <name val="宋体"/>
      <charset val="-122"/>
      <family val="0"/>
      <color rgb="FFFF0000"/>
      <sz val="12"/>
    </font>
    <font>
      <name val="宋体"/>
      <charset val="-122"/>
      <family val="0"/>
      <color theme="1"/>
      <sz val="9"/>
    </font>
    <font>
      <name val="宋体"/>
      <charset val="-122"/>
      <family val="0"/>
      <sz val="12"/>
    </font>
    <font>
      <name val="宋体"/>
      <charset val="-122"/>
      <family val="0"/>
      <color rgb="FF000000"/>
      <sz val="11"/>
    </font>
    <font>
      <name val="宋体"/>
      <charset val="-122"/>
      <family val="0"/>
      <b val="true"/>
      <color rgb="FF3333CC"/>
      <sz val="11"/>
    </font>
    <font>
      <name val="宋体"/>
      <charset val="-122"/>
      <family val="0"/>
      <b val="true"/>
      <color rgb="FF996633"/>
      <sz val="11"/>
    </font>
    <font>
      <name val="宋体"/>
      <charset val="-122"/>
      <family val="0"/>
      <color rgb="FF333399"/>
      <sz val="11"/>
    </font>
    <font>
      <name val="宋体"/>
      <charset val="-122"/>
      <family val="0"/>
      <color rgb="FFFFFFFF"/>
      <sz val="11"/>
    </font>
    <font>
      <name val="宋体"/>
      <charset val="-122"/>
      <family val="0"/>
      <b val="true"/>
      <color rgb="FF424242"/>
      <sz val="11"/>
    </font>
    <font>
      <name val="宋体"/>
      <charset val="-122"/>
      <family val="0"/>
      <color rgb="FF996633"/>
      <sz val="11"/>
    </font>
    <font>
      <name val="宋体"/>
      <charset val="-122"/>
      <family val="0"/>
      <color rgb="FF663300"/>
      <sz val="11"/>
    </font>
    <font>
      <name val="宋体"/>
      <charset val="-122"/>
      <family val="0"/>
      <b val="true"/>
      <color rgb="FF3333CC"/>
      <sz val="18"/>
    </font>
    <font>
      <name val="宋体"/>
      <charset val="-122"/>
      <family val="0"/>
      <color rgb="FF800080"/>
      <sz val="11"/>
    </font>
    <font>
      <name val="宋体"/>
      <charset val="-122"/>
      <family val="0"/>
      <b val="true"/>
      <color rgb="FF000000"/>
      <sz val="11"/>
    </font>
    <font>
      <name val="Arial"/>
      <family val="2"/>
      <sz val="10"/>
    </font>
    <font>
      <name val="宋体"/>
      <charset val="-122"/>
      <family val="0"/>
      <b val="true"/>
      <color rgb="FF3333CC"/>
      <sz val="13"/>
    </font>
    <font>
      <name val="宋体"/>
      <charset val="-122"/>
      <family val="0"/>
      <b val="true"/>
      <color rgb="FFFFFFFF"/>
      <sz val="11"/>
    </font>
    <font>
      <name val="宋体"/>
      <charset val="-122"/>
      <family val="0"/>
      <color rgb="FF008000"/>
      <sz val="11"/>
    </font>
    <font>
      <name val="Times New Roman"/>
      <family val="1"/>
      <color rgb="FF800080"/>
      <sz val="12"/>
      <u/>
    </font>
    <font>
      <name val="Times New Roman"/>
      <family val="1"/>
      <color rgb="FF0000FF"/>
      <sz val="12"/>
      <u/>
    </font>
    <font>
      <name val="宋体"/>
      <charset val="-122"/>
      <family val="0"/>
      <i val="true"/>
      <color rgb="FF808080"/>
      <sz val="11"/>
    </font>
    <font>
      <name val="宋体"/>
      <charset val="-122"/>
      <family val="0"/>
      <b val="true"/>
      <color rgb="FF3333CC"/>
      <sz val="15"/>
    </font>
    <font>
      <name val="宋体"/>
      <charset val="-122"/>
      <family val="0"/>
      <color rgb="FFFF0000"/>
      <sz val="11"/>
    </font>
  </fonts>
  <fills count="32">
    <fill>
      <patternFill patternType="none"/>
    </fill>
    <fill>
      <patternFill patternType="gray125"/>
    </fill>
    <fill>
      <patternFill patternType="solid">
        <fgColor rgb="FFE3E3E3"/>
        <bgColor rgb="FF000000"/>
      </patternFill>
    </fill>
    <fill>
      <patternFill patternType="solid">
        <fgColor rgb="FF00FFFF"/>
        <bgColor rgb="FF000000"/>
      </patternFill>
    </fill>
    <fill>
      <patternFill patternType="solid">
        <fgColor rgb="FFFFFFFF"/>
        <bgColor rgb="FF000000"/>
      </patternFill>
    </fill>
    <fill>
      <patternFill patternType="solid">
        <fgColor rgb="FF92D050"/>
        <bgColor rgb="FF000000"/>
      </patternFill>
    </fill>
    <fill>
      <patternFill patternType="solid">
        <fgColor rgb="FFFFFF00"/>
        <bgColor rgb="FF000000"/>
      </patternFill>
    </fill>
    <fill>
      <patternFill patternType="solid">
        <fgColor theme="0"/>
        <bgColor rgb="FF000000"/>
      </patternFill>
    </fill>
    <fill>
      <patternFill patternType="solid">
        <fgColor theme="0" tint="-0.14999"/>
        <bgColor rgb="FF000000"/>
      </patternFill>
    </fill>
    <fill>
      <patternFill patternType="solid">
        <fgColor rgb="FFFFC000"/>
        <bgColor rgb="FF000000"/>
      </patternFill>
    </fill>
    <fill>
      <patternFill patternType="solid">
        <fgColor rgb="FFCCFFCC"/>
        <bgColor rgb="FF000000"/>
      </patternFill>
    </fill>
    <fill>
      <patternFill patternType="solid">
        <fgColor rgb="FFFF0000"/>
        <bgColor rgb="FF000000"/>
      </patternFill>
    </fill>
    <fill>
      <patternFill patternType="solid">
        <fgColor rgb="FF00FF00"/>
        <bgColor rgb="FF000000"/>
      </patternFill>
    </fill>
    <fill>
      <patternFill patternType="none"/>
    </fill>
    <fill>
      <patternFill patternType="solid">
        <fgColor rgb="FFA0E0E0"/>
        <bgColor rgb="FF000000"/>
      </patternFill>
    </fill>
    <fill>
      <patternFill patternType="solid">
        <fgColor rgb="FFC0C0C0"/>
        <bgColor rgb="FF000000"/>
      </patternFill>
    </fill>
    <fill>
      <patternFill patternType="solid">
        <fgColor rgb="FF800080"/>
        <bgColor rgb="FF000000"/>
      </patternFill>
    </fill>
    <fill>
      <patternFill patternType="solid">
        <fgColor rgb="FF0080C0"/>
        <bgColor rgb="FF000000"/>
      </patternFill>
    </fill>
    <fill>
      <patternFill patternType="solid">
        <fgColor rgb="FFFFFF99"/>
        <bgColor rgb="FF000000"/>
      </patternFill>
    </fill>
    <fill>
      <patternFill patternType="solid">
        <fgColor rgb="FFFFFFC0"/>
        <bgColor rgb="FF000000"/>
      </patternFill>
    </fill>
    <fill>
      <patternFill patternType="solid">
        <fgColor rgb="FFCC99FF"/>
        <bgColor rgb="FF000000"/>
      </patternFill>
    </fill>
    <fill>
      <patternFill patternType="solid">
        <fgColor rgb="FFCC9CCC"/>
        <bgColor rgb="FF000000"/>
      </patternFill>
    </fill>
    <fill>
      <patternFill patternType="solid">
        <fgColor rgb="FF999933"/>
        <bgColor rgb="FF000000"/>
      </patternFill>
    </fill>
    <fill>
      <patternFill patternType="solid">
        <fgColor rgb="FF33CCCC"/>
        <bgColor rgb="FF000000"/>
      </patternFill>
    </fill>
    <fill>
      <patternFill patternType="solid">
        <fgColor rgb="FFA6CAF0"/>
        <bgColor rgb="FF000000"/>
      </patternFill>
    </fill>
    <fill>
      <patternFill patternType="solid">
        <fgColor rgb="FF333399"/>
        <bgColor rgb="FF000000"/>
      </patternFill>
    </fill>
    <fill>
      <patternFill patternType="solid">
        <fgColor rgb="FFC0C0FF"/>
        <bgColor rgb="FF000000"/>
      </patternFill>
    </fill>
    <fill>
      <patternFill patternType="solid">
        <fgColor rgb="FF996666"/>
        <bgColor rgb="FF000000"/>
      </patternFill>
    </fill>
    <fill>
      <patternFill patternType="solid">
        <fgColor rgb="FF969696"/>
        <bgColor rgb="FF000000"/>
      </patternFill>
    </fill>
    <fill>
      <patternFill patternType="solid">
        <fgColor rgb="FFFF8080"/>
        <bgColor rgb="FF000000"/>
      </patternFill>
    </fill>
    <fill>
      <patternFill patternType="solid">
        <fgColor rgb="FF996633"/>
        <bgColor rgb="FF000000"/>
      </patternFill>
    </fill>
    <fill>
      <patternFill patternType="solid">
        <fgColor rgb="FF336666"/>
        <bgColor rgb="FF000000"/>
      </patternFill>
    </fill>
  </fills>
  <borders count="74">
    <border>
      <left/>
      <right/>
      <top/>
      <bottom/>
      <diagonal/>
    </border>
    <border>
      <left style="medium">
        <color auto="true"/>
      </left>
      <right>
        <color rgb="FF000000"/>
      </right>
      <top style="medium">
        <color auto="true"/>
      </top>
      <bottom style="medium">
        <color auto="true"/>
      </bottom>
    </border>
    <border>
      <left>
        <color rgb="FF000000"/>
      </left>
      <right>
        <color rgb="FF000000"/>
      </right>
      <top style="medium">
        <color auto="true"/>
      </top>
      <bottom style="medium">
        <color auto="true"/>
      </bottom>
    </border>
    <border>
      <left>
        <color rgb="FF000000"/>
      </left>
      <right style="medium">
        <color auto="true"/>
      </right>
      <top style="medium">
        <color auto="true"/>
      </top>
      <bottom style="medium">
        <color auto="true"/>
      </bottom>
    </border>
    <border>
      <left style="medium">
        <color auto="true"/>
      </left>
      <right style="medium">
        <color auto="true"/>
      </right>
      <top style="medium">
        <color auto="true"/>
      </top>
      <bottom style="medium">
        <color auto="true"/>
      </bottom>
    </border>
    <border>
      <left style="medium">
        <color auto="true"/>
      </left>
      <right style="medium">
        <color auto="true"/>
      </right>
      <top style="medium">
        <color auto="true"/>
      </top>
      <bottom>
        <color rgb="FF000000"/>
      </bottom>
    </border>
    <border>
      <left style="medium">
        <color auto="true"/>
      </left>
      <right style="medium">
        <color auto="true"/>
      </right>
      <top>
        <color rgb="FF000000"/>
      </top>
      <bottom style="medium">
        <color auto="true"/>
      </bottom>
    </border>
    <border>
      <left>
        <color rgb="FF000000"/>
      </left>
      <right style="medium">
        <color auto="true"/>
      </right>
      <top>
        <color rgb="FF000000"/>
      </top>
      <bottom style="medium">
        <color auto="true"/>
      </bottom>
    </border>
    <border>
      <left style="medium">
        <color auto="true"/>
      </left>
      <right style="medium">
        <color auto="true"/>
      </right>
      <top>
        <color rgb="FF000000"/>
      </top>
      <bottom>
        <color rgb="FF000000"/>
      </bottom>
    </border>
    <border>
      <left style="thin">
        <color auto="true"/>
      </left>
      <right style="thin">
        <color auto="true"/>
      </right>
      <top style="thin">
        <color auto="true"/>
      </top>
      <bottom style="medium">
        <color auto="true"/>
      </bottom>
    </border>
    <border>
      <left style="medium">
        <color auto="true"/>
      </left>
      <right style="thin">
        <color auto="true"/>
      </right>
      <top style="medium">
        <color auto="true"/>
      </top>
      <bottom style="thin">
        <color auto="true"/>
      </bottom>
    </border>
    <border>
      <left style="thin">
        <color auto="true"/>
      </left>
      <right style="thin">
        <color auto="true"/>
      </right>
      <top style="medium">
        <color auto="true"/>
      </top>
      <bottom style="thin">
        <color auto="true"/>
      </bottom>
    </border>
    <border>
      <left style="thin">
        <color auto="true"/>
      </left>
      <right>
        <color rgb="FF000000"/>
      </right>
      <top style="medium">
        <color auto="true"/>
      </top>
      <bottom style="thin">
        <color auto="true"/>
      </bottom>
    </border>
    <border>
      <left>
        <color rgb="FF000000"/>
      </left>
      <right style="thin">
        <color auto="true"/>
      </right>
      <top style="medium">
        <color auto="true"/>
      </top>
      <bottom style="thin">
        <color auto="true"/>
      </bottom>
    </border>
    <border>
      <left style="medium">
        <color auto="true"/>
      </left>
      <right style="thin">
        <color auto="true"/>
      </right>
      <top>
        <color rgb="FF000000"/>
      </top>
      <bottom>
        <color rgb="FF000000"/>
      </bottom>
    </border>
    <border>
      <left style="thin">
        <color auto="true"/>
      </left>
      <right style="thin">
        <color auto="true"/>
      </right>
      <top>
        <color rgb="FF000000"/>
      </top>
      <bottom style="thin">
        <color auto="true"/>
      </bottom>
    </border>
    <border>
      <left style="thin">
        <color auto="true"/>
      </left>
      <right>
        <color rgb="FF000000"/>
      </right>
      <top>
        <color rgb="FF000000"/>
      </top>
      <bottom style="thin">
        <color auto="true"/>
      </bottom>
    </border>
    <border>
      <left>
        <color rgb="FF000000"/>
      </left>
      <right style="thin">
        <color auto="true"/>
      </right>
      <top>
        <color rgb="FF000000"/>
      </top>
      <bottom style="thin">
        <color auto="true"/>
      </bottom>
    </border>
    <border>
      <left style="medium">
        <color auto="true"/>
      </left>
      <right style="thin">
        <color auto="true"/>
      </right>
      <top style="thin">
        <color auto="true"/>
      </top>
      <bottom style="thin">
        <color auto="true"/>
      </bottom>
    </border>
    <border>
      <left style="thin">
        <color auto="true"/>
      </left>
      <right style="thin">
        <color auto="true"/>
      </right>
      <top style="thin">
        <color auto="true"/>
      </top>
      <bottom style="thin">
        <color auto="true"/>
      </bottom>
    </border>
    <border>
      <left style="thin">
        <color auto="true"/>
      </left>
      <right style="medium">
        <color auto="true"/>
      </right>
      <top style="thin">
        <color auto="true"/>
      </top>
      <bottom style="thin">
        <color auto="true"/>
      </bottom>
    </border>
    <border>
      <left style="medium">
        <color auto="true"/>
      </left>
      <right>
        <color rgb="FF000000"/>
      </right>
      <top>
        <color rgb="FF000000"/>
      </top>
      <bottom>
        <color rgb="FF000000"/>
      </bottom>
    </border>
    <border>
      <left style="thin">
        <color auto="true"/>
      </left>
      <right style="thin">
        <color auto="true"/>
      </right>
      <top>
        <color rgb="FF000000"/>
      </top>
      <bottom style="medium">
        <color auto="true"/>
      </bottom>
    </border>
    <border>
      <left style="thin">
        <color auto="true"/>
      </left>
      <right style="medium">
        <color auto="true"/>
      </right>
      <top>
        <color rgb="FF000000"/>
      </top>
      <bottom style="medium">
        <color auto="true"/>
      </bottom>
    </border>
    <border>
      <left>
        <color rgb="FF000000"/>
      </left>
      <right>
        <color rgb="FF000000"/>
      </right>
      <top>
        <color rgb="FF000000"/>
      </top>
      <bottom style="thin">
        <color auto="true"/>
      </bottom>
    </border>
    <border>
      <left>
        <color rgb="FF000000"/>
      </left>
      <right style="medium">
        <color auto="true"/>
      </right>
      <top>
        <color rgb="FF000000"/>
      </top>
      <bottom style="thin">
        <color auto="true"/>
      </bottom>
    </border>
    <border>
      <left style="medium">
        <color auto="true"/>
      </left>
      <right style="thin">
        <color auto="true"/>
      </right>
      <top>
        <color rgb="FF000000"/>
      </top>
      <bottom style="thin">
        <color auto="true"/>
      </bottom>
    </border>
    <border>
      <left style="thin">
        <color auto="true"/>
      </left>
      <right>
        <color rgb="FF000000"/>
      </right>
      <top style="thin">
        <color auto="true"/>
      </top>
      <bottom style="thin">
        <color auto="true"/>
      </bottom>
    </border>
    <border>
      <left>
        <color rgb="FF000000"/>
      </left>
      <right>
        <color rgb="FF000000"/>
      </right>
      <top style="thin">
        <color auto="true"/>
      </top>
      <bottom style="thin">
        <color auto="true"/>
      </bottom>
    </border>
    <border>
      <left>
        <color rgb="FF000000"/>
      </left>
      <right style="thin">
        <color auto="true"/>
      </right>
      <top style="thin">
        <color auto="true"/>
      </top>
      <bottom style="thin">
        <color auto="true"/>
      </bottom>
    </border>
    <border>
      <left>
        <color rgb="FF000000"/>
      </left>
      <right style="medium">
        <color auto="true"/>
      </right>
      <top style="thin">
        <color auto="true"/>
      </top>
      <bottom style="thin">
        <color auto="true"/>
      </bottom>
    </border>
    <border>
      <left style="medium">
        <color auto="true"/>
      </left>
      <right style="thin">
        <color auto="true"/>
      </right>
      <top style="thin">
        <color auto="true"/>
      </top>
      <bottom style="medium">
        <color auto="true"/>
      </bottom>
    </border>
    <border>
      <left style="thin">
        <color auto="true"/>
      </left>
      <right>
        <color rgb="FF000000"/>
      </right>
      <top style="thin">
        <color auto="true"/>
      </top>
      <bottom style="medium">
        <color auto="true"/>
      </bottom>
    </border>
    <border>
      <left>
        <color rgb="FF000000"/>
      </left>
      <right>
        <color rgb="FF000000"/>
      </right>
      <top style="thin">
        <color auto="true"/>
      </top>
      <bottom style="medium">
        <color auto="true"/>
      </bottom>
    </border>
    <border>
      <left>
        <color rgb="FF000000"/>
      </left>
      <right style="thin">
        <color auto="true"/>
      </right>
      <top style="thin">
        <color auto="true"/>
      </top>
      <bottom style="medium">
        <color auto="true"/>
      </bottom>
    </border>
    <border>
      <left>
        <color rgb="FF000000"/>
      </left>
      <right style="medium">
        <color auto="true"/>
      </right>
      <top style="thin">
        <color auto="true"/>
      </top>
      <bottom style="medium">
        <color auto="true"/>
      </bottom>
    </border>
    <border>
      <left style="medium">
        <color auto="true"/>
      </left>
      <right style="thin">
        <color auto="true"/>
      </right>
      <top style="medium">
        <color auto="true"/>
      </top>
      <bottom>
        <color rgb="FF000000"/>
      </bottom>
    </border>
    <border>
      <left style="thin">
        <color auto="true"/>
      </left>
      <right style="medium">
        <color auto="true"/>
      </right>
      <top style="medium">
        <color auto="true"/>
      </top>
      <bottom style="thin">
        <color auto="true"/>
      </bottom>
    </border>
    <border>
      <left style="medium">
        <color auto="true"/>
      </left>
      <right style="thin">
        <color auto="true"/>
      </right>
      <top>
        <color rgb="FF000000"/>
      </top>
      <bottom style="medium">
        <color auto="true"/>
      </bottom>
    </border>
    <border>
      <left style="thin">
        <color auto="true"/>
      </left>
      <right style="thin">
        <color auto="true"/>
      </right>
      <top style="thin">
        <color auto="true"/>
      </top>
      <bottom>
        <color rgb="FF000000"/>
      </bottom>
    </border>
    <border>
      <left style="thin">
        <color auto="true"/>
      </left>
      <right style="medium">
        <color auto="true"/>
      </right>
      <top style="thin">
        <color auto="true"/>
      </top>
      <bottom style="medium">
        <color auto="true"/>
      </bottom>
    </border>
    <border>
      <left>
        <color rgb="FF000000"/>
      </left>
      <right style="medium">
        <color auto="true"/>
      </right>
      <top style="medium">
        <color auto="true"/>
      </top>
      <bottom style="thin">
        <color auto="true"/>
      </bottom>
    </border>
    <border>
      <left style="medium">
        <color auto="true"/>
      </left>
      <right>
        <color rgb="FF000000"/>
      </right>
      <top style="medium">
        <color auto="true"/>
      </top>
      <bottom>
        <color rgb="FF000000"/>
      </bottom>
    </border>
    <border>
      <left style="thin">
        <color auto="true"/>
      </left>
      <right style="thin">
        <color auto="true"/>
      </right>
      <top style="medium">
        <color auto="true"/>
      </top>
      <bottom style="medium">
        <color auto="true"/>
      </bottom>
    </border>
    <border>
      <left>
        <color rgb="FF000000"/>
      </left>
      <right style="thin">
        <color auto="true"/>
      </right>
      <top style="medium">
        <color auto="true"/>
      </top>
      <bottom style="medium">
        <color auto="true"/>
      </bottom>
    </border>
    <border>
      <left style="thin">
        <color auto="true"/>
      </left>
      <right>
        <color rgb="FF000000"/>
      </right>
      <top style="medium">
        <color auto="true"/>
      </top>
      <bottom style="medium">
        <color auto="true"/>
      </bottom>
    </border>
    <border>
      <left style="thin">
        <color auto="true"/>
      </left>
      <right style="medium">
        <color auto="true"/>
      </right>
      <top style="medium">
        <color auto="true"/>
      </top>
      <bottom>
        <color rgb="FF000000"/>
      </bottom>
    </border>
    <border>
      <left style="medium">
        <color auto="true"/>
      </left>
      <right style="thin">
        <color auto="true"/>
      </right>
      <top style="medium">
        <color auto="true"/>
      </top>
      <bottom style="medium">
        <color auto="true"/>
      </bottom>
    </border>
    <border>
      <left style="thin">
        <color auto="true"/>
      </left>
      <right style="medium">
        <color auto="true"/>
      </right>
      <top style="medium">
        <color auto="true"/>
      </top>
      <bottom style="medium">
        <color auto="true"/>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hair">
        <color auto="true"/>
      </left>
      <right style="hair">
        <color auto="true"/>
      </right>
      <top style="hair">
        <color auto="true"/>
      </top>
      <bottom style="hair">
        <color auto="true"/>
      </bottom>
    </border>
    <border>
      <left style="hair">
        <color auto="true"/>
      </left>
      <right style="hair">
        <color auto="true"/>
      </right>
      <top style="hair">
        <color auto="true"/>
      </top>
      <bottom>
        <color rgb="FF000000"/>
      </bottom>
    </border>
    <border>
      <left style="hair">
        <color auto="true"/>
      </left>
      <right style="hair">
        <color auto="true"/>
      </right>
      <top>
        <color rgb="FF000000"/>
      </top>
      <bottom style="hair">
        <color auto="true"/>
      </bottom>
    </border>
    <border>
      <left style="thin">
        <color auto="true"/>
      </left>
      <right style="thin">
        <color auto="true"/>
      </right>
      <top>
        <color rgb="FF000000"/>
      </top>
      <bottom>
        <color rgb="FF000000"/>
      </bottom>
    </border>
    <border>
      <left style="hair">
        <color auto="true"/>
      </left>
      <right>
        <color rgb="FF000000"/>
      </right>
      <top style="hair">
        <color auto="true"/>
      </top>
      <bottom style="hair">
        <color auto="true"/>
      </bottom>
    </border>
    <border>
      <left>
        <color rgb="FF000000"/>
      </left>
      <right style="hair">
        <color auto="true"/>
      </right>
      <top style="hair">
        <color auto="true"/>
      </top>
      <bottom style="hair">
        <color auto="true"/>
      </bottom>
    </border>
    <border>
      <left>
        <color rgb="FF000000"/>
      </left>
      <right>
        <color rgb="FF000000"/>
      </right>
      <top style="hair">
        <color auto="true"/>
      </top>
      <bottom style="hair">
        <color auto="true"/>
      </bottom>
    </border>
    <border>
      <left style="hair">
        <color auto="true"/>
      </left>
      <right>
        <color rgb="FF000000"/>
      </right>
      <top style="hair">
        <color auto="true"/>
      </top>
      <bottom/>
    </border>
    <border>
      <left>
        <color rgb="FF000000"/>
      </left>
      <right>
        <color rgb="FF000000"/>
      </right>
      <top style="hair">
        <color auto="true"/>
      </top>
      <bottom/>
    </border>
    <border>
      <left>
        <color rgb="FF000000"/>
      </left>
      <right style="hair">
        <color auto="true"/>
      </right>
      <top style="hair">
        <color auto="true"/>
      </top>
      <bottom/>
    </border>
    <border>
      <left style="hair">
        <color auto="true"/>
      </left>
      <right/>
      <top/>
      <bottom style="hair">
        <color auto="true"/>
      </bottom>
    </border>
    <border>
      <left style="medium">
        <color auto="true"/>
      </left>
      <right>
        <color rgb="FF000000"/>
      </right>
      <top>
        <color rgb="FF000000"/>
      </top>
      <bottom style="medium">
        <color auto="true"/>
      </bottom>
    </border>
    <border>
      <left style="hair">
        <color auto="true"/>
      </left>
      <right style="hair">
        <color auto="true"/>
      </right>
      <top>
        <color rgb="FF000000"/>
      </top>
      <bottom>
        <color rgb="FF000000"/>
      </bottom>
    </border>
    <border>
      <left/>
      <right/>
      <top/>
      <bottom/>
      <diagonal/>
    </border>
    <border>
      <left>
        <color rgb="FF000000"/>
      </left>
      <right>
        <color rgb="FF000000"/>
      </right>
      <top>
        <color rgb="FF000000"/>
      </top>
      <bottom style="medium">
        <color rgb="FF0080C0"/>
      </bottom>
    </border>
    <border>
      <left style="thin">
        <color rgb="FF808080"/>
      </left>
      <right style="thin">
        <color rgb="FF808080"/>
      </right>
      <top style="thin">
        <color rgb="FF808080"/>
      </top>
      <bottom style="thin">
        <color rgb="FF808080"/>
      </bottom>
    </border>
    <border>
      <left style="thin">
        <color rgb="FF424242"/>
      </left>
      <right style="thin">
        <color rgb="FF424242"/>
      </right>
      <top style="thin">
        <color rgb="FF424242"/>
      </top>
      <bottom style="thin">
        <color rgb="FF424242"/>
      </bottom>
    </border>
    <border>
      <left>
        <color rgb="FF000000"/>
      </left>
      <right>
        <color rgb="FF000000"/>
      </right>
      <top>
        <color rgb="FF000000"/>
      </top>
      <bottom style="double">
        <color rgb="FF996633"/>
      </bottom>
    </border>
    <border>
      <left style="thin">
        <color rgb="FFC0C0C0"/>
      </left>
      <right style="thin">
        <color rgb="FFC0C0C0"/>
      </right>
      <top style="thin">
        <color rgb="FFC0C0C0"/>
      </top>
      <bottom style="thin">
        <color rgb="FFC0C0C0"/>
      </bottom>
    </border>
    <border>
      <left>
        <color rgb="FF000000"/>
      </left>
      <right>
        <color rgb="FF000000"/>
      </right>
      <top style="thin">
        <color rgb="FF333399"/>
      </top>
      <bottom style="double">
        <color rgb="FF333399"/>
      </bottom>
    </border>
    <border>
      <left>
        <color rgb="FF000000"/>
      </left>
      <right>
        <color rgb="FF000000"/>
      </right>
      <top>
        <color rgb="FF000000"/>
      </top>
      <bottom style="thick">
        <color rgb="FFC0C0C0"/>
      </bottom>
    </border>
    <border>
      <left style="double">
        <color rgb="FF424242"/>
      </left>
      <right style="double">
        <color rgb="FF424242"/>
      </right>
      <top style="double">
        <color rgb="FF424242"/>
      </top>
      <bottom style="double">
        <color rgb="FF424242"/>
      </bottom>
    </border>
    <border>
      <left>
        <color rgb="FF000000"/>
      </left>
      <right>
        <color rgb="FF000000"/>
      </right>
      <top>
        <color rgb="FF000000"/>
      </top>
      <bottom style="thick">
        <color rgb="FF333399"/>
      </bottom>
    </border>
  </borders>
  <cellStyleXfs>
    <xf numFmtId="308" fontId="44" fillId="0" borderId="64" xfId="0">
      <alignment vertical="center"/>
      <protection/>
    </xf>
    <xf numFmtId="308" fontId="45" fillId="14" borderId="64" xfId="0" applyNumberFormat="false" applyBorder="false" applyAlignment="false" applyProtection="false"/>
    <xf numFmtId="308" fontId="46" fillId="13" borderId="65" xfId="0" applyNumberFormat="false" applyFill="false" applyAlignment="false" applyProtection="false"/>
    <xf numFmtId="308" fontId="46" fillId="13" borderId="65" xfId="0" applyNumberFormat="false" applyFill="false" applyAlignment="false" applyProtection="false"/>
    <xf numFmtId="308" fontId="47" fillId="15" borderId="66" xfId="0" applyNumberFormat="false" applyAlignment="false" applyProtection="false"/>
    <xf numFmtId="308" fontId="48" fillId="2" borderId="66" xfId="0" applyNumberFormat="false" applyAlignment="false" applyProtection="false"/>
    <xf numFmtId="308" fontId="49" fillId="16" borderId="64" xfId="0" applyNumberFormat="false" applyBorder="false" applyAlignment="false" applyProtection="false"/>
    <xf numFmtId="308" fontId="50" fillId="15" borderId="67" xfId="0" applyNumberFormat="false" applyAlignment="false" applyProtection="false"/>
    <xf numFmtId="308" fontId="49" fillId="17" borderId="64" xfId="0" applyNumberFormat="false" applyBorder="false" applyAlignment="false" applyProtection="false"/>
    <xf numFmtId="308" fontId="51" fillId="13" borderId="68" xfId="0" applyNumberFormat="false" applyFill="false" applyAlignment="false" applyProtection="false"/>
    <xf numFmtId="308" fontId="45" fillId="10" borderId="64" xfId="0" applyNumberFormat="false" applyBorder="false" applyAlignment="false" applyProtection="false"/>
    <xf numFmtId="308" fontId="52" fillId="18" borderId="64" xfId="0" applyNumberFormat="false" applyBorder="false" applyAlignment="false" applyProtection="false"/>
    <xf numFmtId="308" fontId="48" fillId="2" borderId="66" xfId="0" applyNumberFormat="false" applyAlignment="false" applyProtection="false"/>
    <xf numFmtId="308" fontId="44" fillId="19" borderId="69" xfId="0" applyNumberFormat="false" applyFont="false" applyAlignment="false" applyProtection="false"/>
    <xf numFmtId="308" fontId="45" fillId="20" borderId="64" xfId="0" applyNumberFormat="false" applyBorder="false" applyAlignment="false" applyProtection="false"/>
    <xf numFmtId="308" fontId="50" fillId="15" borderId="67" xfId="0" applyNumberFormat="false" applyAlignment="false" applyProtection="false"/>
    <xf numFmtId="308" fontId="45" fillId="12" borderId="64" xfId="0" applyNumberFormat="false" applyBorder="false" applyAlignment="false" applyProtection="false"/>
    <xf numFmtId="308" fontId="53" fillId="13" borderId="64" xfId="0" applyNumberFormat="false" applyFill="false" applyBorder="false" applyAlignment="false" applyProtection="false"/>
    <xf numFmtId="308" fontId="54" fillId="21" borderId="64" xfId="0" applyNumberFormat="false" applyBorder="false" applyAlignment="false" applyProtection="false"/>
    <xf numFmtId="308" fontId="44" fillId="13" borderId="64" xfId="0">
      <alignment vertical="center"/>
      <protection/>
    </xf>
    <xf numFmtId="308" fontId="49" fillId="12" borderId="64" xfId="0" applyNumberFormat="false" applyBorder="false" applyAlignment="false" applyProtection="false"/>
    <xf numFmtId="308" fontId="55" fillId="13" borderId="70" xfId="0" applyNumberFormat="false" applyFill="false" applyAlignment="false" applyProtection="false"/>
    <xf numFmtId="308" fontId="45" fillId="22" borderId="64" xfId="0" applyNumberFormat="false" applyBorder="false" applyAlignment="false" applyProtection="false"/>
    <xf numFmtId="308" fontId="12" fillId="13" borderId="64" xfId="0">
      <alignment/>
      <protection/>
    </xf>
    <xf numFmtId="308" fontId="44" fillId="19" borderId="69" xfId="0" applyNumberFormat="false" applyFont="false" applyAlignment="false" applyProtection="false"/>
    <xf numFmtId="308" fontId="49" fillId="12" borderId="64" xfId="0" applyNumberFormat="false" applyBorder="false" applyAlignment="false" applyProtection="false"/>
    <xf numFmtId="308" fontId="44" fillId="13" borderId="64" xfId="0">
      <alignment vertical="center"/>
      <protection/>
    </xf>
    <xf numFmtId="308" fontId="49" fillId="23" borderId="64" xfId="0" applyNumberFormat="false" applyBorder="false" applyAlignment="false" applyProtection="false"/>
    <xf numFmtId="308" fontId="45" fillId="24" borderId="64" xfId="0" applyNumberFormat="false" applyBorder="false" applyAlignment="false" applyProtection="false"/>
    <xf numFmtId="308" fontId="49" fillId="25" borderId="64" xfId="0" applyNumberFormat="false" applyBorder="false" applyAlignment="false" applyProtection="false"/>
    <xf numFmtId="308" fontId="45" fillId="26" borderId="64" xfId="0" applyNumberFormat="false" applyBorder="false" applyAlignment="false" applyProtection="false"/>
    <xf numFmtId="308" fontId="45" fillId="21" borderId="64" xfId="0" applyNumberFormat="false" applyBorder="false" applyAlignment="false" applyProtection="false"/>
    <xf numFmtId="308" fontId="49" fillId="27" borderId="64" xfId="0" applyNumberFormat="false" applyBorder="false" applyAlignment="false" applyProtection="false"/>
    <xf numFmtId="308" fontId="56" fillId="13" borderId="64" xfId="0">
      <alignment/>
      <protection/>
    </xf>
    <xf numFmtId="308" fontId="57" fillId="13" borderId="71" xfId="0" applyNumberFormat="false" applyFill="false" applyAlignment="false" applyProtection="false"/>
    <xf numFmtId="308" fontId="54" fillId="21" borderId="64" xfId="0" applyNumberFormat="false" applyBorder="false" applyAlignment="false" applyProtection="false"/>
    <xf numFmtId="308" fontId="45" fillId="24" borderId="64" xfId="0" applyNumberFormat="false" applyBorder="false" applyAlignment="false" applyProtection="false"/>
    <xf numFmtId="308" fontId="47" fillId="15" borderId="66" xfId="0" applyNumberFormat="false" applyAlignment="false" applyProtection="false"/>
    <xf numFmtId="308" fontId="45" fillId="21" borderId="64" xfId="0" applyNumberFormat="false" applyBorder="false" applyAlignment="false" applyProtection="false"/>
    <xf numFmtId="308" fontId="58" fillId="28" borderId="72" xfId="0" applyNumberFormat="false" applyAlignment="false" applyProtection="false"/>
    <xf numFmtId="308" fontId="45" fillId="10" borderId="64" xfId="0" applyNumberFormat="false" applyBorder="false" applyAlignment="false" applyProtection="false"/>
    <xf numFmtId="308" fontId="45" fillId="22" borderId="64" xfId="0" applyNumberFormat="false" applyBorder="false" applyAlignment="false" applyProtection="false"/>
    <xf numFmtId="308" fontId="49" fillId="11" borderId="64" xfId="0" applyNumberFormat="false" applyBorder="false" applyAlignment="false" applyProtection="false"/>
    <xf numFmtId="308" fontId="59" fillId="10" borderId="64" xfId="0" applyNumberFormat="false" applyBorder="false" applyAlignment="false" applyProtection="false"/>
    <xf numFmtId="308" fontId="60" fillId="13" borderId="64" xfId="0" applyNumberFormat="false" applyFill="false" applyBorder="false" applyAlignment="false" applyProtection="false"/>
    <xf numFmtId="308" fontId="45" fillId="20" borderId="64" xfId="0" applyNumberFormat="false" applyBorder="false" applyAlignment="false" applyProtection="false"/>
    <xf numFmtId="308" fontId="49" fillId="23" borderId="64" xfId="0" applyNumberFormat="false" applyBorder="false" applyAlignment="false" applyProtection="false"/>
    <xf numFmtId="308" fontId="49" fillId="29" borderId="64" xfId="0" applyNumberFormat="false" applyBorder="false" applyAlignment="false" applyProtection="false"/>
    <xf numFmtId="308" fontId="45" fillId="2" borderId="64" xfId="0" applyNumberFormat="false" applyBorder="false" applyAlignment="false" applyProtection="false"/>
    <xf numFmtId="308" fontId="49" fillId="17" borderId="64" xfId="0" applyNumberFormat="false" applyBorder="false" applyAlignment="false" applyProtection="false"/>
    <xf numFmtId="308" fontId="61" fillId="13" borderId="64" xfId="0" applyNumberFormat="false" applyFill="false" applyBorder="false" applyAlignment="false" applyProtection="false"/>
    <xf numFmtId="308" fontId="45" fillId="2" borderId="64" xfId="0" applyNumberFormat="false" applyBorder="false" applyAlignment="false" applyProtection="false"/>
    <xf numFmtId="308" fontId="62" fillId="13" borderId="64" xfId="0" applyNumberFormat="false" applyFill="false" applyBorder="false" applyAlignment="false" applyProtection="false"/>
    <xf numFmtId="310" fontId="44" fillId="13" borderId="64" xfId="0" applyFont="false" applyFill="false" applyBorder="false" applyAlignment="false" applyProtection="false"/>
    <xf numFmtId="308" fontId="45" fillId="29" borderId="64" xfId="0" applyNumberFormat="false" applyBorder="false" applyAlignment="false" applyProtection="false"/>
    <xf numFmtId="308" fontId="45" fillId="14" borderId="64" xfId="0" applyNumberFormat="false" applyBorder="false" applyAlignment="false" applyProtection="false"/>
    <xf numFmtId="311" fontId="44" fillId="13" borderId="64" xfId="0" applyFont="false" applyFill="false" applyBorder="false" applyAlignment="false" applyProtection="false"/>
    <xf numFmtId="308" fontId="58" fillId="28" borderId="72" xfId="0" applyNumberFormat="false" applyAlignment="false" applyProtection="false"/>
    <xf numFmtId="308" fontId="45" fillId="20" borderId="64" xfId="0" applyNumberFormat="false" applyBorder="false" applyAlignment="false" applyProtection="false"/>
    <xf numFmtId="312" fontId="44" fillId="13" borderId="64" xfId="0" applyFont="false" applyFill="false" applyBorder="false" applyAlignment="false" applyProtection="false"/>
    <xf numFmtId="308" fontId="49" fillId="16" borderId="64" xfId="0" applyNumberFormat="false" applyBorder="false" applyAlignment="false" applyProtection="false"/>
    <xf numFmtId="313" fontId="44" fillId="13" borderId="64" xfId="0" applyFont="false" applyFill="false" applyBorder="false" applyAlignment="false" applyProtection="false"/>
    <xf numFmtId="308" fontId="49" fillId="30" borderId="64" xfId="0" applyNumberFormat="false" applyBorder="false" applyAlignment="false" applyProtection="false"/>
    <xf numFmtId="308" fontId="49" fillId="31" borderId="64" xfId="0" applyNumberFormat="false" applyBorder="false" applyAlignment="false" applyProtection="false"/>
    <xf numFmtId="314" fontId="44" fillId="13" borderId="64" xfId="0" applyFont="false" applyFill="false" applyBorder="false" applyAlignment="false" applyProtection="false"/>
    <xf numFmtId="308" fontId="45" fillId="26" borderId="64" xfId="0" applyNumberFormat="false" applyBorder="false" applyAlignment="false" applyProtection="false"/>
    <xf numFmtId="308" fontId="52" fillId="18" borderId="64" xfId="0" applyNumberFormat="false" applyBorder="false" applyAlignment="false" applyProtection="false"/>
    <xf numFmtId="308" fontId="49" fillId="11" borderId="64" xfId="0" applyNumberFormat="false" applyBorder="false" applyAlignment="false" applyProtection="false"/>
    <xf numFmtId="308" fontId="49" fillId="31" borderId="64" xfId="0" applyNumberFormat="false" applyBorder="false" applyAlignment="false" applyProtection="false"/>
    <xf numFmtId="308" fontId="12" fillId="13" borderId="64" xfId="0">
      <alignment/>
      <protection/>
    </xf>
    <xf numFmtId="308" fontId="49" fillId="16" borderId="64" xfId="0" applyNumberFormat="false" applyBorder="false" applyAlignment="false" applyProtection="false"/>
    <xf numFmtId="308" fontId="49" fillId="27" borderId="64" xfId="0" applyNumberFormat="false" applyBorder="false" applyAlignment="false" applyProtection="false"/>
    <xf numFmtId="308" fontId="49" fillId="23" borderId="64" xfId="0" applyNumberFormat="false" applyBorder="false" applyAlignment="false" applyProtection="false"/>
    <xf numFmtId="308" fontId="59" fillId="10" borderId="64" xfId="0" applyNumberFormat="false" applyBorder="false" applyAlignment="false" applyProtection="false"/>
    <xf numFmtId="308" fontId="49" fillId="25" borderId="64" xfId="0" applyNumberFormat="false" applyBorder="false" applyAlignment="false" applyProtection="false"/>
    <xf numFmtId="308" fontId="55" fillId="13" borderId="70" xfId="0" applyNumberFormat="false" applyFill="false" applyAlignment="false" applyProtection="false"/>
    <xf numFmtId="308" fontId="49" fillId="30" borderId="64" xfId="0" applyNumberFormat="false" applyBorder="false" applyAlignment="false" applyProtection="false"/>
    <xf numFmtId="308" fontId="51" fillId="13" borderId="68" xfId="0" applyNumberFormat="false" applyFill="false" applyAlignment="false" applyProtection="false"/>
    <xf numFmtId="308" fontId="49" fillId="23" borderId="64" xfId="0" applyNumberFormat="false" applyBorder="false" applyAlignment="false" applyProtection="false"/>
    <xf numFmtId="308" fontId="49" fillId="16" borderId="64" xfId="0" applyNumberFormat="false" applyBorder="false" applyAlignment="false" applyProtection="false"/>
    <xf numFmtId="308" fontId="45" fillId="24" borderId="64" xfId="0" applyNumberFormat="false" applyBorder="false" applyAlignment="false" applyProtection="false"/>
    <xf numFmtId="308" fontId="56" fillId="13" borderId="64" xfId="0">
      <alignment/>
      <protection/>
    </xf>
    <xf numFmtId="308" fontId="45" fillId="20" borderId="64" xfId="0" applyNumberFormat="false" applyBorder="false" applyAlignment="false" applyProtection="false"/>
    <xf numFmtId="308" fontId="45" fillId="12" borderId="64" xfId="0" applyNumberFormat="false" applyBorder="false" applyAlignment="false" applyProtection="false"/>
    <xf numFmtId="308" fontId="45" fillId="29" borderId="64" xfId="0" applyNumberFormat="false" applyBorder="false" applyAlignment="false" applyProtection="false"/>
    <xf numFmtId="308" fontId="45" fillId="24" borderId="64" xfId="0" applyNumberFormat="false" applyBorder="false" applyAlignment="false" applyProtection="false"/>
    <xf numFmtId="308" fontId="63" fillId="13" borderId="73" xfId="0" applyNumberFormat="false" applyFill="false" applyAlignment="false" applyProtection="false"/>
    <xf numFmtId="308" fontId="57" fillId="13" borderId="71" xfId="0" applyNumberFormat="false" applyFill="false" applyAlignment="false" applyProtection="false"/>
    <xf numFmtId="308" fontId="46" fillId="13" borderId="64" xfId="0" applyNumberFormat="false" applyFill="false" applyBorder="false" applyAlignment="false" applyProtection="false"/>
    <xf numFmtId="308" fontId="44" fillId="13" borderId="64" xfId="0">
      <alignment/>
      <protection/>
    </xf>
    <xf numFmtId="308" fontId="46" fillId="13" borderId="64" xfId="0" applyNumberFormat="false" applyFill="false" applyBorder="false" applyAlignment="false" applyProtection="false"/>
    <xf numFmtId="308" fontId="44" fillId="13" borderId="64" xfId="0">
      <alignment/>
      <protection/>
    </xf>
    <xf numFmtId="308" fontId="64" fillId="13" borderId="64" xfId="0" applyNumberFormat="false" applyFill="false" applyBorder="false" applyAlignment="false" applyProtection="false"/>
    <xf numFmtId="308" fontId="12" fillId="13" borderId="64" xfId="0">
      <alignment/>
      <protection/>
    </xf>
    <xf numFmtId="308" fontId="53" fillId="13" borderId="64" xfId="0" applyNumberFormat="false" applyFill="false" applyBorder="false" applyAlignment="false" applyProtection="false"/>
    <xf numFmtId="308" fontId="12" fillId="13" borderId="64" xfId="0">
      <alignment/>
      <protection/>
    </xf>
    <xf numFmtId="308" fontId="62" fillId="13" borderId="64" xfId="0" applyNumberFormat="false" applyFill="false" applyBorder="false" applyAlignment="false" applyProtection="false"/>
    <xf numFmtId="308" fontId="44" fillId="13" borderId="64" xfId="0">
      <alignment/>
      <protection/>
    </xf>
    <xf numFmtId="308" fontId="63" fillId="13" borderId="73" xfId="0" applyNumberFormat="false" applyFill="false" applyAlignment="false" applyProtection="false"/>
    <xf numFmtId="308" fontId="44" fillId="13" borderId="64" xfId="0">
      <alignment vertical="center"/>
      <protection/>
    </xf>
    <xf numFmtId="308" fontId="49" fillId="29" borderId="64" xfId="0" applyNumberFormat="false" applyBorder="false" applyAlignment="false" applyProtection="false"/>
    <xf numFmtId="308" fontId="64" fillId="13" borderId="64" xfId="0" applyNumberFormat="false" applyFill="false" applyBorder="false" applyAlignment="false" applyProtection="false"/>
  </cellStyleXfs>
  <cellXfs count="719">
    <xf numFmtId="0" fontId="0" fillId="0" borderId="0" xfId="0">
      <alignment vertical="center"/>
    </xf>
    <xf numFmtId="0" fontId="1" fillId="0" borderId="0" xfId="0">
      <alignment vertical="center"/>
    </xf>
    <xf numFmtId="0" fontId="2" fillId="0" borderId="0" xfId="0">
      <alignment horizontal="center" vertical="center"/>
    </xf>
    <xf fontId="0" fillId="0" borderId="0" xfId="0">
      <alignment vertical="center"/>
    </xf>
    <xf numFmtId="308" fontId="44" fillId="0" borderId="64" xfId="0">
      <alignment vertical="center"/>
      <protection/>
    </xf>
    <xf numFmtId="308" fontId="3" fillId="0" borderId="64" xfId="0" applyFont="true" applyAlignment="true">
      <alignment horizontal="centerContinuous" vertical="center"/>
      <protection/>
    </xf>
    <xf numFmtId="308" fontId="44" fillId="0" borderId="64" xfId="0" applyAlignment="true">
      <alignment horizontal="centerContinuous" vertical="center"/>
      <protection/>
    </xf>
    <xf numFmtId="308" fontId="4" fillId="0" borderId="1" xfId="0" applyFont="true" applyBorder="true" applyAlignment="true">
      <alignment horizontal="center" vertical="top" wrapText="true"/>
      <protection/>
    </xf>
    <xf numFmtId="308" fontId="4" fillId="0" borderId="2" xfId="0" applyFont="true" applyBorder="true" applyAlignment="true">
      <alignment horizontal="center" vertical="top" wrapText="true"/>
      <protection/>
    </xf>
    <xf numFmtId="308" fontId="4" fillId="0" borderId="3" xfId="0" applyFont="true" applyBorder="true" applyAlignment="true">
      <alignment horizontal="center" vertical="top" wrapText="true"/>
      <protection/>
    </xf>
    <xf numFmtId="308" fontId="4" fillId="0" borderId="4" xfId="0" applyFont="true" applyBorder="true" applyAlignment="true">
      <alignment horizontal="center" vertical="center" wrapText="true"/>
      <protection/>
    </xf>
    <xf numFmtId="308" fontId="44" fillId="0" borderId="4" xfId="0" applyBorder="true" applyAlignment="true">
      <alignment horizontal="center" vertical="center" wrapText="true"/>
      <protection/>
    </xf>
    <xf numFmtId="308" fontId="4" fillId="0" borderId="5" xfId="0" applyFont="true" applyBorder="true" applyAlignment="true">
      <alignment horizontal="center" vertical="center" wrapText="true"/>
      <protection/>
    </xf>
    <xf numFmtId="308" fontId="4" fillId="0" borderId="6" xfId="0" applyFont="true" applyBorder="true" applyAlignment="true">
      <alignment horizontal="center" vertical="top" wrapText="true"/>
      <protection/>
    </xf>
    <xf numFmtId="308" fontId="4" fillId="0" borderId="7" xfId="0" applyFont="true" applyBorder="true" applyAlignment="true">
      <alignment horizontal="center" vertical="top" wrapText="true"/>
      <protection/>
    </xf>
    <xf numFmtId="308" fontId="4" fillId="0" borderId="4" xfId="0" applyFont="true" applyBorder="true" applyAlignment="true">
      <alignment horizontal="center" vertical="top" wrapText="true"/>
      <protection/>
    </xf>
    <xf numFmtId="308" fontId="4" fillId="0" borderId="6" xfId="0" applyFont="true" applyBorder="true" applyAlignment="true">
      <alignment horizontal="center" vertical="center" wrapText="true"/>
      <protection/>
    </xf>
    <xf numFmtId="308" fontId="5" fillId="0" borderId="8" xfId="0" applyFont="true" applyBorder="true" applyAlignment="true">
      <alignment horizontal="center" vertical="top" wrapText="true"/>
      <protection/>
    </xf>
    <xf numFmtId="308" fontId="6" fillId="0" borderId="8" xfId="0" applyFont="true" applyBorder="true" applyAlignment="true">
      <alignment horizontal="justify" vertical="top" wrapText="true"/>
      <protection/>
    </xf>
    <xf numFmtId="308" fontId="7" fillId="0" borderId="8" xfId="0" applyFont="true" applyBorder="true" applyAlignment="true">
      <alignment horizontal="justify" vertical="top" wrapText="true"/>
      <protection/>
    </xf>
    <xf numFmtId="308" fontId="8" fillId="0" borderId="8" xfId="0" applyFont="true" applyBorder="true" applyAlignment="true">
      <alignment horizontal="center" vertical="top" wrapText="true"/>
      <protection/>
    </xf>
    <xf numFmtId="308" fontId="4" fillId="0" borderId="8" xfId="0" applyFont="true" applyBorder="true" applyAlignment="true">
      <alignment horizontal="justify" vertical="top" wrapText="true"/>
      <protection/>
    </xf>
    <xf numFmtId="308" fontId="7" fillId="0" borderId="8" xfId="0" applyFont="true" applyBorder="true" applyAlignment="true">
      <alignment horizontal="center" vertical="top" wrapText="true"/>
      <protection/>
    </xf>
    <xf numFmtId="308" fontId="7" fillId="0" borderId="8" xfId="0" applyFont="true" applyBorder="true" applyAlignment="true">
      <alignment horizontal="center" vertical="center" wrapText="true"/>
      <protection/>
    </xf>
    <xf numFmtId="308" fontId="8" fillId="0" borderId="8" xfId="0" applyFont="true" applyBorder="true" applyAlignment="true">
      <alignment horizontal="justify" vertical="top" wrapText="true"/>
      <protection/>
    </xf>
    <xf numFmtId="308" fontId="7" fillId="0" borderId="8" xfId="0" applyFont="true" applyBorder="true" applyAlignment="true">
      <alignment vertical="top" wrapText="true"/>
      <protection/>
    </xf>
    <xf numFmtId="308" fontId="9" fillId="0" borderId="8" xfId="0" applyFont="true" applyBorder="true" applyAlignment="true">
      <alignment horizontal="center" vertical="top" wrapText="true"/>
      <protection/>
    </xf>
    <xf numFmtId="308" fontId="7" fillId="0" borderId="8" xfId="0" applyFont="true" applyBorder="true" applyAlignment="true">
      <alignment horizontal="right" vertical="top" wrapText="true"/>
      <protection/>
    </xf>
    <xf numFmtId="308" fontId="6" fillId="0" borderId="8" xfId="0" applyFont="true" applyBorder="true" applyAlignment="true">
      <alignment vertical="top" wrapText="true"/>
      <protection/>
    </xf>
    <xf numFmtId="308" fontId="44" fillId="0" borderId="8" xfId="0" applyBorder="true">
      <alignment vertical="center"/>
      <protection/>
    </xf>
    <xf numFmtId="308" fontId="10" fillId="0" borderId="8" xfId="0" applyFont="true" applyBorder="true" applyAlignment="true">
      <alignment horizontal="center" vertical="top" wrapText="true"/>
      <protection/>
    </xf>
    <xf numFmtId="308" fontId="11" fillId="0" borderId="8" xfId="0" applyFont="true" applyBorder="true" applyAlignment="true">
      <alignment horizontal="center" vertical="top" wrapText="true"/>
      <protection/>
    </xf>
    <xf numFmtId="308" fontId="8" fillId="0" borderId="8" xfId="0" applyFont="true" applyBorder="true" applyAlignment="true">
      <alignment horizontal="right" vertical="top" wrapText="true"/>
      <protection/>
    </xf>
    <xf numFmtId="308" fontId="12" fillId="0" borderId="8" xfId="0" applyFont="true" applyBorder="true" applyAlignment="true">
      <alignment horizontal="right" vertical="top" wrapText="true"/>
      <protection/>
    </xf>
    <xf numFmtId="308" fontId="13" fillId="0" borderId="8" xfId="0" applyFont="true" applyBorder="true" applyAlignment="true">
      <alignment horizontal="justify" vertical="top" wrapText="true"/>
      <protection/>
    </xf>
    <xf numFmtId="308" fontId="5" fillId="0" borderId="6" xfId="0" applyFont="true" applyBorder="true" applyAlignment="true">
      <alignment horizontal="center" vertical="top" wrapText="true"/>
      <protection/>
    </xf>
    <xf numFmtId="308" fontId="8" fillId="0" borderId="6" xfId="0" applyFont="true" applyBorder="true" applyAlignment="true">
      <alignment horizontal="center" vertical="top" wrapText="true"/>
      <protection/>
    </xf>
    <xf numFmtId="308" fontId="7" fillId="0" borderId="6" xfId="0" applyFont="true" applyBorder="true" applyAlignment="true">
      <alignment horizontal="center" vertical="top" wrapText="true"/>
      <protection/>
    </xf>
    <xf numFmtId="308" fontId="6" fillId="0" borderId="6" xfId="0" applyFont="true" applyBorder="true" applyAlignment="true">
      <alignment horizontal="justify" vertical="top" wrapText="true"/>
      <protection/>
    </xf>
    <xf numFmtId="308" fontId="4" fillId="0" borderId="6" xfId="0" applyFont="true" applyBorder="true" applyAlignment="true">
      <alignment horizontal="justify" vertical="top" wrapText="true"/>
      <protection/>
    </xf>
    <xf numFmtId="308" fontId="7" fillId="0" borderId="6" xfId="0" applyFont="true" applyBorder="true" applyAlignment="true">
      <alignment horizontal="justify" vertical="top" wrapText="true"/>
      <protection/>
    </xf>
    <xf numFmtId="308" fontId="44" fillId="0" borderId="64" xfId="0" applyAlignment="true">
      <alignment horizontal="center" vertical="center"/>
      <protection/>
    </xf>
    <xf numFmtId="308" fontId="14" fillId="0" borderId="64" xfId="0" applyFont="true" applyAlignment="true">
      <alignment horizontal="center" vertical="center" wrapText="true"/>
      <protection/>
    </xf>
    <xf numFmtId="308" fontId="14" fillId="0" borderId="9" xfId="0" applyFont="true" applyBorder="true" applyAlignment="true">
      <alignment horizontal="center" vertical="center" wrapText="true"/>
      <protection/>
    </xf>
    <xf numFmtId="49" fontId="14" fillId="2" borderId="9" xfId="0" applyNumberFormat="true" applyFont="true" applyFill="true" applyBorder="true" applyAlignment="true" applyProtection="true">
      <alignment horizontal="center" vertical="center" wrapText="true"/>
      <protection locked="false"/>
    </xf>
    <xf numFmtId="308" fontId="14" fillId="0" borderId="10" xfId="0" applyFont="true" applyBorder="true" applyAlignment="true">
      <alignment horizontal="center" vertical="center" wrapText="true"/>
      <protection/>
    </xf>
    <xf numFmtId="49" fontId="14" fillId="2" borderId="11" xfId="0" applyNumberFormat="true" applyFont="true" applyFill="true" applyBorder="true" applyAlignment="true" applyProtection="true">
      <alignment horizontal="center" vertical="center" wrapText="true"/>
      <protection locked="false"/>
    </xf>
    <xf numFmtId="49" fontId="14" fillId="2" borderId="11" xfId="0" applyNumberFormat="true" applyFont="true" applyFill="true" applyBorder="true" applyAlignment="true" applyProtection="true">
      <alignment horizontal="center" vertical="center"/>
      <protection locked="false"/>
    </xf>
    <xf numFmtId="308" fontId="14" fillId="0" borderId="12" xfId="0" applyFont="true" applyBorder="true" applyAlignment="true">
      <alignment horizontal="center" vertical="center" wrapText="true"/>
      <protection/>
    </xf>
    <xf numFmtId="308" fontId="14" fillId="0" borderId="13" xfId="0" applyFont="true" applyBorder="true" applyAlignment="true">
      <alignment horizontal="center" vertical="center" wrapText="true"/>
      <protection/>
    </xf>
    <xf numFmtId="308" fontId="14" fillId="0" borderId="11" xfId="0" applyFont="true" applyBorder="true" applyAlignment="true">
      <alignment horizontal="center" vertical="center" wrapText="true"/>
      <protection/>
    </xf>
    <xf numFmtId="308" fontId="44" fillId="0" borderId="11" xfId="0" applyBorder="true" applyAlignment="true">
      <alignment horizontal="center" vertical="center" wrapText="true"/>
      <protection/>
    </xf>
    <xf numFmtId="308" fontId="14" fillId="0" borderId="14" xfId="0" applyFont="true" applyBorder="true" applyAlignment="true">
      <alignment horizontal="center" vertical="center" wrapText="true"/>
      <protection/>
    </xf>
    <xf numFmtId="49" fontId="14" fillId="2" borderId="15" xfId="0" applyNumberFormat="true" applyFont="true" applyFill="true" applyBorder="true" applyAlignment="true" applyProtection="true">
      <alignment horizontal="center" vertical="center" wrapText="true"/>
      <protection locked="false"/>
    </xf>
    <xf numFmtId="49" fontId="14" fillId="2" borderId="15" xfId="0" applyNumberFormat="true" applyFont="true" applyFill="true" applyBorder="true" applyAlignment="true" applyProtection="true">
      <alignment horizontal="center" vertical="center"/>
      <protection locked="false"/>
    </xf>
    <xf numFmtId="308" fontId="14" fillId="3" borderId="16" xfId="0" applyFont="true" applyFill="true" applyBorder="true" applyAlignment="true" applyProtection="true">
      <alignment horizontal="center" vertical="center" wrapText="true"/>
      <protection/>
    </xf>
    <xf numFmtId="308" fontId="44" fillId="3" borderId="17" xfId="0" applyFill="true" applyBorder="true" applyAlignment="true" applyProtection="true">
      <alignment horizontal="center" vertical="center" wrapText="true"/>
      <protection/>
    </xf>
    <xf numFmtId="49" fontId="14" fillId="3" borderId="15" xfId="0" applyNumberFormat="true" applyFont="true" applyFill="true" applyBorder="true" applyAlignment="true" applyProtection="true">
      <alignment horizontal="center" vertical="center"/>
      <protection/>
    </xf>
    <xf numFmtId="308" fontId="14" fillId="0" borderId="16" xfId="0" applyFont="true" applyBorder="true" applyAlignment="true">
      <alignment horizontal="center" vertical="center" wrapText="true"/>
      <protection/>
    </xf>
    <xf numFmtId="308" fontId="44" fillId="0" borderId="17" xfId="0" applyBorder="true" applyAlignment="true">
      <alignment horizontal="center" vertical="center" wrapText="true"/>
      <protection/>
    </xf>
    <xf numFmtId="308" fontId="14" fillId="0" borderId="18" xfId="0" applyFont="true" applyBorder="true" applyAlignment="true">
      <alignment horizontal="center" vertical="center" wrapText="true"/>
      <protection/>
    </xf>
    <xf numFmtId="49" fontId="14" fillId="2" borderId="19" xfId="0" applyNumberFormat="true" applyFont="true" applyFill="true" applyBorder="true" applyAlignment="true" applyProtection="true">
      <alignment horizontal="center" vertical="center" wrapText="true"/>
      <protection locked="false"/>
    </xf>
    <xf numFmtId="49" fontId="14" fillId="2" borderId="19" xfId="0" applyNumberFormat="true" applyFont="true" applyFill="true" applyBorder="true" applyAlignment="true" applyProtection="true">
      <alignment horizontal="center" vertical="center"/>
      <protection locked="false"/>
    </xf>
    <xf numFmtId="308" fontId="14" fillId="0" borderId="19" xfId="0" applyFont="true" applyBorder="true" applyAlignment="true">
      <alignment horizontal="center" vertical="center" wrapText="true"/>
      <protection/>
    </xf>
    <xf numFmtId="49" fontId="14" fillId="2" borderId="20" xfId="0" applyNumberFormat="true" applyFont="true" applyFill="true" applyBorder="true" applyAlignment="true" applyProtection="true">
      <alignment horizontal="center" vertical="center"/>
      <protection locked="false"/>
    </xf>
    <xf numFmtId="308" fontId="14" fillId="0" borderId="21" xfId="0" applyFont="true" applyBorder="true" applyAlignment="true">
      <alignment horizontal="center" vertical="center" wrapText="true"/>
      <protection/>
    </xf>
    <xf numFmtId="308" fontId="14" fillId="0" borderId="22" xfId="0" applyFont="true" applyBorder="true" applyAlignment="true" applyProtection="true">
      <alignment horizontal="center" vertical="center" wrapText="true"/>
      <protection locked="false"/>
    </xf>
    <xf numFmtId="308" fontId="44" fillId="0" borderId="22" xfId="0" applyBorder="true" applyAlignment="true">
      <alignment horizontal="center" vertical="center"/>
      <protection/>
    </xf>
    <xf numFmtId="49" fontId="14" fillId="2" borderId="22" xfId="0" applyNumberFormat="true" applyFont="true" applyFill="true" applyBorder="true" applyAlignment="true" applyProtection="true">
      <alignment horizontal="center" vertical="center"/>
      <protection locked="false"/>
    </xf>
    <xf numFmtId="308" fontId="14" fillId="0" borderId="22" xfId="0" applyFont="true" applyBorder="true" applyAlignment="true">
      <alignment horizontal="center" vertical="center" wrapText="true"/>
      <protection/>
    </xf>
    <xf numFmtId="49" fontId="44" fillId="2" borderId="22" xfId="0" applyNumberFormat="true" applyFill="true" applyBorder="true" applyAlignment="true" applyProtection="true">
      <alignment horizontal="center" vertical="center"/>
      <protection locked="false"/>
    </xf>
    <xf numFmtId="49" fontId="44" fillId="2" borderId="23" xfId="0" applyNumberFormat="true" applyFill="true" applyBorder="true" applyAlignment="true" applyProtection="true">
      <alignment horizontal="center" vertical="center"/>
      <protection locked="false"/>
    </xf>
    <xf numFmtId="308" fontId="14" fillId="0" borderId="24" xfId="0" applyFont="true" applyBorder="true" applyAlignment="true">
      <alignment horizontal="center" vertical="center" wrapText="true"/>
      <protection/>
    </xf>
    <xf numFmtId="308" fontId="14" fillId="0" borderId="17" xfId="0" applyFont="true" applyBorder="true" applyAlignment="true">
      <alignment horizontal="center" vertical="center" wrapText="true"/>
      <protection/>
    </xf>
    <xf numFmtId="308" fontId="14" fillId="0" borderId="16" xfId="0" applyFont="true" applyBorder="true" applyAlignment="true">
      <alignment horizontal="center" vertical="center"/>
      <protection/>
    </xf>
    <xf numFmtId="308" fontId="14" fillId="0" borderId="24" xfId="0" applyFont="true" applyBorder="true" applyAlignment="true">
      <alignment horizontal="center" vertical="center"/>
      <protection/>
    </xf>
    <xf numFmtId="308" fontId="14" fillId="0" borderId="25" xfId="0" applyFont="true" applyBorder="true" applyAlignment="true">
      <alignment horizontal="center" vertical="center"/>
      <protection/>
    </xf>
    <xf numFmtId="308" fontId="14" fillId="0" borderId="26" xfId="0" applyFont="true" applyBorder="true" applyAlignment="true">
      <alignment horizontal="center" vertical="center" wrapText="true"/>
      <protection/>
    </xf>
    <xf numFmtId="308" fontId="14" fillId="0" borderId="27" xfId="0" applyFont="true" applyBorder="true" applyAlignment="true">
      <alignment horizontal="center" vertical="center" wrapText="true"/>
      <protection/>
    </xf>
    <xf numFmtId="308" fontId="44" fillId="0" borderId="28" xfId="0" applyBorder="true" applyAlignment="true">
      <alignment horizontal="center" vertical="center" wrapText="true"/>
      <protection/>
    </xf>
    <xf numFmtId="308" fontId="44" fillId="0" borderId="29" xfId="0" applyBorder="true" applyAlignment="true">
      <alignment horizontal="center" vertical="center" wrapText="true"/>
      <protection/>
    </xf>
    <xf numFmtId="308" fontId="14" fillId="0" borderId="27" xfId="0" applyFont="true" applyBorder="true" applyAlignment="true">
      <alignment horizontal="center" vertical="center"/>
      <protection/>
    </xf>
    <xf numFmtId="308" fontId="44" fillId="0" borderId="28" xfId="0" applyBorder="true" applyAlignment="true">
      <alignment horizontal="center" vertical="center"/>
      <protection/>
    </xf>
    <xf numFmtId="308" fontId="44" fillId="0" borderId="30" xfId="0" applyBorder="true" applyAlignment="true">
      <alignment horizontal="center" vertical="center"/>
      <protection/>
    </xf>
    <xf numFmtId="308" fontId="14" fillId="0" borderId="18" xfId="0" applyFont="true" applyBorder="true" applyAlignment="true">
      <alignment horizontal="center" vertical="center"/>
      <protection/>
    </xf>
    <xf numFmtId="308" fontId="14" fillId="0" borderId="28" xfId="0" applyFont="true" applyBorder="true" applyAlignment="true">
      <alignment horizontal="center" vertical="center" wrapText="true"/>
      <protection/>
    </xf>
    <xf numFmtId="308" fontId="14" fillId="0" borderId="29" xfId="0" applyFont="true" applyBorder="true" applyAlignment="true">
      <alignment horizontal="center" vertical="center" wrapText="true"/>
      <protection/>
    </xf>
    <xf numFmtId="308" fontId="14" fillId="0" borderId="30" xfId="0" applyFont="true" applyBorder="true" applyAlignment="true">
      <alignment horizontal="center" vertical="center" wrapText="true"/>
      <protection/>
    </xf>
    <xf numFmtId="308" fontId="14" fillId="0" borderId="31" xfId="0" applyFont="true" applyBorder="true" applyAlignment="true">
      <alignment horizontal="center" vertical="center"/>
      <protection/>
    </xf>
    <xf numFmtId="308" fontId="14" fillId="0" borderId="32" xfId="0" applyFont="true" applyBorder="true" applyAlignment="true">
      <alignment horizontal="center" vertical="center" wrapText="true"/>
      <protection/>
    </xf>
    <xf numFmtId="308" fontId="14" fillId="0" borderId="33" xfId="0" applyFont="true" applyBorder="true" applyAlignment="true">
      <alignment horizontal="center" vertical="center" wrapText="true"/>
      <protection/>
    </xf>
    <xf numFmtId="308" fontId="14" fillId="0" borderId="34" xfId="0" applyFont="true" applyBorder="true" applyAlignment="true">
      <alignment horizontal="center" vertical="center" wrapText="true"/>
      <protection/>
    </xf>
    <xf numFmtId="308" fontId="14" fillId="2" borderId="32" xfId="0" applyFont="true" applyFill="true" applyBorder="true" applyAlignment="true" applyProtection="true">
      <alignment horizontal="center" vertical="center" wrapText="true"/>
      <protection locked="false"/>
    </xf>
    <xf numFmtId="308" fontId="14" fillId="2" borderId="33" xfId="0" applyFont="true" applyFill="true" applyBorder="true" applyAlignment="true" applyProtection="true">
      <alignment horizontal="center" vertical="center" wrapText="true"/>
      <protection locked="false"/>
    </xf>
    <xf numFmtId="308" fontId="14" fillId="2" borderId="35" xfId="0" applyFont="true" applyFill="true" applyBorder="true" applyAlignment="true" applyProtection="true">
      <alignment horizontal="center" vertical="center" wrapText="true"/>
      <protection locked="false"/>
    </xf>
    <xf numFmtId="308" fontId="14" fillId="0" borderId="36" xfId="0" applyFont="true" applyBorder="true" applyAlignment="true">
      <alignment horizontal="center" vertical="center" wrapText="true"/>
      <protection/>
    </xf>
    <xf numFmtId="308" fontId="14" fillId="0" borderId="11" xfId="0" applyFont="true" applyBorder="true" applyAlignment="true">
      <alignment horizontal="center" vertical="center"/>
      <protection/>
    </xf>
    <xf numFmtId="308" fontId="14" fillId="0" borderId="11" xfId="0" applyFont="true" applyBorder="true" applyAlignment="true" applyProtection="true">
      <alignment horizontal="center" vertical="center" wrapText="true"/>
      <protection locked="false"/>
    </xf>
    <xf numFmtId="308" fontId="14" fillId="0" borderId="37" xfId="0" applyFont="true" applyBorder="true" applyAlignment="true" applyProtection="true">
      <alignment horizontal="center" vertical="center" wrapText="true"/>
      <protection locked="false"/>
    </xf>
    <xf numFmtId="308" fontId="14" fillId="0" borderId="19" xfId="0" applyFont="true" applyBorder="true" applyAlignment="true">
      <alignment horizontal="center" vertical="center"/>
      <protection/>
    </xf>
    <xf numFmtId="308" fontId="14" fillId="0" borderId="20" xfId="0" applyFont="true" applyBorder="true" applyAlignment="true">
      <alignment horizontal="center" vertical="center"/>
      <protection/>
    </xf>
    <xf numFmtId="308" fontId="14" fillId="0" borderId="38" xfId="0" applyFont="true" applyBorder="true" applyAlignment="true">
      <alignment horizontal="center" vertical="center" wrapText="true"/>
      <protection/>
    </xf>
    <xf numFmtId="300" fontId="14" fillId="2" borderId="9" xfId="0" applyNumberFormat="true" applyFont="true" applyFill="true" applyBorder="true" applyAlignment="true" applyProtection="true">
      <alignment horizontal="center" vertical="center"/>
      <protection locked="false"/>
    </xf>
    <xf numFmtId="300" fontId="14" fillId="0" borderId="11" xfId="0" applyNumberFormat="true" applyFont="true" applyBorder="true" applyAlignment="true">
      <alignment horizontal="center" vertical="center" wrapText="true"/>
      <protection/>
    </xf>
    <xf numFmtId="308" fontId="14" fillId="0" borderId="37" xfId="0" applyFont="true" applyBorder="true" applyAlignment="true">
      <alignment horizontal="center" vertical="center"/>
      <protection/>
    </xf>
    <xf numFmtId="300" fontId="14" fillId="0" borderId="9" xfId="0" applyNumberFormat="true" applyFont="true" applyBorder="true" applyAlignment="true">
      <alignment horizontal="center" vertical="center"/>
      <protection/>
    </xf>
    <xf numFmtId="300" fontId="14" fillId="0" borderId="39" xfId="0" applyNumberFormat="true" applyFont="true" applyBorder="true" applyAlignment="true">
      <alignment horizontal="center" vertical="center"/>
      <protection/>
    </xf>
    <xf numFmtId="308" fontId="14" fillId="0" borderId="39" xfId="0" applyFont="true" applyBorder="true" applyAlignment="true">
      <alignment horizontal="center" vertical="center" wrapText="true"/>
      <protection/>
    </xf>
    <xf numFmtId="300" fontId="14" fillId="0" borderId="40" xfId="0" applyNumberFormat="true" applyFont="true" applyBorder="true" applyAlignment="true">
      <alignment horizontal="center" vertical="center"/>
      <protection/>
    </xf>
    <xf numFmtId="49" fontId="14" fillId="0" borderId="12" xfId="0" applyNumberFormat="true" applyFont="true" applyBorder="true" applyAlignment="true">
      <alignment horizontal="center" vertical="center"/>
      <protection/>
    </xf>
    <xf numFmtId="49" fontId="14" fillId="0" borderId="13" xfId="0" applyNumberFormat="true" applyFont="true" applyBorder="true" applyAlignment="true">
      <alignment horizontal="center" vertical="center"/>
      <protection/>
    </xf>
    <xf numFmtId="308" fontId="14" fillId="0" borderId="12" xfId="0" applyFont="true" applyBorder="true" applyAlignment="true">
      <alignment horizontal="center" vertical="center"/>
      <protection/>
    </xf>
    <xf numFmtId="308" fontId="44" fillId="0" borderId="13" xfId="0" applyBorder="true" applyAlignment="true">
      <alignment horizontal="center" vertical="center"/>
      <protection/>
    </xf>
    <xf numFmtId="308" fontId="14" fillId="0" borderId="41" xfId="0" applyFont="true" applyBorder="true" applyAlignment="true">
      <alignment horizontal="center" vertical="center" wrapText="true"/>
      <protection/>
    </xf>
    <xf numFmtId="308" fontId="14" fillId="0" borderId="31" xfId="0" applyFont="true" applyBorder="true" applyAlignment="true">
      <alignment horizontal="center" vertical="center" wrapText="true"/>
      <protection/>
    </xf>
    <xf numFmtId="300" fontId="14" fillId="0" borderId="9" xfId="0" applyNumberFormat="true" applyFont="true" applyBorder="true" applyAlignment="true">
      <alignment horizontal="center" vertical="center" wrapText="true"/>
      <protection/>
    </xf>
    <xf numFmtId="300" fontId="14" fillId="0" borderId="32" xfId="0" applyNumberFormat="true" applyFont="true" applyBorder="true" applyAlignment="true">
      <alignment horizontal="center" vertical="center" wrapText="true"/>
      <protection/>
    </xf>
    <xf numFmtId="300" fontId="44" fillId="0" borderId="34" xfId="0" applyNumberFormat="true" applyBorder="true" applyAlignment="true">
      <alignment horizontal="center" vertical="center" wrapText="true"/>
      <protection/>
    </xf>
    <xf numFmtId="300" fontId="44" fillId="0" borderId="35" xfId="0" applyNumberFormat="true" applyBorder="true" applyAlignment="true">
      <alignment horizontal="center" vertical="center" wrapText="true"/>
      <protection/>
    </xf>
    <xf numFmtId="308" fontId="14" fillId="0" borderId="37" xfId="0" applyFont="true" applyBorder="true" applyAlignment="true">
      <alignment horizontal="center" vertical="center" wrapText="true"/>
      <protection/>
    </xf>
    <xf numFmtId="10" fontId="14" fillId="0" borderId="9" xfId="0" applyNumberFormat="true" applyFont="true" applyBorder="true" applyAlignment="true">
      <alignment horizontal="center" vertical="center" wrapText="true"/>
      <protection/>
    </xf>
    <xf numFmtId="10" fontId="14" fillId="0" borderId="9" xfId="0" applyNumberFormat="true" applyFont="true" applyBorder="true" applyAlignment="true">
      <alignment horizontal="center" vertical="center"/>
      <protection/>
    </xf>
    <xf numFmtId="308" fontId="14" fillId="3" borderId="42" xfId="0" applyFont="true" applyFill="true" applyBorder="true" applyAlignment="true" applyProtection="true">
      <alignment horizontal="center" vertical="center" wrapText="true"/>
      <protection/>
    </xf>
    <xf numFmtId="49" fontId="14" fillId="3" borderId="43" xfId="0" applyNumberFormat="true" applyFont="true" applyFill="true" applyBorder="true" applyAlignment="true" applyProtection="true">
      <alignment horizontal="center" vertical="center" wrapText="true"/>
      <protection/>
    </xf>
    <xf numFmtId="49" fontId="44" fillId="3" borderId="43" xfId="0" applyNumberFormat="true" applyFill="true" applyBorder="true" applyAlignment="true" applyProtection="true">
      <alignment horizontal="center" vertical="center"/>
      <protection/>
    </xf>
    <xf numFmtId="308" fontId="14" fillId="3" borderId="2" xfId="0" applyFont="true" applyFill="true" applyBorder="true" applyAlignment="true" applyProtection="true">
      <alignment horizontal="center" vertical="center" wrapText="true"/>
      <protection/>
    </xf>
    <xf numFmtId="308" fontId="14" fillId="3" borderId="44" xfId="0" applyFont="true" applyFill="true" applyBorder="true" applyAlignment="true" applyProtection="true">
      <alignment horizontal="center" vertical="center" wrapText="true"/>
      <protection/>
    </xf>
    <xf numFmtId="308" fontId="14" fillId="0" borderId="45" xfId="0" applyFont="true" applyBorder="true" applyAlignment="true" applyProtection="true">
      <alignment horizontal="center" vertical="center"/>
      <protection locked="false"/>
    </xf>
    <xf numFmtId="308" fontId="14" fillId="0" borderId="44" xfId="0" applyFont="true" applyBorder="true" applyAlignment="true" applyProtection="true">
      <alignment horizontal="center" vertical="center"/>
      <protection locked="false"/>
    </xf>
    <xf numFmtId="10" fontId="14" fillId="4" borderId="46" xfId="0" applyNumberFormat="true" applyFont="true" applyFill="true" applyBorder="true" applyAlignment="true" applyProtection="true">
      <alignment horizontal="center" vertical="center"/>
      <protection/>
    </xf>
    <xf numFmtId="301" fontId="14" fillId="2" borderId="11" xfId="0" applyNumberFormat="true" applyFont="true" applyFill="true" applyBorder="true" applyAlignment="true" applyProtection="true">
      <alignment horizontal="center" vertical="center" wrapText="true"/>
      <protection locked="false"/>
    </xf>
    <xf numFmtId="301" fontId="44" fillId="2" borderId="11" xfId="0" applyNumberFormat="true" applyFill="true" applyBorder="true" applyAlignment="true" applyProtection="true">
      <alignment horizontal="center" vertical="center" wrapText="true"/>
      <protection locked="false"/>
    </xf>
    <xf numFmtId="301" fontId="14" fillId="2" borderId="37" xfId="0" applyNumberFormat="true" applyFont="true" applyFill="true" applyBorder="true" applyAlignment="true" applyProtection="true">
      <alignment horizontal="center" vertical="center"/>
      <protection locked="false"/>
    </xf>
    <xf numFmtId="301" fontId="14" fillId="2" borderId="19" xfId="0" applyNumberFormat="true" applyFont="true" applyFill="true" applyBorder="true" applyAlignment="true" applyProtection="true">
      <alignment horizontal="center" vertical="center" wrapText="true"/>
      <protection locked="false"/>
    </xf>
    <xf numFmtId="301" fontId="44" fillId="2" borderId="19" xfId="0" applyNumberFormat="true" applyFill="true" applyBorder="true" applyAlignment="true" applyProtection="true">
      <alignment horizontal="center" vertical="center" wrapText="true"/>
      <protection locked="false"/>
    </xf>
    <xf numFmtId="308" fontId="14" fillId="0" borderId="19" xfId="0" applyFont="true" applyBorder="true" applyAlignment="true" applyProtection="true">
      <alignment horizontal="center" vertical="center" wrapText="true"/>
      <protection locked="false"/>
    </xf>
    <xf numFmtId="308" fontId="44" fillId="0" borderId="19" xfId="0" applyBorder="true" applyAlignment="true">
      <alignment horizontal="center" vertical="center" wrapText="true"/>
      <protection/>
    </xf>
    <xf numFmtId="301" fontId="14" fillId="2" borderId="20" xfId="0" applyNumberFormat="true" applyFont="true" applyFill="true" applyBorder="true" applyAlignment="true" applyProtection="true">
      <alignment horizontal="center" vertical="center"/>
      <protection locked="false"/>
    </xf>
    <xf numFmtId="301" fontId="14" fillId="2" borderId="9" xfId="0" applyNumberFormat="true" applyFont="true" applyFill="true" applyBorder="true" applyAlignment="true" applyProtection="true">
      <alignment horizontal="center" vertical="center" wrapText="true"/>
      <protection locked="false"/>
    </xf>
    <xf numFmtId="301" fontId="44" fillId="2" borderId="9" xfId="0" applyNumberFormat="true" applyFill="true" applyBorder="true" applyAlignment="true" applyProtection="true">
      <alignment horizontal="center" vertical="center" wrapText="true"/>
      <protection locked="false"/>
    </xf>
    <xf numFmtId="308" fontId="14" fillId="0" borderId="9" xfId="0" applyFont="true" applyBorder="true" applyAlignment="true" applyProtection="true">
      <alignment horizontal="center" vertical="center" wrapText="true"/>
      <protection locked="false"/>
    </xf>
    <xf numFmtId="308" fontId="44" fillId="0" borderId="9" xfId="0" applyBorder="true" applyAlignment="true">
      <alignment horizontal="center" vertical="center" wrapText="true"/>
      <protection/>
    </xf>
    <xf numFmtId="301" fontId="14" fillId="2" borderId="40" xfId="0" applyNumberFormat="true" applyFont="true" applyFill="true" applyBorder="true" applyAlignment="true" applyProtection="true">
      <alignment horizontal="center" vertical="center"/>
      <protection locked="false"/>
    </xf>
    <xf numFmtId="49" fontId="14" fillId="2" borderId="37" xfId="0" applyNumberFormat="true" applyFont="true" applyFill="true" applyBorder="true" applyAlignment="true" applyProtection="true">
      <alignment horizontal="center" vertical="center"/>
      <protection locked="false"/>
    </xf>
    <xf numFmtId="308" fontId="44" fillId="0" borderId="18" xfId="0" applyBorder="true" applyAlignment="true">
      <alignment horizontal="center" vertical="center" wrapText="true"/>
      <protection/>
    </xf>
    <xf numFmtId="308" fontId="44" fillId="0" borderId="31" xfId="0" applyBorder="true" applyAlignment="true">
      <alignment horizontal="center" vertical="center" wrapText="true"/>
      <protection/>
    </xf>
    <xf numFmtId="49" fontId="14" fillId="2" borderId="9" xfId="0" applyNumberFormat="true" applyFont="true" applyFill="true" applyBorder="true" applyAlignment="true" applyProtection="true">
      <alignment horizontal="center" vertical="center"/>
      <protection locked="false"/>
    </xf>
    <xf numFmtId="308" fontId="14" fillId="0" borderId="9" xfId="0" applyFont="true" applyBorder="true" applyAlignment="true">
      <alignment horizontal="center" vertical="center"/>
      <protection/>
    </xf>
    <xf numFmtId="49" fontId="14" fillId="2" borderId="40" xfId="0" applyNumberFormat="true" applyFont="true" applyFill="true" applyBorder="true" applyAlignment="true" applyProtection="true">
      <alignment horizontal="center" vertical="center"/>
      <protection locked="false"/>
    </xf>
    <xf numFmtId="308" fontId="14" fillId="0" borderId="47" xfId="0" applyFont="true" applyBorder="true" applyAlignment="true">
      <alignment horizontal="center" vertical="center" wrapText="true"/>
      <protection/>
    </xf>
    <xf numFmtId="301" fontId="14" fillId="2" borderId="45" xfId="0" applyNumberFormat="true" applyFont="true" applyFill="true" applyBorder="true" applyAlignment="true" applyProtection="true">
      <alignment horizontal="center" vertical="center" wrapText="true"/>
      <protection locked="false"/>
    </xf>
    <xf numFmtId="301" fontId="44" fillId="2" borderId="44" xfId="0" applyNumberFormat="true" applyFill="true" applyBorder="true" applyAlignment="true" applyProtection="true">
      <alignment horizontal="center" vertical="center" wrapText="true"/>
      <protection locked="false"/>
    </xf>
    <xf numFmtId="308" fontId="14" fillId="3" borderId="45" xfId="0" applyFont="true" applyFill="true" applyBorder="true" applyAlignment="true" applyProtection="true">
      <alignment horizontal="center" vertical="center" wrapText="true"/>
      <protection locked="false"/>
    </xf>
    <xf numFmtId="308" fontId="44" fillId="3" borderId="44" xfId="0" applyFill="true" applyBorder="true" applyAlignment="true">
      <alignment horizontal="center" vertical="center" wrapText="true"/>
      <protection/>
    </xf>
    <xf numFmtId="301" fontId="14" fillId="3" borderId="45" xfId="0" applyNumberFormat="true" applyFont="true" applyFill="true" applyBorder="true" applyAlignment="true" applyProtection="true">
      <alignment horizontal="center" vertical="center" wrapText="true"/>
      <protection locked="false"/>
    </xf>
    <xf numFmtId="301" fontId="44" fillId="3" borderId="44" xfId="0" applyNumberFormat="true" applyFill="true" applyBorder="true" applyAlignment="true" applyProtection="true">
      <alignment horizontal="center" vertical="center" wrapText="true"/>
      <protection locked="false"/>
    </xf>
    <xf numFmtId="308" fontId="14" fillId="3" borderId="45" xfId="0" applyFont="true" applyFill="true" applyBorder="true" applyAlignment="true">
      <alignment horizontal="center" vertical="center" wrapText="true"/>
      <protection/>
    </xf>
    <xf numFmtId="301" fontId="14" fillId="3" borderId="48" xfId="0" applyNumberFormat="true" applyFont="true" applyFill="true" applyBorder="true" applyAlignment="true" applyProtection="true">
      <alignment horizontal="center" vertical="center"/>
      <protection locked="false"/>
    </xf>
    <xf numFmtId="308" fontId="15" fillId="0" borderId="64" xfId="0" applyFont="true" applyAlignment="true">
      <alignment horizontal="center" vertical="center"/>
      <protection/>
    </xf>
    <xf numFmtId="308" fontId="15" fillId="0" borderId="64" xfId="0" applyFont="true" applyAlignment="true">
      <alignment horizontal="right" vertical="center"/>
      <protection/>
    </xf>
    <xf numFmtId="308" fontId="16" fillId="0" borderId="64" xfId="0" applyFont="true">
      <alignment vertical="center"/>
      <protection/>
    </xf>
    <xf numFmtId="308" fontId="16" fillId="0" borderId="64" xfId="0" applyFont="true" applyAlignment="true">
      <alignment horizontal="center" vertical="center"/>
      <protection/>
    </xf>
    <xf numFmtId="308" fontId="17" fillId="0" borderId="64" xfId="0" applyFont="true" applyAlignment="true" applyProtection="true">
      <alignment horizontal="center" vertical="center"/>
      <protection locked="false"/>
    </xf>
    <xf numFmtId="308" fontId="44" fillId="0" borderId="64" xfId="0" applyAlignment="true">
      <alignment horizontal="center" vertical="center" wrapText="true"/>
      <protection/>
    </xf>
    <xf numFmtId="308" fontId="18" fillId="0" borderId="64" xfId="0" applyFont="true" applyAlignment="true">
      <alignment horizontal="center" vertical="center"/>
      <protection/>
    </xf>
    <xf numFmtId="49" fontId="44" fillId="0" borderId="64" xfId="0" applyNumberFormat="true">
      <alignment vertical="center"/>
      <protection/>
    </xf>
    <xf numFmtId="49" fontId="19" fillId="0" borderId="64" xfId="0" applyNumberFormat="true" applyFont="true">
      <alignment vertical="center"/>
      <protection/>
    </xf>
    <xf numFmtId="308" fontId="20" fillId="0" borderId="64" xfId="0" applyFont="true" applyAlignment="true">
      <alignment vertical="center" wrapText="true"/>
      <protection/>
    </xf>
    <xf numFmtId="308" fontId="20" fillId="5" borderId="64" xfId="0" applyFont="true" applyFill="true" applyAlignment="true">
      <alignment vertical="center" wrapText="true"/>
      <protection/>
    </xf>
    <xf numFmtId="308" fontId="21" fillId="0" borderId="64" xfId="0" applyFont="true" applyAlignment="true">
      <alignment horizontal="justify" vertical="center" wrapText="true"/>
      <protection/>
    </xf>
    <xf numFmtId="308" fontId="20" fillId="6" borderId="64" xfId="0" applyFont="true" applyFill="true" applyAlignment="true">
      <alignment vertical="center" wrapText="true"/>
      <protection/>
    </xf>
    <xf numFmtId="10" fontId="20" fillId="0" borderId="64" xfId="0" applyNumberFormat="true" applyFont="true" applyAlignment="true">
      <alignment vertical="center" wrapText="true"/>
      <protection/>
    </xf>
    <xf numFmtId="9" fontId="20" fillId="0" borderId="64" xfId="0" applyNumberFormat="true" applyFont="true" applyAlignment="true">
      <alignment vertical="center" wrapText="true"/>
      <protection/>
    </xf>
    <xf numFmtId="300" fontId="20" fillId="5" borderId="64" xfId="0" applyNumberFormat="true" applyFont="true" applyFill="true" applyAlignment="true">
      <alignment vertical="center" wrapText="true"/>
      <protection/>
    </xf>
    <xf numFmtId="308" fontId="22" fillId="0" borderId="49" xfId="0" applyFont="true" applyBorder="true" applyAlignment="true">
      <alignment horizontal="center" vertical="center" wrapText="true"/>
      <protection/>
    </xf>
    <xf numFmtId="308" fontId="22" fillId="0" borderId="50" xfId="0" applyFont="true" applyBorder="true" applyAlignment="true">
      <alignment horizontal="center" vertical="center"/>
      <protection/>
    </xf>
    <xf numFmtId="300" fontId="20" fillId="0" borderId="64" xfId="0" applyNumberFormat="true" applyFont="true" applyAlignment="true">
      <alignment vertical="center" wrapText="true"/>
      <protection/>
    </xf>
    <xf numFmtId="308" fontId="44" fillId="0" borderId="64" xfId="0" applyAlignment="true">
      <alignment vertical="center" wrapText="true"/>
      <protection/>
    </xf>
    <xf numFmtId="2" fontId="23" fillId="4" borderId="64" xfId="95" applyNumberFormat="true" applyFont="true" applyFill="true" applyAlignment="true" applyProtection="true">
      <alignment horizontal="center" vertical="center"/>
      <protection/>
    </xf>
    <xf numFmtId="2" fontId="24" fillId="4" borderId="64" xfId="95" applyNumberFormat="true" applyFont="true" applyFill="true" applyAlignment="true" applyProtection="true">
      <alignment vertical="center"/>
      <protection/>
    </xf>
    <xf numFmtId="2" fontId="25" fillId="4" borderId="64" xfId="95" applyNumberFormat="true" applyFont="true" applyFill="true" applyAlignment="true" applyProtection="true">
      <alignment vertical="center"/>
      <protection/>
    </xf>
    <xf numFmtId="2" fontId="25" fillId="4" borderId="64" xfId="95" applyNumberFormat="true" applyFont="true" applyFill="true" applyAlignment="true" applyProtection="true">
      <alignment horizontal="right" vertical="center"/>
      <protection/>
    </xf>
    <xf numFmtId="2" fontId="25" fillId="4" borderId="51" xfId="95" applyNumberFormat="true" applyFont="true" applyFill="true" applyBorder="true" applyAlignment="true" applyProtection="true">
      <alignment horizontal="center" vertical="center"/>
      <protection/>
    </xf>
    <xf numFmtId="49" fontId="25" fillId="4" borderId="51" xfId="95" applyNumberFormat="true" applyFont="true" applyFill="true" applyBorder="true" applyAlignment="true" applyProtection="true">
      <alignment horizontal="left" vertical="center"/>
      <protection/>
    </xf>
    <xf numFmtId="2" fontId="24" fillId="7" borderId="51" xfId="95" applyNumberFormat="true" applyFont="true" applyFill="true" applyBorder="true" applyAlignment="true" applyProtection="true">
      <alignment vertical="center"/>
      <protection/>
    </xf>
    <xf numFmtId="300" fontId="25" fillId="8" borderId="51" xfId="95" applyNumberFormat="true" applyFont="true" applyFill="true" applyBorder="true" applyAlignment="true" applyProtection="true">
      <alignment horizontal="right" vertical="center"/>
      <protection/>
    </xf>
    <xf numFmtId="308" fontId="26" fillId="7" borderId="64" xfId="0" applyFont="true" applyFill="true">
      <alignment vertical="center"/>
      <protection/>
    </xf>
    <xf numFmtId="2" fontId="25" fillId="4" borderId="51" xfId="95" applyNumberFormat="true" applyFont="true" applyFill="true" applyBorder="true" applyAlignment="true" applyProtection="true">
      <alignment vertical="center"/>
      <protection/>
    </xf>
    <xf numFmtId="308" fontId="26" fillId="0" borderId="64" xfId="0" applyFont="true">
      <alignment vertical="center"/>
      <protection/>
    </xf>
    <xf numFmtId="2" fontId="25" fillId="4" borderId="51" xfId="95" applyNumberFormat="true" applyFont="true" applyFill="true" applyBorder="true" applyAlignment="true" applyProtection="true">
      <alignment horizontal="left" vertical="center"/>
      <protection/>
    </xf>
    <xf numFmtId="2" fontId="25" fillId="13" borderId="51" xfId="95" applyNumberFormat="true" applyFont="true" applyBorder="true" applyAlignment="true" applyProtection="true">
      <alignment horizontal="left" vertical="center"/>
      <protection/>
    </xf>
    <xf numFmtId="2" fontId="25" fillId="13" borderId="51" xfId="95" applyNumberFormat="true" applyFont="true" applyBorder="true" applyAlignment="true" applyProtection="true">
      <alignment vertical="center"/>
      <protection/>
    </xf>
    <xf numFmtId="308" fontId="25" fillId="4" borderId="51" xfId="95" applyFont="true" applyFill="true" applyBorder="true" applyAlignment="true" applyProtection="true">
      <alignment horizontal="left" vertical="center"/>
      <protection/>
    </xf>
    <xf numFmtId="2" fontId="24" fillId="7" borderId="51" xfId="95" applyNumberFormat="true" applyFont="true" applyFill="true" applyBorder="true" applyAlignment="true" applyProtection="true">
      <alignment horizontal="left" vertical="center"/>
      <protection/>
    </xf>
    <xf numFmtId="308" fontId="26" fillId="7" borderId="64" xfId="69" applyFont="true" applyFill="true" applyAlignment="true" applyProtection="true">
      <alignment vertical="center"/>
      <protection/>
    </xf>
    <xf numFmtId="300" fontId="25" fillId="6" borderId="51" xfId="95" applyNumberFormat="true" applyFont="true" applyFill="true" applyBorder="true" applyAlignment="true" applyProtection="true">
      <alignment horizontal="right" vertical="center"/>
      <protection locked="false"/>
    </xf>
    <xf numFmtId="308" fontId="27" fillId="7" borderId="64" xfId="0" applyFont="true" applyFill="true">
      <alignment vertical="center"/>
      <protection/>
    </xf>
    <xf numFmtId="308" fontId="25" fillId="0" borderId="64" xfId="0" applyFont="true" applyAlignment="true">
      <alignment horizontal="left" vertical="center" wrapText="true"/>
      <protection/>
    </xf>
    <xf numFmtId="308" fontId="25" fillId="6" borderId="64" xfId="0" applyFont="true" applyFill="true">
      <alignment vertical="center"/>
      <protection/>
    </xf>
    <xf numFmtId="49" fontId="25" fillId="4" borderId="51" xfId="95" applyNumberFormat="true" applyFont="true" applyFill="true" applyBorder="true" applyAlignment="true" applyProtection="true">
      <alignment vertical="center"/>
      <protection/>
    </xf>
    <xf numFmtId="2" fontId="25" fillId="7" borderId="51" xfId="95" applyNumberFormat="true" applyFont="true" applyFill="true" applyBorder="true" applyAlignment="true" applyProtection="true">
      <alignment vertical="center"/>
      <protection/>
    </xf>
    <xf numFmtId="308" fontId="25" fillId="7" borderId="64" xfId="0" applyFont="true" applyFill="true">
      <alignment vertical="center"/>
      <protection/>
    </xf>
    <xf numFmtId="308" fontId="16" fillId="13" borderId="64" xfId="93" applyFont="true" applyAlignment="true" applyProtection="true">
      <alignment horizontal="centerContinuous" vertical="center"/>
      <protection/>
    </xf>
    <xf numFmtId="308" fontId="28" fillId="13" borderId="64" xfId="93" applyFont="true" applyAlignment="true" applyProtection="true">
      <alignment horizontal="centerContinuous" vertical="center"/>
      <protection/>
    </xf>
    <xf numFmtId="308" fontId="16" fillId="13" borderId="64" xfId="93" applyFont="true" applyAlignment="true" applyProtection="true">
      <alignment vertical="center"/>
      <protection/>
    </xf>
    <xf numFmtId="308" fontId="16" fillId="13" borderId="51" xfId="93" applyFont="true" applyBorder="true" applyAlignment="true" applyProtection="true">
      <alignment vertical="center"/>
      <protection/>
    </xf>
    <xf numFmtId="308" fontId="16" fillId="13" borderId="51" xfId="93" applyFont="true" applyBorder="true" applyAlignment="true" applyProtection="true">
      <alignment horizontal="centerContinuous" vertical="center"/>
      <protection/>
    </xf>
    <xf numFmtId="308" fontId="16" fillId="13" borderId="52" xfId="93" applyFont="true" applyBorder="true" applyAlignment="true" applyProtection="true">
      <alignment horizontal="center" vertical="center"/>
      <protection/>
    </xf>
    <xf numFmtId="308" fontId="16" fillId="13" borderId="52" xfId="93" applyFont="true" applyBorder="true" applyAlignment="true" applyProtection="true">
      <alignment horizontal="center" vertical="center" wrapText="true"/>
      <protection/>
    </xf>
    <xf numFmtId="308" fontId="29" fillId="13" borderId="64" xfId="89" applyFont="true" applyAlignment="true" applyProtection="true">
      <alignment horizontal="center" wrapText="true"/>
      <protection/>
    </xf>
    <xf numFmtId="308" fontId="44" fillId="0" borderId="53" xfId="0" applyBorder="true">
      <alignment vertical="center"/>
      <protection/>
    </xf>
    <xf numFmtId="308" fontId="44" fillId="0" borderId="53" xfId="0" applyBorder="true" applyAlignment="true">
      <alignment horizontal="center" vertical="center"/>
      <protection/>
    </xf>
    <xf numFmtId="308" fontId="44" fillId="13" borderId="53" xfId="89" applyBorder="true" applyAlignment="true" applyProtection="true">
      <alignment horizontal="center" vertical="center"/>
      <protection/>
    </xf>
    <xf numFmtId="9" fontId="16" fillId="13" borderId="51" xfId="93" applyNumberFormat="true" applyFont="true" applyBorder="true" applyAlignment="true" applyProtection="true">
      <alignment horizontal="center" vertical="center"/>
      <protection/>
    </xf>
    <xf numFmtId="10" fontId="16" fillId="9" borderId="51" xfId="0" applyNumberFormat="true" applyFont="true" applyFill="true" applyBorder="true" applyAlignment="true" applyProtection="true">
      <alignment horizontal="center" vertical="center"/>
      <protection/>
    </xf>
    <xf numFmtId="10" fontId="16" fillId="9" borderId="51" xfId="93" applyNumberFormat="true" applyFont="true" applyFill="true" applyBorder="true" applyAlignment="true" applyProtection="true">
      <alignment horizontal="center" vertical="center"/>
      <protection/>
    </xf>
    <xf numFmtId="300" fontId="16" fillId="9" borderId="51" xfId="0" applyNumberFormat="true" applyFont="true" applyFill="true" applyBorder="true" applyAlignment="true" applyProtection="true">
      <alignment horizontal="center" vertical="center"/>
      <protection/>
    </xf>
    <xf numFmtId="2" fontId="16" fillId="0" borderId="51" xfId="0" applyNumberFormat="true" applyFont="true" applyBorder="true">
      <alignment vertical="center"/>
      <protection/>
    </xf>
    <xf numFmtId="300" fontId="16" fillId="9" borderId="51" xfId="93" applyNumberFormat="true" applyFont="true" applyFill="true" applyBorder="true" applyAlignment="true" applyProtection="true">
      <alignment horizontal="center" vertical="center"/>
      <protection/>
    </xf>
    <xf numFmtId="9" fontId="16" fillId="8" borderId="51" xfId="93" applyNumberFormat="true" applyFont="true" applyFill="true" applyBorder="true" applyAlignment="true" applyProtection="true">
      <alignment horizontal="center" vertical="center"/>
      <protection/>
    </xf>
    <xf numFmtId="10" fontId="16" fillId="8" borderId="51" xfId="93" applyNumberFormat="true" applyFont="true" applyFill="true" applyBorder="true" applyAlignment="true" applyProtection="true">
      <alignment horizontal="center" vertical="center"/>
      <protection/>
    </xf>
    <xf numFmtId="300" fontId="16" fillId="8" borderId="51" xfId="93" applyNumberFormat="true" applyFont="true" applyFill="true" applyBorder="true" applyAlignment="true" applyProtection="true">
      <alignment horizontal="center" vertical="center"/>
      <protection/>
    </xf>
    <xf numFmtId="10" fontId="16" fillId="9" borderId="51" xfId="0" applyNumberFormat="true" applyFont="true" applyFill="true" applyBorder="true" applyAlignment="true">
      <alignment horizontal="center" vertical="center"/>
      <protection/>
    </xf>
    <xf numFmtId="308" fontId="30" fillId="13" borderId="64" xfId="89" applyFont="true" applyProtection="true">
      <alignment/>
      <protection/>
    </xf>
    <xf numFmtId="308" fontId="31" fillId="0" borderId="64" xfId="0" applyFont="true" applyAlignment="true">
      <alignment horizontal="center" vertical="center"/>
      <protection/>
    </xf>
    <xf numFmtId="308" fontId="32" fillId="0" borderId="64" xfId="0" applyFont="true">
      <alignment vertical="center"/>
      <protection/>
    </xf>
    <xf numFmtId="308" fontId="33" fillId="13" borderId="64" xfId="50" applyFont="true" applyAlignment="true" applyProtection="true">
      <alignment vertical="center"/>
      <protection/>
    </xf>
    <xf numFmtId="308" fontId="32" fillId="0" borderId="64" xfId="0" applyFont="true" applyAlignment="true">
      <alignment horizontal="left" vertical="center" wrapText="true"/>
      <protection/>
    </xf>
    <xf numFmtId="308" fontId="61" fillId="13" borderId="64" xfId="50" applyAlignment="true" applyProtection="true">
      <alignment vertical="center"/>
      <protection/>
    </xf>
    <xf numFmtId="308" fontId="34" fillId="6" borderId="64" xfId="0" applyFont="true" applyFill="true">
      <alignment vertical="center"/>
      <protection/>
    </xf>
    <xf numFmtId="308" fontId="34" fillId="9" borderId="64" xfId="0" applyFont="true" applyFill="true">
      <alignment vertical="center"/>
      <protection/>
    </xf>
    <xf numFmtId="308" fontId="34" fillId="8" borderId="64" xfId="0" applyFont="true" applyFill="true">
      <alignment vertical="center"/>
      <protection/>
    </xf>
    <xf numFmtId="308" fontId="35" fillId="0" borderId="64" xfId="0" applyFont="true">
      <alignment vertical="center"/>
      <protection/>
    </xf>
    <xf numFmtId="308" fontId="28" fillId="0" borderId="64" xfId="0" applyFont="true" applyAlignment="true">
      <alignment horizontal="centerContinuous" vertical="center"/>
      <protection/>
    </xf>
    <xf numFmtId="308" fontId="16" fillId="0" borderId="51" xfId="0" applyFont="true" applyBorder="true" applyAlignment="true">
      <alignment horizontal="center" vertical="center"/>
      <protection/>
    </xf>
    <xf numFmtId="49" fontId="16" fillId="0" borderId="51" xfId="0" applyNumberFormat="true" applyFont="true" applyBorder="true" applyAlignment="true">
      <alignment horizontal="center" vertical="center"/>
      <protection/>
    </xf>
    <xf numFmtId="308" fontId="16" fillId="0" borderId="51" xfId="0" applyFont="true" applyBorder="true">
      <alignment vertical="center"/>
      <protection/>
    </xf>
    <xf numFmtId="9" fontId="16" fillId="3" borderId="51" xfId="0" applyNumberFormat="true" applyFont="true" applyFill="true" applyBorder="true" applyAlignment="true" applyProtection="true">
      <alignment horizontal="right" vertical="center"/>
      <protection/>
    </xf>
    <xf numFmtId="9" fontId="16" fillId="2" borderId="51" xfId="0" applyNumberFormat="true" applyFont="true" applyFill="true" applyBorder="true" applyAlignment="true" applyProtection="true">
      <alignment horizontal="right" vertical="center"/>
      <protection locked="false"/>
    </xf>
    <xf numFmtId="308" fontId="16" fillId="3" borderId="51" xfId="0" applyFont="true" applyFill="true" applyBorder="true">
      <alignment vertical="center"/>
      <protection/>
    </xf>
    <xf numFmtId="308" fontId="25" fillId="4" borderId="51" xfId="0" applyFont="true" applyFill="true" applyBorder="true" applyAlignment="true" applyProtection="true">
      <alignment horizontal="center" vertical="center"/>
      <protection locked="false"/>
    </xf>
    <xf numFmtId="308" fontId="25" fillId="4" borderId="51" xfId="0" applyFont="true" applyFill="true" applyBorder="true" applyAlignment="true" applyProtection="true">
      <alignment horizontal="left" vertical="center"/>
      <protection locked="false"/>
    </xf>
    <xf numFmtId="300" fontId="16" fillId="0" borderId="51" xfId="0" applyNumberFormat="true" applyFont="true" applyBorder="true" applyAlignment="true">
      <alignment horizontal="right" vertical="center"/>
      <protection/>
    </xf>
    <xf numFmtId="301" fontId="16" fillId="0" borderId="51" xfId="0" applyNumberFormat="true" applyFont="true" applyBorder="true" applyAlignment="true">
      <alignment horizontal="right" vertical="center"/>
      <protection/>
    </xf>
    <xf numFmtId="10" fontId="16" fillId="0" borderId="51" xfId="0" applyNumberFormat="true" applyFont="true" applyBorder="true" applyAlignment="true">
      <alignment horizontal="right" vertical="center"/>
      <protection/>
    </xf>
    <xf numFmtId="308" fontId="25" fillId="0" borderId="51" xfId="0" applyFont="true" applyBorder="true" applyAlignment="true" applyProtection="true">
      <alignment horizontal="center" vertical="center"/>
      <protection locked="false"/>
    </xf>
    <xf numFmtId="308" fontId="25" fillId="0" borderId="51" xfId="0" applyFont="true" applyBorder="true" applyAlignment="true" applyProtection="true">
      <alignment horizontal="left" vertical="center"/>
      <protection locked="false"/>
    </xf>
    <xf numFmtId="308" fontId="25" fillId="4" borderId="64" xfId="0" applyFont="true" applyFill="true" applyAlignment="true" applyProtection="true">
      <alignment horizontal="center" vertical="center"/>
      <protection locked="false"/>
    </xf>
    <xf numFmtId="308" fontId="25" fillId="4" borderId="64" xfId="0" applyFont="true" applyFill="true" applyAlignment="true" applyProtection="true">
      <alignment horizontal="left" vertical="center"/>
      <protection locked="false"/>
    </xf>
    <xf numFmtId="308" fontId="28" fillId="0" borderId="64" xfId="0" applyFont="true" applyAlignment="true">
      <alignment horizontal="center" vertical="center"/>
      <protection/>
    </xf>
    <xf numFmtId="308" fontId="25" fillId="4" borderId="51" xfId="0" applyFont="true" applyFill="true" applyBorder="true">
      <alignment vertical="center"/>
      <protection/>
    </xf>
    <xf numFmtId="308" fontId="25" fillId="4" borderId="51" xfId="0" applyFont="true" applyFill="true" applyBorder="true" applyAlignment="true">
      <alignment horizontal="center" vertical="center"/>
      <protection/>
    </xf>
    <xf numFmtId="308" fontId="25" fillId="7" borderId="51" xfId="0" applyFont="true" applyFill="true" applyBorder="true">
      <alignment vertical="center"/>
      <protection/>
    </xf>
    <xf numFmtId="308" fontId="25" fillId="7" borderId="51" xfId="0" applyFont="true" applyFill="true" applyBorder="true" applyAlignment="true">
      <alignment horizontal="center" vertical="center"/>
      <protection/>
    </xf>
    <xf numFmtId="308" fontId="44" fillId="6" borderId="64" xfId="0" applyFill="true" applyAlignment="true">
      <alignment horizontal="center" vertical="center"/>
      <protection/>
    </xf>
    <xf numFmtId="301" fontId="25" fillId="8" borderId="51" xfId="0" applyNumberFormat="true" applyFont="true" applyFill="true" applyBorder="true" applyAlignment="true" applyProtection="true">
      <alignment horizontal="center" vertical="center"/>
      <protection/>
    </xf>
    <xf numFmtId="308" fontId="25" fillId="0" borderId="51" xfId="0" applyFont="true" applyBorder="true" applyAlignment="true">
      <alignment horizontal="center" vertical="center"/>
      <protection/>
    </xf>
    <xf numFmtId="300" fontId="25" fillId="8" borderId="51" xfId="0" applyNumberFormat="true" applyFont="true" applyFill="true" applyBorder="true" applyAlignment="true" applyProtection="true">
      <alignment horizontal="center" vertical="center"/>
      <protection/>
    </xf>
    <xf numFmtId="300" fontId="25" fillId="8" borderId="51" xfId="0" applyNumberFormat="true" applyFont="true" applyFill="true" applyBorder="true" applyAlignment="true">
      <alignment horizontal="center" vertical="center"/>
      <protection/>
    </xf>
    <xf numFmtId="10" fontId="25" fillId="8" borderId="51" xfId="0" applyNumberFormat="true" applyFont="true" applyFill="true" applyBorder="true" applyAlignment="true" applyProtection="true">
      <alignment horizontal="center" vertical="center"/>
      <protection/>
    </xf>
    <xf numFmtId="308" fontId="25" fillId="4" borderId="51" xfId="0" applyFont="true" applyFill="true" applyBorder="true" applyAlignment="true" applyProtection="true">
      <alignment horizontal="center" vertical="center"/>
      <protection/>
    </xf>
    <xf numFmtId="10" fontId="25" fillId="8" borderId="51" xfId="0" applyNumberFormat="true" applyFont="true" applyFill="true" applyBorder="true" applyAlignment="true">
      <alignment horizontal="center" vertical="center"/>
      <protection/>
    </xf>
    <xf numFmtId="308" fontId="25" fillId="0" borderId="51" xfId="0" applyFont="true" applyBorder="true">
      <alignment vertical="center"/>
      <protection/>
    </xf>
    <xf numFmtId="301" fontId="25" fillId="8" borderId="51" xfId="0" applyNumberFormat="true" applyFont="true" applyFill="true" applyBorder="true" applyAlignment="true">
      <alignment horizontal="center" vertical="center"/>
      <protection/>
    </xf>
    <xf numFmtId="300" fontId="25" fillId="4" borderId="51" xfId="0" applyNumberFormat="true" applyFont="true" applyFill="true" applyBorder="true" applyAlignment="true">
      <alignment horizontal="center" vertical="center"/>
      <protection/>
    </xf>
    <xf numFmtId="300" fontId="25" fillId="7" borderId="51" xfId="0" applyNumberFormat="true" applyFont="true" applyFill="true" applyBorder="true" applyAlignment="true">
      <alignment horizontal="center" vertical="center"/>
      <protection/>
    </xf>
    <xf numFmtId="308" fontId="36" fillId="0" borderId="24" xfId="0" applyFont="true" applyBorder="true" applyAlignment="true">
      <alignment horizontal="center" vertical="top"/>
      <protection/>
    </xf>
    <xf numFmtId="308" fontId="37" fillId="10" borderId="19" xfId="0" applyFont="true" applyFill="true" applyBorder="true" applyAlignment="true">
      <alignment horizontal="center" vertical="center" wrapText="true"/>
      <protection/>
    </xf>
    <xf numFmtId="308" fontId="37" fillId="10" borderId="39" xfId="0" applyFont="true" applyFill="true" applyBorder="true" applyAlignment="true">
      <alignment horizontal="center" vertical="center" wrapText="true"/>
      <protection/>
    </xf>
    <xf numFmtId="308" fontId="37" fillId="10" borderId="27" xfId="0" applyFont="true" applyFill="true" applyBorder="true" applyAlignment="true">
      <alignment horizontal="center" vertical="center" wrapText="true"/>
      <protection/>
    </xf>
    <xf numFmtId="308" fontId="37" fillId="10" borderId="29" xfId="0" applyFont="true" applyFill="true" applyBorder="true" applyAlignment="true">
      <alignment horizontal="center" vertical="center" wrapText="true"/>
      <protection/>
    </xf>
    <xf numFmtId="308" fontId="37" fillId="10" borderId="28" xfId="0" applyFont="true" applyFill="true" applyBorder="true" applyAlignment="true">
      <alignment horizontal="center" vertical="center" wrapText="true"/>
      <protection/>
    </xf>
    <xf numFmtId="308" fontId="37" fillId="10" borderId="28" xfId="0" applyFont="true" applyFill="true" applyBorder="true" applyAlignment="true">
      <alignment horizontal="left" vertical="center"/>
      <protection/>
    </xf>
    <xf numFmtId="308" fontId="37" fillId="10" borderId="29" xfId="0" applyFont="true" applyFill="true" applyBorder="true" applyAlignment="true">
      <alignment horizontal="left" vertical="center"/>
      <protection/>
    </xf>
    <xf numFmtId="308" fontId="37" fillId="10" borderId="27" xfId="0" applyFont="true" applyFill="true" applyBorder="true" applyAlignment="true">
      <alignment horizontal="center" vertical="center"/>
      <protection/>
    </xf>
    <xf numFmtId="308" fontId="37" fillId="10" borderId="28" xfId="0" applyFont="true" applyFill="true" applyBorder="true" applyAlignment="true">
      <alignment horizontal="center" vertical="center"/>
      <protection/>
    </xf>
    <xf numFmtId="308" fontId="37" fillId="10" borderId="29" xfId="0" applyFont="true" applyFill="true" applyBorder="true" applyAlignment="true">
      <alignment horizontal="center" vertical="center"/>
      <protection/>
    </xf>
    <xf numFmtId="308" fontId="37" fillId="10" borderId="19" xfId="0" applyFont="true" applyFill="true" applyBorder="true" applyAlignment="true">
      <alignment horizontal="center" vertical="center"/>
      <protection/>
    </xf>
    <xf numFmtId="308" fontId="37" fillId="6" borderId="39" xfId="0" applyFont="true" applyFill="true" applyBorder="true" applyAlignment="true">
      <alignment horizontal="center" vertical="center" wrapText="true"/>
      <protection/>
    </xf>
    <xf numFmtId="308" fontId="37" fillId="10" borderId="54" xfId="0" applyFont="true" applyFill="true" applyBorder="true" applyAlignment="true">
      <alignment horizontal="center" vertical="center" wrapText="true"/>
      <protection/>
    </xf>
    <xf numFmtId="308" fontId="37" fillId="10" borderId="19" xfId="0" applyFont="true" applyFill="true" applyBorder="true">
      <alignment vertical="center"/>
      <protection/>
    </xf>
    <xf numFmtId="308" fontId="37" fillId="10" borderId="39" xfId="0" applyFont="true" applyFill="true" applyBorder="true" applyAlignment="true">
      <alignment horizontal="center" vertical="center"/>
      <protection/>
    </xf>
    <xf numFmtId="308" fontId="37" fillId="10" borderId="15" xfId="0" applyFont="true" applyFill="true" applyBorder="true" applyAlignment="true">
      <alignment horizontal="center" vertical="center" wrapText="true"/>
      <protection/>
    </xf>
    <xf numFmtId="308" fontId="37" fillId="10" borderId="15" xfId="0" applyFont="true" applyFill="true" applyBorder="true" applyAlignment="true">
      <alignment vertical="center" wrapText="true"/>
      <protection/>
    </xf>
    <xf numFmtId="308" fontId="37" fillId="6" borderId="54" xfId="0" applyFont="true" applyFill="true" applyBorder="true" applyAlignment="true">
      <alignment horizontal="center" vertical="center" wrapText="true"/>
      <protection/>
    </xf>
    <xf numFmtId="308" fontId="37" fillId="10" borderId="15" xfId="0" applyFont="true" applyFill="true" applyBorder="true" applyAlignment="true">
      <alignment horizontal="center" vertical="center"/>
      <protection/>
    </xf>
    <xf numFmtId="308" fontId="44" fillId="10" borderId="15" xfId="0" applyFill="true" applyBorder="true" applyAlignment="true">
      <alignment horizontal="center" vertical="center"/>
      <protection/>
    </xf>
    <xf numFmtId="308" fontId="37" fillId="6" borderId="15" xfId="0" applyFont="true" applyFill="true" applyBorder="true" applyAlignment="true">
      <alignment horizontal="center" vertical="center" wrapText="true"/>
      <protection/>
    </xf>
    <xf numFmtId="300" fontId="37" fillId="10" borderId="19" xfId="0" applyNumberFormat="true" applyFont="true" applyFill="true" applyBorder="true">
      <alignment vertical="center"/>
      <protection/>
    </xf>
    <xf numFmtId="10" fontId="37" fillId="10" borderId="19" xfId="0" applyNumberFormat="true" applyFont="true" applyFill="true" applyBorder="true">
      <alignment vertical="center"/>
      <protection/>
    </xf>
    <xf numFmtId="308" fontId="37" fillId="0" borderId="64" xfId="0" applyFont="true" applyAlignment="true">
      <alignment horizontal="center" vertical="center"/>
      <protection/>
    </xf>
    <xf numFmtId="308" fontId="15" fillId="0" borderId="64" xfId="0" applyFont="true" applyAlignment="true">
      <alignment/>
      <protection/>
    </xf>
    <xf numFmtId="308" fontId="38" fillId="0" borderId="64" xfId="0" applyFont="true" applyAlignment="true">
      <alignment/>
      <protection/>
    </xf>
    <xf numFmtId="308" fontId="16" fillId="0" borderId="64" xfId="0" applyFont="true" applyAlignment="true">
      <alignment horizontal="centerContinuous" vertical="center"/>
      <protection/>
    </xf>
    <xf numFmtId="308" fontId="25" fillId="4" borderId="51" xfId="91" applyFont="true" applyFill="true" applyBorder="true" applyAlignment="true" applyProtection="true">
      <alignment horizontal="center" vertical="center"/>
      <protection/>
    </xf>
    <xf numFmtId="308" fontId="44" fillId="0" borderId="51" xfId="0" applyBorder="true">
      <alignment vertical="center"/>
      <protection/>
    </xf>
    <xf numFmtId="308" fontId="25" fillId="4" borderId="51" xfId="91" applyFont="true" applyFill="true" applyBorder="true" applyAlignment="true" applyProtection="true">
      <alignment horizontal="centerContinuous" vertical="center"/>
      <protection/>
    </xf>
    <xf numFmtId="308" fontId="25" fillId="4" borderId="51" xfId="91" applyFont="true" applyFill="true" applyBorder="true" applyAlignment="true" applyProtection="true">
      <alignment horizontal="left" vertical="center"/>
      <protection/>
    </xf>
    <xf numFmtId="308" fontId="25" fillId="4" borderId="55" xfId="91" applyFont="true" applyFill="true" applyBorder="true" applyAlignment="true" applyProtection="true">
      <alignment horizontal="center" vertical="center"/>
      <protection/>
    </xf>
    <xf numFmtId="308" fontId="44" fillId="0" borderId="56" xfId="0" applyBorder="true">
      <alignment vertical="center"/>
      <protection/>
    </xf>
    <xf numFmtId="308" fontId="16" fillId="4" borderId="51" xfId="0" applyFont="true" applyFill="true" applyBorder="true" applyAlignment="true" applyProtection="true">
      <alignment horizontal="right" vertical="center"/>
      <protection/>
    </xf>
    <xf numFmtId="9" fontId="25" fillId="8" borderId="51" xfId="0" applyNumberFormat="true" applyFont="true" applyFill="true" applyBorder="true" applyAlignment="true">
      <alignment horizontal="right" vertical="center"/>
      <protection/>
    </xf>
    <xf numFmtId="308" fontId="25" fillId="13" borderId="55" xfId="91" applyFont="true" applyBorder="true" applyAlignment="true" applyProtection="true">
      <alignment horizontal="left" vertical="center" wrapText="true"/>
      <protection/>
    </xf>
    <xf numFmtId="308" fontId="44" fillId="0" borderId="56" xfId="0" applyBorder="true" applyAlignment="true">
      <alignment horizontal="left" vertical="center" wrapText="true"/>
      <protection/>
    </xf>
    <xf numFmtId="10" fontId="25" fillId="8" borderId="51" xfId="0" applyNumberFormat="true" applyFont="true" applyFill="true" applyBorder="true" applyAlignment="true">
      <alignment horizontal="right" vertical="center"/>
      <protection/>
    </xf>
    <xf numFmtId="49" fontId="25" fillId="13" borderId="55" xfId="91" applyNumberFormat="true" applyFont="true" applyBorder="true" applyAlignment="true" applyProtection="true">
      <alignment horizontal="left" vertical="center" wrapText="true"/>
      <protection/>
    </xf>
    <xf numFmtId="300" fontId="16" fillId="8" borderId="51" xfId="0" applyNumberFormat="true" applyFont="true" applyFill="true" applyBorder="true" applyAlignment="true" applyProtection="true">
      <alignment horizontal="right" vertical="center"/>
      <protection/>
    </xf>
    <xf numFmtId="300" fontId="25" fillId="8" borderId="51" xfId="0" applyNumberFormat="true" applyFont="true" applyFill="true" applyBorder="true" applyAlignment="true">
      <alignment horizontal="right" vertical="center"/>
      <protection/>
    </xf>
    <xf numFmtId="49" fontId="25" fillId="4" borderId="55" xfId="91" applyNumberFormat="true" applyFont="true" applyFill="true" applyBorder="true" applyAlignment="true" applyProtection="true">
      <alignment horizontal="left" vertical="center" wrapText="true"/>
      <protection/>
    </xf>
    <xf numFmtId="49" fontId="25" fillId="4" borderId="56" xfId="91" applyNumberFormat="true" applyFont="true" applyFill="true" applyBorder="true" applyAlignment="true" applyProtection="true">
      <alignment horizontal="left" vertical="center" wrapText="true"/>
      <protection/>
    </xf>
    <xf numFmtId="300" fontId="16" fillId="4" borderId="51" xfId="0" applyNumberFormat="true" applyFont="true" applyFill="true" applyBorder="true" applyAlignment="true" applyProtection="true">
      <alignment horizontal="right" vertical="center"/>
      <protection/>
    </xf>
    <xf numFmtId="300" fontId="25" fillId="4" borderId="51" xfId="0" applyNumberFormat="true" applyFont="true" applyFill="true" applyBorder="true" applyAlignment="true">
      <alignment horizontal="right" vertical="center"/>
      <protection/>
    </xf>
    <xf numFmtId="300" fontId="25" fillId="6" borderId="51" xfId="0" applyNumberFormat="true" applyFont="true" applyFill="true" applyBorder="true" applyAlignment="true" applyProtection="true">
      <alignment horizontal="right" vertical="center"/>
      <protection locked="false"/>
    </xf>
    <xf numFmtId="300" fontId="25" fillId="4" borderId="51" xfId="0" applyNumberFormat="true" applyFont="true" applyFill="true" applyBorder="true" applyAlignment="true" applyProtection="true">
      <alignment horizontal="right" vertical="center"/>
      <protection/>
    </xf>
    <xf numFmtId="308" fontId="16" fillId="0" borderId="51" xfId="0" applyFont="true" applyBorder="true" applyAlignment="true">
      <alignment horizontal="left" vertical="center"/>
      <protection/>
    </xf>
    <xf numFmtId="49" fontId="16" fillId="9" borderId="51" xfId="99" applyNumberFormat="true" applyFont="true" applyFill="true" applyBorder="true" applyAlignment="true" applyProtection="true">
      <alignment horizontal="left" vertical="center" wrapText="true"/>
      <protection locked="false"/>
    </xf>
    <xf numFmtId="49" fontId="16" fillId="4" borderId="51" xfId="0" applyNumberFormat="true" applyFont="true" applyFill="true" applyBorder="true" applyAlignment="true" applyProtection="true">
      <alignment horizontal="right" vertical="center"/>
      <protection/>
    </xf>
    <xf numFmtId="300" fontId="20" fillId="0" borderId="64" xfId="0" applyNumberFormat="true" applyFont="true">
      <alignment vertical="center"/>
      <protection/>
    </xf>
    <xf numFmtId="49" fontId="16" fillId="0" borderId="55" xfId="0" applyNumberFormat="true" applyFont="true" applyBorder="true" applyAlignment="true" applyProtection="true">
      <alignment horizontal="left" vertical="center" wrapText="true"/>
      <protection/>
    </xf>
    <xf numFmtId="49" fontId="44" fillId="0" borderId="56" xfId="0" applyNumberFormat="true" applyBorder="true" applyAlignment="true">
      <alignment horizontal="left" vertical="center" wrapText="true"/>
      <protection/>
    </xf>
    <xf numFmtId="49" fontId="16" fillId="6" borderId="51" xfId="0" applyNumberFormat="true" applyFont="true" applyFill="true" applyBorder="true" applyAlignment="true" applyProtection="true">
      <alignment horizontal="right" vertical="center"/>
      <protection locked="false"/>
    </xf>
    <xf numFmtId="302" fontId="16" fillId="8" borderId="51" xfId="0" applyNumberFormat="true" applyFont="true" applyFill="true" applyBorder="true" applyAlignment="true" applyProtection="true">
      <alignment horizontal="right" vertical="center"/>
      <protection locked="false"/>
    </xf>
    <xf numFmtId="302" fontId="16" fillId="9" borderId="51" xfId="0" applyNumberFormat="true" applyFont="true" applyFill="true" applyBorder="true" applyAlignment="true" applyProtection="true">
      <alignment horizontal="right" vertical="center"/>
      <protection locked="false"/>
    </xf>
    <xf numFmtId="49" fontId="16" fillId="4" borderId="51" xfId="0" applyNumberFormat="true" applyFont="true" applyFill="true" applyBorder="true" applyAlignment="true" applyProtection="true">
      <alignment horizontal="left" vertical="center" wrapText="true"/>
      <protection/>
    </xf>
    <xf numFmtId="303" fontId="16" fillId="8" borderId="51" xfId="0" applyNumberFormat="true" applyFont="true" applyFill="true" applyBorder="true" applyAlignment="true" applyProtection="true">
      <alignment horizontal="right" vertical="center" wrapText="true"/>
      <protection/>
    </xf>
    <xf numFmtId="304" fontId="16" fillId="8" borderId="51" xfId="0" applyNumberFormat="true" applyFont="true" applyFill="true" applyBorder="true" applyAlignment="true" applyProtection="true">
      <alignment horizontal="right" vertical="center"/>
      <protection/>
    </xf>
    <xf numFmtId="49" fontId="16" fillId="0" borderId="55" xfId="0" applyNumberFormat="true" applyFont="true" applyBorder="true" applyAlignment="true">
      <alignment horizontal="left" vertical="center"/>
      <protection/>
    </xf>
    <xf numFmtId="49" fontId="16" fillId="0" borderId="56" xfId="0" applyNumberFormat="true" applyFont="true" applyBorder="true" applyAlignment="true">
      <alignment horizontal="left" vertical="center"/>
      <protection/>
    </xf>
    <xf numFmtId="305" fontId="16" fillId="8" borderId="51" xfId="0" applyNumberFormat="true" applyFont="true" applyFill="true" applyBorder="true" applyAlignment="true" applyProtection="true">
      <alignment horizontal="right" vertical="center"/>
      <protection/>
    </xf>
    <xf numFmtId="308" fontId="16" fillId="7" borderId="51" xfId="0" applyFont="true" applyFill="true" applyBorder="true" applyAlignment="true" applyProtection="true">
      <alignment horizontal="left" vertical="center" wrapText="true"/>
      <protection/>
    </xf>
    <xf numFmtId="49" fontId="16" fillId="6" borderId="51" xfId="0" applyNumberFormat="true" applyFont="true" applyFill="true" applyBorder="true" applyAlignment="true" applyProtection="true">
      <alignment horizontal="right" vertical="center" wrapText="true"/>
      <protection locked="false"/>
    </xf>
    <xf numFmtId="302" fontId="16" fillId="6" borderId="51" xfId="0" applyNumberFormat="true" applyFont="true" applyFill="true" applyBorder="true" applyAlignment="true" applyProtection="true">
      <alignment horizontal="right" vertical="center"/>
      <protection locked="false"/>
    </xf>
    <xf numFmtId="306" fontId="16" fillId="6" borderId="51" xfId="0" applyNumberFormat="true" applyFont="true" applyFill="true" applyBorder="true" applyAlignment="true" applyProtection="true">
      <alignment horizontal="right" vertical="center"/>
      <protection locked="false"/>
    </xf>
    <xf numFmtId="308" fontId="16" fillId="0" borderId="51" xfId="0" applyFont="true" applyBorder="true" applyAlignment="true" applyProtection="true">
      <alignment horizontal="left" vertical="center" wrapText="true"/>
      <protection/>
    </xf>
    <xf numFmtId="308" fontId="16" fillId="0" borderId="51" xfId="0" applyFont="true" applyBorder="true" applyProtection="true">
      <alignment vertical="center"/>
      <protection/>
    </xf>
    <xf numFmtId="9" fontId="16" fillId="6" borderId="51" xfId="0" applyNumberFormat="true" applyFont="true" applyFill="true" applyBorder="true" applyAlignment="true" applyProtection="true">
      <alignment horizontal="right" vertical="center"/>
      <protection locked="false"/>
    </xf>
    <xf numFmtId="9" fontId="16" fillId="8" borderId="51" xfId="0" applyNumberFormat="true" applyFont="true" applyFill="true" applyBorder="true" applyAlignment="true" applyProtection="true">
      <alignment horizontal="right" vertical="center"/>
      <protection/>
    </xf>
    <xf numFmtId="308" fontId="16" fillId="4" borderId="51" xfId="0" applyFont="true" applyFill="true" applyBorder="true" applyProtection="true">
      <alignment vertical="center"/>
      <protection/>
    </xf>
    <xf numFmtId="49" fontId="16" fillId="6" borderId="51" xfId="99" applyNumberFormat="true" applyFont="true" applyFill="true" applyBorder="true" applyAlignment="true" applyProtection="true">
      <alignment horizontal="left" vertical="center" wrapText="true"/>
      <protection locked="false"/>
    </xf>
    <xf numFmtId="308" fontId="4" fillId="0" borderId="64" xfId="0" applyFont="true">
      <alignment vertical="center"/>
      <protection/>
    </xf>
    <xf numFmtId="49" fontId="16" fillId="6" borderId="51" xfId="26" applyNumberFormat="true" applyFont="true" applyFill="true" applyBorder="true" applyAlignment="true" applyProtection="true">
      <alignment horizontal="left" vertical="center" wrapText="true"/>
      <protection locked="false"/>
    </xf>
    <xf numFmtId="308" fontId="16" fillId="0" borderId="51" xfId="0" applyFont="true" applyBorder="true" applyAlignment="true" applyProtection="true">
      <alignment horizontal="right" vertical="center"/>
      <protection/>
    </xf>
    <xf numFmtId="49" fontId="16" fillId="6" borderId="51" xfId="0" applyNumberFormat="true" applyFont="true" applyFill="true" applyBorder="true" applyAlignment="true" applyProtection="true">
      <alignment horizontal="left" vertical="center" wrapText="true"/>
      <protection locked="false"/>
    </xf>
    <xf numFmtId="304" fontId="16" fillId="4" borderId="51" xfId="0" applyNumberFormat="true" applyFont="true" applyFill="true" applyBorder="true" applyAlignment="true" applyProtection="true">
      <alignment horizontal="right" vertical="center"/>
      <protection/>
    </xf>
    <xf numFmtId="305" fontId="16" fillId="4" borderId="51" xfId="0" applyNumberFormat="true" applyFont="true" applyFill="true" applyBorder="true" applyAlignment="true" applyProtection="true">
      <alignment horizontal="right" vertical="center"/>
      <protection/>
    </xf>
    <xf numFmtId="300" fontId="16" fillId="0" borderId="51" xfId="0" applyNumberFormat="true" applyFont="true" applyBorder="true" applyAlignment="true" applyProtection="true">
      <alignment horizontal="right" vertical="center"/>
      <protection/>
    </xf>
    <xf numFmtId="308" fontId="16" fillId="0" borderId="64" xfId="0" applyFont="true" applyAlignment="true">
      <alignment horizontal="right" vertical="center"/>
      <protection/>
    </xf>
    <xf numFmtId="308" fontId="23" fillId="0" borderId="64" xfId="0" applyFont="true" applyAlignment="true">
      <alignment horizontal="centerContinuous" vertical="center"/>
      <protection/>
    </xf>
    <xf numFmtId="308" fontId="25" fillId="0" borderId="64" xfId="0" applyFont="true" applyAlignment="true">
      <alignment horizontal="centerContinuous" vertical="center"/>
      <protection/>
    </xf>
    <xf numFmtId="308" fontId="25" fillId="4" borderId="64" xfId="91" applyFont="true" applyFill="true" applyAlignment="true" applyProtection="true">
      <alignment vertical="center"/>
      <protection/>
    </xf>
    <xf numFmtId="308" fontId="25" fillId="4" borderId="64" xfId="91" applyFont="true" applyFill="true" applyAlignment="true" applyProtection="true">
      <alignment horizontal="centerContinuous" vertical="center"/>
      <protection/>
    </xf>
    <xf numFmtId="308" fontId="25" fillId="4" borderId="52" xfId="91" applyFont="true" applyFill="true" applyBorder="true" applyAlignment="true" applyProtection="true">
      <alignment horizontal="center" vertical="center" wrapText="true"/>
      <protection/>
    </xf>
    <xf numFmtId="308" fontId="25" fillId="4" borderId="55" xfId="91" applyFont="true" applyFill="true" applyBorder="true" applyAlignment="true" applyProtection="true">
      <alignment horizontal="centerContinuous" vertical="center"/>
      <protection/>
    </xf>
    <xf numFmtId="308" fontId="25" fillId="4" borderId="57" xfId="91" applyFont="true" applyFill="true" applyBorder="true" applyAlignment="true" applyProtection="true">
      <alignment horizontal="centerContinuous" vertical="center"/>
      <protection/>
    </xf>
    <xf numFmtId="308" fontId="25" fillId="0" borderId="53" xfId="0" applyFont="true" applyBorder="true" applyAlignment="true" applyProtection="true">
      <alignment horizontal="center" vertical="center" wrapText="true"/>
      <protection/>
    </xf>
    <xf numFmtId="308" fontId="44" fillId="0" borderId="53" xfId="0" applyBorder="true" applyAlignment="true" applyProtection="true">
      <alignment vertical="center" wrapText="true"/>
      <protection/>
    </xf>
    <xf numFmtId="308" fontId="44" fillId="0" borderId="53" xfId="0" applyBorder="true" applyAlignment="true" applyProtection="true">
      <alignment horizontal="center" vertical="center" wrapText="true"/>
      <protection/>
    </xf>
    <xf numFmtId="300" fontId="25" fillId="8" borderId="51" xfId="91" applyNumberFormat="true" applyFont="true" applyFill="true" applyBorder="true" applyAlignment="true" applyProtection="true">
      <alignment horizontal="right" vertical="center"/>
      <protection/>
    </xf>
    <xf numFmtId="308" fontId="25" fillId="13" borderId="51" xfId="91" applyFont="true" applyBorder="true" applyAlignment="true" applyProtection="true">
      <alignment horizontal="left" vertical="center"/>
      <protection/>
    </xf>
    <xf numFmtId="307" fontId="25" fillId="13" borderId="51" xfId="91" applyNumberFormat="true" applyFont="true" applyBorder="true" applyAlignment="true" applyProtection="true">
      <alignment horizontal="left" vertical="center"/>
      <protection/>
    </xf>
    <xf numFmtId="1" fontId="25" fillId="13" borderId="51" xfId="91" applyNumberFormat="true" applyFont="true" applyBorder="true" applyAlignment="true" applyProtection="true">
      <alignment horizontal="left" vertical="center"/>
      <protection/>
    </xf>
    <xf numFmtId="308" fontId="25" fillId="7" borderId="51" xfId="91" applyFont="true" applyFill="true" applyBorder="true" applyAlignment="true" applyProtection="true">
      <alignment horizontal="left" vertical="center"/>
      <protection/>
    </xf>
    <xf numFmtId="1" fontId="25" fillId="7" borderId="51" xfId="91" applyNumberFormat="true" applyFont="true" applyFill="true" applyBorder="true" applyAlignment="true" applyProtection="true">
      <alignment horizontal="left" vertical="center"/>
      <protection/>
    </xf>
    <xf numFmtId="308" fontId="25" fillId="6" borderId="51" xfId="91" applyFont="true" applyFill="true" applyBorder="true" applyAlignment="true" applyProtection="true">
      <alignment horizontal="left" vertical="center"/>
      <protection/>
    </xf>
    <xf numFmtId="300" fontId="25" fillId="6" borderId="51" xfId="91" applyNumberFormat="true" applyFont="true" applyFill="true" applyBorder="true" applyAlignment="true" applyProtection="true">
      <alignment horizontal="right" vertical="center"/>
      <protection locked="false"/>
    </xf>
    <xf numFmtId="300" fontId="25" fillId="6" borderId="51" xfId="91" applyNumberFormat="true" applyFont="true" applyFill="true" applyBorder="true" applyAlignment="true" applyProtection="true">
      <alignment horizontal="center" vertical="center"/>
      <protection locked="false"/>
    </xf>
    <xf numFmtId="9" fontId="16" fillId="6" borderId="51" xfId="91" applyNumberFormat="true" applyFont="true" applyFill="true" applyBorder="true" applyAlignment="true" applyProtection="true">
      <alignment horizontal="right" vertical="center"/>
      <protection locked="false"/>
    </xf>
    <xf numFmtId="9" fontId="25" fillId="6" borderId="51" xfId="91" applyNumberFormat="true" applyFont="true" applyFill="true" applyBorder="true" applyAlignment="true" applyProtection="true">
      <alignment horizontal="center" vertical="center"/>
      <protection locked="false"/>
    </xf>
    <xf numFmtId="308" fontId="25" fillId="6" borderId="51" xfId="91" applyFont="true" applyFill="true" applyBorder="true" applyAlignment="true" applyProtection="true">
      <alignment horizontal="center" vertical="center"/>
      <protection locked="false"/>
    </xf>
    <xf numFmtId="308" fontId="25" fillId="8" borderId="51" xfId="91" applyFont="true" applyFill="true" applyBorder="true" applyAlignment="true" applyProtection="true">
      <alignment horizontal="center" vertical="center"/>
      <protection locked="false"/>
    </xf>
    <xf numFmtId="49" fontId="25" fillId="6" borderId="51" xfId="91" applyNumberFormat="true" applyFont="true" applyFill="true" applyBorder="true" applyAlignment="true" applyProtection="true">
      <alignment horizontal="center" vertical="center"/>
      <protection locked="false"/>
    </xf>
    <xf numFmtId="308" fontId="25" fillId="7" borderId="51" xfId="91" applyFont="true" applyFill="true" applyBorder="true" applyAlignment="true" applyProtection="true">
      <alignment horizontal="center" vertical="center"/>
      <protection/>
    </xf>
    <xf numFmtId="300" fontId="25" fillId="7" borderId="51" xfId="91" applyNumberFormat="true" applyFont="true" applyFill="true" applyBorder="true" applyAlignment="true" applyProtection="true">
      <alignment horizontal="right" vertical="center"/>
      <protection/>
    </xf>
    <xf numFmtId="308" fontId="25" fillId="4" borderId="51" xfId="91" applyFont="true" applyFill="true" applyBorder="true" applyAlignment="true" applyProtection="true">
      <alignment horizontal="left" vertical="center" wrapText="true"/>
      <protection/>
    </xf>
    <xf numFmtId="308" fontId="25" fillId="13" borderId="51" xfId="91" applyFont="true" applyBorder="true" applyAlignment="true" applyProtection="true">
      <alignment horizontal="left" vertical="center" wrapText="true"/>
      <protection/>
    </xf>
    <xf numFmtId="308" fontId="25" fillId="4" borderId="51" xfId="0" applyFont="true" applyFill="true" applyBorder="true" applyAlignment="true" applyProtection="true">
      <alignment horizontal="left" vertical="center" wrapText="true"/>
      <protection/>
    </xf>
    <xf numFmtId="300" fontId="25" fillId="8" borderId="51" xfId="91" applyNumberFormat="true" applyFont="true" applyFill="true" applyBorder="true" applyAlignment="true" applyProtection="true">
      <alignment horizontal="right" vertical="center" wrapText="true"/>
      <protection/>
    </xf>
    <xf numFmtId="308" fontId="16" fillId="7" borderId="51" xfId="91" applyFont="true" applyFill="true" applyBorder="true" applyAlignment="true" applyProtection="true">
      <alignment horizontal="left" vertical="center"/>
      <protection/>
    </xf>
    <xf numFmtId="308" fontId="25" fillId="2" borderId="51" xfId="91" applyFont="true" applyFill="true" applyBorder="true" applyAlignment="true" applyProtection="true">
      <alignment horizontal="center" vertical="center"/>
      <protection locked="false"/>
    </xf>
    <xf numFmtId="300" fontId="25" fillId="2" borderId="51" xfId="91" applyNumberFormat="true" applyFont="true" applyFill="true" applyBorder="true" applyAlignment="true" applyProtection="true">
      <alignment horizontal="right" vertical="center"/>
      <protection locked="false"/>
    </xf>
    <xf numFmtId="300" fontId="25" fillId="2" borderId="51" xfId="91" applyNumberFormat="true" applyFont="true" applyFill="true" applyBorder="true" applyAlignment="true" applyProtection="true">
      <alignment horizontal="center" vertical="center"/>
      <protection locked="false"/>
    </xf>
    <xf numFmtId="9" fontId="16" fillId="2" borderId="51" xfId="91" applyNumberFormat="true" applyFont="true" applyFill="true" applyBorder="true" applyAlignment="true" applyProtection="true">
      <alignment horizontal="right" vertical="center"/>
      <protection locked="false"/>
    </xf>
    <xf numFmtId="9" fontId="25" fillId="2" borderId="51" xfId="91" applyNumberFormat="true" applyFont="true" applyFill="true" applyBorder="true" applyAlignment="true" applyProtection="true">
      <alignment horizontal="center" vertical="center"/>
      <protection locked="false"/>
    </xf>
    <xf numFmtId="308" fontId="25" fillId="4" borderId="51" xfId="0" applyFont="true" applyFill="true" applyBorder="true" applyAlignment="true" applyProtection="true">
      <alignment horizontal="left" vertical="center"/>
      <protection/>
    </xf>
    <xf numFmtId="308" fontId="25" fillId="13" borderId="51" xfId="91" applyFont="true" applyBorder="true" applyAlignment="true" applyProtection="true">
      <alignment horizontal="center" vertical="center"/>
      <protection/>
    </xf>
    <xf numFmtId="9" fontId="25" fillId="13" borderId="51" xfId="91" applyNumberFormat="true" applyFont="true" applyBorder="true" applyAlignment="true" applyProtection="true">
      <alignment horizontal="center" vertical="center"/>
      <protection/>
    </xf>
    <xf numFmtId="300" fontId="25" fillId="7" borderId="51" xfId="91" applyNumberFormat="true" applyFont="true" applyFill="true" applyBorder="true" applyAlignment="true" applyProtection="true">
      <alignment horizontal="right" vertical="center" wrapText="true"/>
      <protection locked="false"/>
    </xf>
    <xf numFmtId="300" fontId="25" fillId="7" borderId="51" xfId="91" applyNumberFormat="true" applyFont="true" applyFill="true" applyBorder="true" applyAlignment="true" applyProtection="true">
      <alignment horizontal="right" vertical="center"/>
      <protection locked="false"/>
    </xf>
    <xf numFmtId="308" fontId="25" fillId="8" borderId="51" xfId="91" applyFont="true" applyFill="true" applyBorder="true" applyAlignment="true" applyProtection="true">
      <alignment horizontal="left" vertical="center"/>
      <protection/>
    </xf>
    <xf numFmtId="300" fontId="25" fillId="6" borderId="51" xfId="91" applyNumberFormat="true" applyFont="true" applyFill="true" applyBorder="true" applyAlignment="true" applyProtection="true">
      <alignment horizontal="right" vertical="center"/>
      <protection/>
    </xf>
    <xf numFmtId="308" fontId="25" fillId="0" borderId="64" xfId="0" applyFont="true" applyAlignment="true" applyProtection="true">
      <alignment horizontal="left" vertical="center"/>
      <protection/>
    </xf>
    <xf numFmtId="308" fontId="25" fillId="8" borderId="64" xfId="0" applyFont="true" applyFill="true" applyAlignment="true" applyProtection="true">
      <alignment horizontal="left" vertical="center"/>
      <protection/>
    </xf>
    <xf numFmtId="308" fontId="26" fillId="0" borderId="64" xfId="0" applyFont="true" applyAlignment="true">
      <alignment horizontal="left" vertical="center"/>
      <protection/>
    </xf>
    <xf numFmtId="308" fontId="25" fillId="0" borderId="64" xfId="0" applyFont="true" applyAlignment="true">
      <alignment horizontal="left" vertical="center"/>
      <protection/>
    </xf>
    <xf numFmtId="9" fontId="25" fillId="8" borderId="51" xfId="91" applyNumberFormat="true" applyFont="true" applyFill="true" applyBorder="true" applyAlignment="true" applyProtection="true">
      <alignment horizontal="right" vertical="center"/>
      <protection/>
    </xf>
    <xf numFmtId="308" fontId="25" fillId="4" borderId="51" xfId="91" applyFont="true" applyFill="true" applyBorder="true" applyAlignment="true" applyProtection="true">
      <alignment horizontal="right" vertical="center"/>
      <protection/>
    </xf>
    <xf numFmtId="308" fontId="25" fillId="7" borderId="51" xfId="91" applyFont="true" applyFill="true" applyBorder="true" applyAlignment="true" applyProtection="true">
      <alignment vertical="center"/>
      <protection/>
    </xf>
    <xf numFmtId="308" fontId="25" fillId="4" borderId="51" xfId="91" applyFont="true" applyFill="true" applyBorder="true" applyAlignment="true" applyProtection="true">
      <alignment horizontal="left" vertical="center" wrapText="true"/>
      <protection locked="false"/>
    </xf>
    <xf numFmtId="308" fontId="25" fillId="13" borderId="51" xfId="91" applyFont="true" applyBorder="true" applyAlignment="true" applyProtection="true">
      <alignment vertical="center" wrapText="true"/>
      <protection/>
    </xf>
    <xf numFmtId="308" fontId="26" fillId="0" borderId="64" xfId="0" applyFont="true" applyAlignment="true">
      <alignment/>
      <protection/>
    </xf>
    <xf numFmtId="300" fontId="25" fillId="6" borderId="51" xfId="91" applyNumberFormat="true" applyFont="true" applyFill="true" applyBorder="true" applyAlignment="true" applyProtection="true">
      <alignment horizontal="right" vertical="center" wrapText="true"/>
      <protection locked="false"/>
    </xf>
    <xf numFmtId="300" fontId="25" fillId="7" borderId="51" xfId="91" applyNumberFormat="true" applyFont="true" applyFill="true" applyBorder="true" applyAlignment="true" applyProtection="true">
      <alignment horizontal="right" vertical="center" wrapText="true"/>
      <protection/>
    </xf>
    <xf numFmtId="308" fontId="25" fillId="4" borderId="51" xfId="91" applyFont="true" applyFill="true" applyBorder="true" applyAlignment="true" applyProtection="true">
      <alignment vertical="center" wrapText="true"/>
      <protection/>
    </xf>
    <xf numFmtId="10" fontId="25" fillId="8" borderId="51" xfId="91" applyNumberFormat="true" applyFont="true" applyFill="true" applyBorder="true" applyAlignment="true" applyProtection="true">
      <alignment horizontal="right" vertical="center" wrapText="true"/>
      <protection locked="false"/>
    </xf>
    <xf numFmtId="300" fontId="29" fillId="8" borderId="51" xfId="91" applyNumberFormat="true" applyFont="true" applyFill="true" applyBorder="true" applyAlignment="true" applyProtection="true">
      <alignment horizontal="right" vertical="center" wrapText="true"/>
      <protection/>
    </xf>
    <xf numFmtId="300" fontId="16" fillId="8" borderId="51" xfId="91" applyNumberFormat="true" applyFont="true" applyFill="true" applyBorder="true" applyAlignment="true" applyProtection="true">
      <alignment horizontal="right" vertical="center" wrapText="true"/>
      <protection/>
    </xf>
    <xf numFmtId="308" fontId="26" fillId="7" borderId="64" xfId="0" applyFont="true" applyFill="true" applyAlignment="true">
      <alignment/>
      <protection/>
    </xf>
    <xf numFmtId="308" fontId="25" fillId="0" borderId="64" xfId="0" applyFont="true" applyAlignment="true">
      <alignment/>
      <protection/>
    </xf>
    <xf numFmtId="308" fontId="44" fillId="0" borderId="64" xfId="0" applyProtection="true">
      <alignment vertical="center"/>
      <protection locked="false"/>
    </xf>
    <xf numFmtId="49" fontId="25" fillId="4" borderId="51" xfId="91" applyNumberFormat="true" applyFont="true" applyFill="true" applyBorder="true" applyAlignment="true" applyProtection="true">
      <alignment horizontal="left" vertical="center"/>
      <protection/>
    </xf>
    <xf numFmtId="308" fontId="25" fillId="7" borderId="51" xfId="91" applyFont="true" applyFill="true" applyBorder="true" applyAlignment="true" applyProtection="true">
      <alignment horizontal="right" vertical="center"/>
      <protection/>
    </xf>
    <xf numFmtId="308" fontId="25" fillId="3" borderId="51" xfId="91" applyFont="true" applyFill="true" applyBorder="true" applyAlignment="true" applyProtection="true">
      <alignment horizontal="right" vertical="center"/>
      <protection/>
    </xf>
    <xf numFmtId="301" fontId="25" fillId="8" borderId="51" xfId="91" applyNumberFormat="true" applyFont="true" applyFill="true" applyBorder="true" applyAlignment="true" applyProtection="true">
      <alignment horizontal="right" vertical="center"/>
      <protection/>
    </xf>
    <xf numFmtId="49" fontId="25" fillId="4" borderId="51" xfId="91" applyNumberFormat="true" applyFont="true" applyFill="true" applyBorder="true" applyAlignment="true" applyProtection="true">
      <alignment horizontal="left" vertical="center" wrapText="true"/>
      <protection locked="false"/>
    </xf>
    <xf numFmtId="10" fontId="25" fillId="8" borderId="51" xfId="91" applyNumberFormat="true" applyFont="true" applyFill="true" applyBorder="true" applyAlignment="true" applyProtection="true">
      <alignment horizontal="right" vertical="center" wrapText="true"/>
      <protection/>
    </xf>
    <xf numFmtId="308" fontId="25" fillId="7" borderId="51" xfId="91" applyFont="true" applyFill="true" applyBorder="true" applyAlignment="true" applyProtection="true">
      <alignment vertical="center" wrapText="true"/>
      <protection/>
    </xf>
    <xf numFmtId="49" fontId="25" fillId="0" borderId="51" xfId="0" applyNumberFormat="true" applyFont="true" applyBorder="true" applyAlignment="true">
      <alignment horizontal="left" vertical="center" wrapText="true"/>
      <protection/>
    </xf>
    <xf numFmtId="300" fontId="25" fillId="0" borderId="51" xfId="0" applyNumberFormat="true" applyFont="true" applyBorder="true" applyAlignment="true">
      <alignment wrapText="true"/>
      <protection/>
    </xf>
    <xf numFmtId="300" fontId="25" fillId="8" borderId="51" xfId="0" applyNumberFormat="true" applyFont="true" applyFill="true" applyBorder="true" applyAlignment="true">
      <alignment horizontal="right" vertical="center" wrapText="true"/>
      <protection/>
    </xf>
    <xf numFmtId="308" fontId="25" fillId="0" borderId="51" xfId="0" applyFont="true" applyBorder="true" applyAlignment="true">
      <alignment wrapText="true"/>
      <protection/>
    </xf>
    <xf numFmtId="308" fontId="25" fillId="8" borderId="51" xfId="0" applyFont="true" applyFill="true" applyBorder="true" applyAlignment="true">
      <alignment horizontal="right" vertical="center" wrapText="true"/>
      <protection/>
    </xf>
    <xf numFmtId="308" fontId="25" fillId="0" borderId="51" xfId="0" applyFont="true" applyBorder="true" applyAlignment="true">
      <alignment horizontal="left" vertical="center" wrapText="true"/>
      <protection/>
    </xf>
    <xf numFmtId="308" fontId="25" fillId="7" borderId="51" xfId="0" applyFont="true" applyFill="true" applyBorder="true" applyAlignment="true">
      <alignment wrapText="true"/>
      <protection/>
    </xf>
    <xf numFmtId="308" fontId="25" fillId="7" borderId="51" xfId="0" applyFont="true" applyFill="true" applyBorder="true" applyAlignment="true">
      <alignment horizontal="right" vertical="center" wrapText="true"/>
      <protection/>
    </xf>
    <xf numFmtId="10" fontId="25" fillId="8" borderId="51" xfId="0" applyNumberFormat="true" applyFont="true" applyFill="true" applyBorder="true" applyAlignment="true">
      <alignment horizontal="right" vertical="center" wrapText="true"/>
      <protection/>
    </xf>
    <xf numFmtId="308" fontId="24" fillId="0" borderId="51" xfId="0" applyFont="true" applyBorder="true" applyAlignment="true">
      <alignment wrapText="true"/>
      <protection/>
    </xf>
    <xf numFmtId="10" fontId="24" fillId="8" borderId="51" xfId="0" applyNumberFormat="true" applyFont="true" applyFill="true" applyBorder="true" applyAlignment="true">
      <alignment horizontal="right" vertical="center" wrapText="true"/>
      <protection/>
    </xf>
    <xf numFmtId="308" fontId="25" fillId="0" borderId="64" xfId="0" applyFont="true" applyAlignment="true">
      <alignment wrapText="true"/>
      <protection/>
    </xf>
    <xf numFmtId="308" fontId="24" fillId="13" borderId="64" xfId="91" applyFont="true" applyAlignment="true" applyProtection="true">
      <alignment vertical="center"/>
      <protection/>
    </xf>
    <xf numFmtId="308" fontId="23" fillId="13" borderId="64" xfId="91" applyFont="true" applyAlignment="true" applyProtection="true">
      <alignment horizontal="center" vertical="center"/>
      <protection/>
    </xf>
    <xf numFmtId="308" fontId="23" fillId="13" borderId="64" xfId="91" applyFont="true" applyAlignment="true" applyProtection="true">
      <alignment horizontal="center"/>
      <protection/>
    </xf>
    <xf numFmtId="2" fontId="25" fillId="4" borderId="64" xfId="69" applyNumberFormat="true" applyFont="true" applyFill="true" applyAlignment="true" applyProtection="true">
      <alignment vertical="center"/>
      <protection/>
    </xf>
    <xf numFmtId="308" fontId="25" fillId="13" borderId="64" xfId="91" applyFont="true" applyProtection="true">
      <alignment/>
      <protection/>
    </xf>
    <xf numFmtId="2" fontId="25" fillId="4" borderId="51" xfId="69" applyNumberFormat="true" applyFont="true" applyFill="true" applyBorder="true" applyAlignment="true" applyProtection="true">
      <alignment horizontal="center" vertical="center"/>
      <protection/>
    </xf>
    <xf numFmtId="49" fontId="25" fillId="4" borderId="51" xfId="69" applyNumberFormat="true" applyFont="true" applyFill="true" applyBorder="true" applyAlignment="true" applyProtection="true">
      <alignment horizontal="center" vertical="center"/>
      <protection/>
    </xf>
    <xf numFmtId="2" fontId="25" fillId="4" borderId="51" xfId="69" applyNumberFormat="true" applyFont="true" applyFill="true" applyBorder="true" applyAlignment="true" applyProtection="true">
      <alignment horizontal="left" vertical="center"/>
      <protection/>
    </xf>
    <xf numFmtId="2" fontId="24" fillId="13" borderId="51" xfId="69" applyNumberFormat="true" applyFont="true" applyBorder="true" applyAlignment="true" applyProtection="true">
      <alignment vertical="center"/>
      <protection/>
    </xf>
    <xf numFmtId="300" fontId="25" fillId="8" borderId="51" xfId="69" applyNumberFormat="true" applyFont="true" applyFill="true" applyBorder="true" applyAlignment="true" applyProtection="true">
      <alignment horizontal="right" vertical="center"/>
      <protection/>
    </xf>
    <xf numFmtId="308" fontId="26" fillId="7" borderId="64" xfId="69" applyFont="true" applyFill="true" applyProtection="true">
      <alignment/>
      <protection/>
    </xf>
    <xf numFmtId="308" fontId="39" fillId="7" borderId="64" xfId="69" applyFont="true" applyFill="true" applyProtection="true">
      <alignment/>
      <protection/>
    </xf>
    <xf numFmtId="308" fontId="25" fillId="13" borderId="64" xfId="69" applyFont="true" applyProtection="true">
      <alignment/>
      <protection/>
    </xf>
    <xf numFmtId="49" fontId="25" fillId="4" borderId="51" xfId="69" applyNumberFormat="true" applyFont="true" applyFill="true" applyBorder="true" applyAlignment="true" applyProtection="true">
      <alignment horizontal="left" vertical="center"/>
      <protection/>
    </xf>
    <xf numFmtId="2" fontId="25" fillId="13" borderId="51" xfId="69" applyNumberFormat="true" applyFont="true" applyBorder="true" applyAlignment="true" applyProtection="true">
      <alignment horizontal="left" vertical="center"/>
      <protection/>
    </xf>
    <xf numFmtId="308" fontId="26" fillId="13" borderId="64" xfId="69" applyFont="true" applyProtection="true">
      <alignment/>
      <protection/>
    </xf>
    <xf numFmtId="49" fontId="25" fillId="13" borderId="51" xfId="69" applyNumberFormat="true" applyFont="true" applyBorder="true" applyAlignment="true" applyProtection="true">
      <alignment horizontal="left" vertical="center" wrapText="true"/>
      <protection locked="false"/>
    </xf>
    <xf numFmtId="300" fontId="25" fillId="6" borderId="51" xfId="69" applyNumberFormat="true" applyFont="true" applyFill="true" applyBorder="true" applyAlignment="true" applyProtection="true">
      <alignment horizontal="right" vertical="center"/>
      <protection locked="false"/>
    </xf>
    <xf numFmtId="300" fontId="25" fillId="6" borderId="51" xfId="69" applyNumberFormat="true" applyFont="true" applyFill="true" applyBorder="true" applyAlignment="true" applyProtection="true">
      <alignment horizontal="right" vertical="center"/>
      <protection/>
    </xf>
    <xf numFmtId="308" fontId="16" fillId="6" borderId="64" xfId="69" applyFont="true" applyFill="true" applyAlignment="true" applyProtection="true">
      <alignment horizontal="center"/>
      <protection/>
    </xf>
    <xf numFmtId="308" fontId="16" fillId="8" borderId="64" xfId="69" applyFont="true" applyFill="true" applyAlignment="true" applyProtection="true">
      <alignment horizontal="center"/>
      <protection/>
    </xf>
    <xf numFmtId="308" fontId="16" fillId="6" borderId="64" xfId="69" applyFont="true" applyFill="true" applyAlignment="true" applyProtection="true">
      <alignment horizontal="center" wrapText="true"/>
      <protection/>
    </xf>
    <xf numFmtId="308" fontId="16" fillId="6" borderId="64" xfId="69" applyFont="true" applyFill="true" applyAlignment="true" applyProtection="true">
      <alignment horizontal="left" vertical="center"/>
      <protection/>
    </xf>
    <xf numFmtId="308" fontId="40" fillId="6" borderId="64" xfId="69" applyFont="true" applyFill="true" applyAlignment="true" applyProtection="true">
      <alignment horizontal="center"/>
      <protection/>
    </xf>
    <xf numFmtId="49" fontId="25" fillId="13" borderId="51" xfId="69" applyNumberFormat="true" applyFont="true" applyBorder="true" applyAlignment="true" applyProtection="true">
      <alignment horizontal="left" vertical="center"/>
      <protection locked="false"/>
    </xf>
    <xf numFmtId="308" fontId="25" fillId="6" borderId="64" xfId="69" applyFont="true" applyFill="true" applyProtection="true">
      <alignment/>
      <protection/>
    </xf>
    <xf numFmtId="300" fontId="25" fillId="13" borderId="51" xfId="69" applyNumberFormat="true" applyFont="true" applyBorder="true" applyAlignment="true" applyProtection="true">
      <alignment horizontal="right" vertical="center"/>
      <protection locked="false"/>
    </xf>
    <xf numFmtId="300" fontId="25" fillId="7" borderId="51" xfId="69" applyNumberFormat="true" applyFont="true" applyFill="true" applyBorder="true" applyAlignment="true" applyProtection="true">
      <alignment horizontal="right" vertical="center"/>
      <protection/>
    </xf>
    <xf numFmtId="300" fontId="25" fillId="7" borderId="51" xfId="69" applyNumberFormat="true" applyFont="true" applyFill="true" applyBorder="true" applyAlignment="true" applyProtection="true">
      <alignment horizontal="right" vertical="center"/>
      <protection locked="false"/>
    </xf>
    <xf numFmtId="49" fontId="25" fillId="4" borderId="51" xfId="69" applyNumberFormat="true" applyFont="true" applyFill="true" applyBorder="true" applyAlignment="true" applyProtection="true">
      <alignment vertical="center"/>
      <protection/>
    </xf>
    <xf numFmtId="300" fontId="29" fillId="8" borderId="51" xfId="69" applyNumberFormat="true" applyFont="true" applyFill="true" applyBorder="true" applyAlignment="true" applyProtection="true">
      <alignment horizontal="right" vertical="center"/>
      <protection/>
    </xf>
    <xf numFmtId="300" fontId="16" fillId="8" borderId="51" xfId="69" applyNumberFormat="true" applyFont="true" applyFill="true" applyBorder="true" applyAlignment="true" applyProtection="true">
      <alignment horizontal="right" vertical="center"/>
      <protection/>
    </xf>
    <xf numFmtId="308" fontId="25" fillId="6" borderId="64" xfId="69" applyFont="true" applyFill="true" applyAlignment="true" applyProtection="true">
      <alignment horizontal="center"/>
      <protection/>
    </xf>
    <xf numFmtId="308" fontId="25" fillId="8" borderId="64" xfId="69" applyFont="true" applyFill="true" applyAlignment="true" applyProtection="true">
      <alignment horizontal="center"/>
      <protection/>
    </xf>
    <xf numFmtId="308" fontId="29" fillId="13" borderId="64" xfId="69" applyFont="true" applyProtection="true">
      <alignment/>
      <protection/>
    </xf>
    <xf numFmtId="49" fontId="25" fillId="13" borderId="51" xfId="69" applyNumberFormat="true" applyFont="true" applyBorder="true" applyAlignment="true" applyProtection="true">
      <alignment horizontal="center" vertical="center"/>
      <protection locked="false"/>
    </xf>
    <xf numFmtId="49" fontId="25" fillId="13" borderId="51" xfId="69" applyNumberFormat="true" applyFont="true" applyBorder="true" applyAlignment="true" applyProtection="true">
      <alignment vertical="center"/>
      <protection locked="false"/>
    </xf>
    <xf numFmtId="2" fontId="25" fillId="13" borderId="51" xfId="69" applyNumberFormat="true" applyFont="true" applyBorder="true" applyAlignment="true" applyProtection="true">
      <alignment vertical="center"/>
      <protection/>
    </xf>
    <xf numFmtId="308" fontId="26" fillId="13" borderId="64" xfId="69" applyFont="true" applyAlignment="true" applyProtection="true">
      <alignment vertical="center"/>
      <protection/>
    </xf>
    <xf numFmtId="308" fontId="29" fillId="7" borderId="64" xfId="69" applyFont="true" applyFill="true" applyProtection="true">
      <alignment/>
      <protection/>
    </xf>
    <xf numFmtId="308" fontId="29" fillId="7" borderId="64" xfId="0" applyFont="true" applyFill="true">
      <alignment vertical="center"/>
      <protection/>
    </xf>
    <xf numFmtId="300" fontId="25" fillId="13" borderId="51" xfId="69" applyNumberFormat="true" applyFont="true" applyBorder="true" applyAlignment="true" applyProtection="true">
      <alignment horizontal="right" vertical="center"/>
      <protection/>
    </xf>
    <xf numFmtId="300" fontId="25" fillId="8" borderId="51" xfId="69" applyNumberFormat="true" applyFont="true" applyFill="true" applyBorder="true" applyAlignment="true" applyProtection="true">
      <alignment horizontal="right" vertical="center"/>
      <protection locked="false"/>
    </xf>
    <xf numFmtId="308" fontId="24" fillId="0" borderId="51" xfId="0" applyFont="true" applyBorder="true" applyAlignment="true">
      <alignment vertical="center" wrapText="true"/>
      <protection/>
    </xf>
    <xf numFmtId="300" fontId="24" fillId="8" borderId="51" xfId="0" applyNumberFormat="true" applyFont="true" applyFill="true" applyBorder="true" applyAlignment="true">
      <alignment horizontal="right" vertical="center" wrapText="true"/>
      <protection/>
    </xf>
    <xf numFmtId="300" fontId="25" fillId="7" borderId="51" xfId="0" applyNumberFormat="true" applyFont="true" applyFill="true" applyBorder="true" applyAlignment="true">
      <alignment horizontal="right" vertical="center" wrapText="true"/>
      <protection/>
    </xf>
    <xf numFmtId="308" fontId="25" fillId="8" borderId="64" xfId="0" applyFont="true" applyFill="true" applyAlignment="true">
      <alignment wrapText="true"/>
      <protection/>
    </xf>
    <xf numFmtId="308" fontId="37" fillId="0" borderId="64" xfId="0" applyFont="true">
      <alignment vertical="center"/>
      <protection/>
    </xf>
    <xf numFmtId="308" fontId="4" fillId="0" borderId="64" xfId="0" applyFont="true" applyAlignment="true">
      <alignment horizontal="centerContinuous"/>
      <protection/>
    </xf>
    <xf numFmtId="10" fontId="4" fillId="0" borderId="64" xfId="0" applyNumberFormat="true" applyFont="true" applyAlignment="true">
      <alignment horizontal="centerContinuous"/>
      <protection/>
    </xf>
    <xf numFmtId="10" fontId="37" fillId="0" borderId="64" xfId="0" applyNumberFormat="true" applyFont="true">
      <alignment vertical="center"/>
      <protection/>
    </xf>
    <xf numFmtId="49" fontId="16" fillId="7" borderId="55" xfId="0" applyNumberFormat="true" applyFont="true" applyFill="true" applyBorder="true" applyAlignment="true">
      <alignment horizontal="left" vertical="center"/>
      <protection/>
    </xf>
    <xf numFmtId="301" fontId="16" fillId="9" borderId="51" xfId="0" applyNumberFormat="true" applyFont="true" applyFill="true" applyBorder="true" applyAlignment="true" applyProtection="true">
      <alignment horizontal="center" vertical="center"/>
      <protection/>
    </xf>
    <xf numFmtId="308" fontId="16" fillId="7" borderId="51" xfId="0" applyFont="true" applyFill="true" applyBorder="true">
      <alignment vertical="center"/>
      <protection/>
    </xf>
    <xf numFmtId="9" fontId="16" fillId="9" borderId="51" xfId="0" applyNumberFormat="true" applyFont="true" applyFill="true" applyBorder="true" applyAlignment="true" applyProtection="true">
      <alignment horizontal="center" vertical="center"/>
      <protection locked="false"/>
    </xf>
    <xf numFmtId="308" fontId="16" fillId="6" borderId="51" xfId="0" applyFont="true" applyFill="true" applyBorder="true" applyAlignment="true" applyProtection="true">
      <alignment horizontal="center" vertical="center"/>
      <protection/>
    </xf>
    <xf numFmtId="10" fontId="16" fillId="6" borderId="51" xfId="0" applyNumberFormat="true" applyFont="true" applyFill="true" applyBorder="true" applyAlignment="true" applyProtection="true">
      <alignment horizontal="center" vertical="center"/>
      <protection locked="false"/>
    </xf>
    <xf numFmtId="10" fontId="16" fillId="9" borderId="51" xfId="0" applyNumberFormat="true" applyFont="true" applyFill="true" applyBorder="true" applyAlignment="true" applyProtection="true">
      <alignment horizontal="center" vertical="center"/>
      <protection locked="false"/>
    </xf>
    <xf numFmtId="9" fontId="16" fillId="6" borderId="51" xfId="0" applyNumberFormat="true" applyFont="true" applyFill="true" applyBorder="true" applyAlignment="true" applyProtection="true">
      <alignment horizontal="center" vertical="center"/>
      <protection locked="false"/>
    </xf>
    <xf numFmtId="49" fontId="4" fillId="4" borderId="58" xfId="0" applyNumberFormat="true" applyFont="true" applyFill="true" applyBorder="true" applyAlignment="true" applyProtection="true">
      <alignment horizontal="center" vertical="center"/>
      <protection locked="false"/>
    </xf>
    <xf numFmtId="49" fontId="28" fillId="4" borderId="59" xfId="0" applyNumberFormat="true" applyFont="true" applyFill="true" applyBorder="true" applyAlignment="true">
      <alignment horizontal="center" vertical="center"/>
      <protection/>
    </xf>
    <xf numFmtId="10" fontId="28" fillId="4" borderId="59" xfId="0" applyNumberFormat="true" applyFont="true" applyFill="true" applyBorder="true" applyAlignment="true">
      <alignment horizontal="center" vertical="center"/>
      <protection/>
    </xf>
    <xf numFmtId="49" fontId="28" fillId="4" borderId="60" xfId="0" applyNumberFormat="true" applyFont="true" applyFill="true" applyBorder="true" applyAlignment="true">
      <alignment horizontal="center" vertical="center"/>
      <protection/>
    </xf>
    <xf numFmtId="49" fontId="16" fillId="4" borderId="61" xfId="0" applyNumberFormat="true" applyFont="true" applyFill="true" applyBorder="true" applyAlignment="true">
      <alignment horizontal="left" vertical="center"/>
      <protection/>
    </xf>
    <xf numFmtId="9" fontId="16" fillId="4" borderId="61" xfId="0" applyNumberFormat="true" applyFont="true" applyFill="true" applyBorder="true" applyAlignment="true">
      <alignment horizontal="left" vertical="center"/>
      <protection/>
    </xf>
    <xf numFmtId="10" fontId="16" fillId="4" borderId="61" xfId="0" applyNumberFormat="true" applyFont="true" applyFill="true" applyBorder="true" applyAlignment="true">
      <alignment horizontal="left" vertical="center"/>
      <protection/>
    </xf>
    <xf numFmtId="308" fontId="16" fillId="4" borderId="61" xfId="0" applyFont="true" applyFill="true" applyBorder="true" applyAlignment="true">
      <alignment horizontal="left" vertical="center"/>
      <protection/>
    </xf>
    <xf numFmtId="49" fontId="41" fillId="4" borderId="61" xfId="0" applyNumberFormat="true" applyFont="true" applyFill="true" applyBorder="true" applyAlignment="true">
      <alignment horizontal="left" vertical="center"/>
      <protection/>
    </xf>
    <xf numFmtId="308" fontId="41" fillId="4" borderId="61" xfId="0" applyFont="true" applyFill="true" applyBorder="true" applyAlignment="true">
      <alignment horizontal="left" vertical="center"/>
      <protection/>
    </xf>
    <xf numFmtId="308" fontId="41" fillId="0" borderId="64" xfId="0" applyFont="true">
      <alignment vertical="center"/>
      <protection/>
    </xf>
    <xf numFmtId="10" fontId="16" fillId="0" borderId="64" xfId="0" applyNumberFormat="true" applyFont="true">
      <alignment vertical="center"/>
      <protection/>
    </xf>
    <xf numFmtId="308" fontId="25" fillId="0" borderId="64" xfId="0" applyFont="true">
      <alignment vertical="center"/>
      <protection/>
    </xf>
    <xf numFmtId="10" fontId="25" fillId="0" borderId="64" xfId="0" applyNumberFormat="true" applyFont="true">
      <alignment vertical="center"/>
      <protection/>
    </xf>
    <xf numFmtId="308" fontId="25" fillId="0" borderId="64" xfId="0" applyFont="true" applyAlignment="true">
      <alignment horizontal="left"/>
      <protection/>
    </xf>
    <xf numFmtId="308" fontId="25" fillId="4" borderId="64" xfId="91" applyFont="true" applyFill="true" applyAlignment="true" applyProtection="true">
      <alignment horizontal="left" vertical="center"/>
      <protection/>
    </xf>
    <xf numFmtId="308" fontId="44" fillId="0" borderId="57" xfId="0" applyBorder="true" applyAlignment="true">
      <alignment horizontal="centerContinuous" vertical="center"/>
      <protection/>
    </xf>
    <xf numFmtId="9" fontId="25" fillId="6" borderId="51" xfId="91" applyNumberFormat="true" applyFont="true" applyFill="true" applyBorder="true" applyAlignment="true" applyProtection="true">
      <alignment horizontal="right" vertical="center"/>
      <protection locked="false"/>
    </xf>
    <xf numFmtId="10" fontId="25" fillId="6" borderId="51" xfId="91" applyNumberFormat="true" applyFont="true" applyFill="true" applyBorder="true" applyAlignment="true" applyProtection="true">
      <alignment horizontal="right" vertical="center"/>
      <protection locked="false"/>
    </xf>
    <xf numFmtId="308" fontId="24" fillId="7" borderId="51" xfId="91" applyFont="true" applyFill="true" applyBorder="true" applyAlignment="true" applyProtection="true">
      <alignment horizontal="left" vertical="center" wrapText="true"/>
      <protection/>
    </xf>
    <xf numFmtId="308" fontId="16" fillId="4" borderId="51" xfId="91" applyFont="true" applyFill="true" applyBorder="true" applyAlignment="true" applyProtection="true">
      <alignment horizontal="left" vertical="center" wrapText="true"/>
      <protection/>
    </xf>
    <xf numFmtId="308" fontId="16" fillId="13" borderId="51" xfId="91" applyFont="true" applyBorder="true" applyAlignment="true" applyProtection="true">
      <alignment horizontal="left" vertical="center" wrapText="true"/>
      <protection/>
    </xf>
    <xf numFmtId="308" fontId="4" fillId="0" borderId="64" xfId="0" applyFont="true" applyAlignment="true">
      <alignment/>
      <protection/>
    </xf>
    <xf numFmtId="308" fontId="16" fillId="7" borderId="51" xfId="91" applyFont="true" applyFill="true" applyBorder="true" applyAlignment="true" applyProtection="true">
      <alignment horizontal="left" vertical="center" wrapText="true"/>
      <protection/>
    </xf>
    <xf numFmtId="300" fontId="16" fillId="6" borderId="51" xfId="91" applyNumberFormat="true" applyFont="true" applyFill="true" applyBorder="true" applyAlignment="true" applyProtection="true">
      <alignment horizontal="right" vertical="center" wrapText="true"/>
      <protection locked="false"/>
    </xf>
    <xf numFmtId="308" fontId="25" fillId="7" borderId="51" xfId="91" applyFont="true" applyFill="true" applyBorder="true" applyAlignment="true" applyProtection="true">
      <alignment horizontal="left" vertical="center" wrapText="true"/>
      <protection/>
    </xf>
    <xf numFmtId="300" fontId="25" fillId="8" borderId="51" xfId="91" applyNumberFormat="true" applyFont="true" applyFill="true" applyBorder="true" applyAlignment="true" applyProtection="true">
      <alignment horizontal="right" vertical="center" wrapText="true"/>
      <protection locked="false"/>
    </xf>
    <xf numFmtId="49" fontId="25" fillId="7" borderId="51" xfId="91" applyNumberFormat="true" applyFont="true" applyFill="true" applyBorder="true" applyAlignment="true" applyProtection="true">
      <alignment horizontal="left" vertical="center" wrapText="true"/>
      <protection locked="false"/>
    </xf>
    <xf numFmtId="49" fontId="25" fillId="7" borderId="51" xfId="0" applyNumberFormat="true" applyFont="true" applyFill="true" applyBorder="true" applyAlignment="true" applyProtection="true">
      <alignment horizontal="left" vertical="center" wrapText="true"/>
      <protection locked="false"/>
    </xf>
    <xf numFmtId="49" fontId="25" fillId="4" borderId="51" xfId="91" applyNumberFormat="true" applyFont="true" applyFill="true" applyBorder="true" applyAlignment="true" applyProtection="true">
      <alignment horizontal="left" vertical="center" wrapText="true"/>
      <protection/>
    </xf>
    <xf numFmtId="308" fontId="26" fillId="0" borderId="64" xfId="0" applyFont="true" applyAlignment="true">
      <alignment wrapText="true"/>
      <protection/>
    </xf>
    <xf numFmtId="308" fontId="24" fillId="4" borderId="51" xfId="91" applyFont="true" applyFill="true" applyBorder="true" applyAlignment="true" applyProtection="true">
      <alignment horizontal="left" vertical="center" wrapText="true"/>
      <protection/>
    </xf>
    <xf numFmtId="300" fontId="24" fillId="8" borderId="51" xfId="91" applyNumberFormat="true" applyFont="true" applyFill="true" applyBorder="true" applyAlignment="true" applyProtection="true">
      <alignment horizontal="right" vertical="center" wrapText="true"/>
      <protection/>
    </xf>
    <xf numFmtId="49" fontId="25" fillId="4" borderId="52" xfId="91" applyNumberFormat="true" applyFont="true" applyFill="true" applyBorder="true" applyAlignment="true" applyProtection="true">
      <alignment horizontal="center" vertical="center" wrapText="true"/>
      <protection/>
    </xf>
    <xf numFmtId="49" fontId="25" fillId="4" borderId="52" xfId="91" applyNumberFormat="true" applyFont="true" applyFill="true" applyBorder="true" applyAlignment="true" applyProtection="true">
      <alignment horizontal="center" vertical="center"/>
      <protection/>
    </xf>
    <xf numFmtId="49" fontId="44" fillId="0" borderId="53" xfId="0" applyNumberFormat="true" applyBorder="true" applyAlignment="true">
      <alignment horizontal="center" vertical="center"/>
      <protection/>
    </xf>
    <xf numFmtId="49" fontId="25" fillId="4" borderId="53" xfId="91" applyNumberFormat="true" applyFont="true" applyFill="true" applyBorder="true" applyAlignment="true" applyProtection="true">
      <alignment horizontal="center" vertical="center"/>
      <protection/>
    </xf>
    <xf numFmtId="300" fontId="25" fillId="7" borderId="51" xfId="91" applyNumberFormat="true" applyFont="true" applyFill="true" applyBorder="true" applyAlignment="true" applyProtection="true">
      <alignment vertical="center" wrapText="true"/>
      <protection/>
    </xf>
    <xf numFmtId="301" fontId="25" fillId="8" borderId="51" xfId="91" applyNumberFormat="true" applyFont="true" applyFill="true" applyBorder="true" applyAlignment="true" applyProtection="true">
      <alignment horizontal="right" vertical="center" wrapText="true"/>
      <protection locked="false"/>
    </xf>
    <xf numFmtId="308" fontId="25" fillId="8" borderId="51" xfId="91" applyFont="true" applyFill="true" applyBorder="true" applyAlignment="true" applyProtection="true">
      <alignment horizontal="right" vertical="center" wrapText="true"/>
      <protection locked="false"/>
    </xf>
    <xf numFmtId="308" fontId="25" fillId="6" borderId="51" xfId="91" applyFont="true" applyFill="true" applyBorder="true" applyAlignment="true" applyProtection="true">
      <alignment horizontal="left" vertical="center" wrapText="true"/>
      <protection/>
    </xf>
    <xf numFmtId="308" fontId="25" fillId="6" borderId="51" xfId="91" applyFont="true" applyFill="true" applyBorder="true" applyAlignment="true" applyProtection="true">
      <alignment vertical="center" wrapText="true"/>
      <protection/>
    </xf>
    <xf numFmtId="300" fontId="25" fillId="6" borderId="51" xfId="91" applyNumberFormat="true" applyFont="true" applyFill="true" applyBorder="true" applyAlignment="true" applyProtection="true">
      <alignment horizontal="right" vertical="center" wrapText="true"/>
      <protection/>
    </xf>
    <xf numFmtId="308" fontId="26" fillId="6" borderId="64" xfId="0" applyFont="true" applyFill="true" applyAlignment="true">
      <alignment/>
      <protection/>
    </xf>
    <xf numFmtId="308" fontId="25" fillId="8" borderId="51" xfId="91" applyFont="true" applyFill="true" applyBorder="true" applyAlignment="true" applyProtection="true">
      <alignment vertical="center" wrapText="true"/>
      <protection/>
    </xf>
    <xf numFmtId="300" fontId="25" fillId="7" borderId="52" xfId="91" applyNumberFormat="true" applyFont="true" applyFill="true" applyBorder="true" applyAlignment="true" applyProtection="true">
      <alignment vertical="center" wrapText="true"/>
      <protection/>
    </xf>
    <xf numFmtId="308" fontId="25" fillId="4" borderId="55" xfId="91" applyFont="true" applyFill="true" applyBorder="true" applyAlignment="true" applyProtection="true">
      <alignment vertical="center" wrapText="true"/>
      <protection/>
    </xf>
    <xf numFmtId="300" fontId="25" fillId="7" borderId="56" xfId="91" applyNumberFormat="true" applyFont="true" applyFill="true" applyBorder="true" applyAlignment="true" applyProtection="true">
      <alignment horizontal="right" vertical="center" wrapText="true"/>
      <protection/>
    </xf>
    <xf numFmtId="300" fontId="25" fillId="7" borderId="53" xfId="91" applyNumberFormat="true" applyFont="true" applyFill="true" applyBorder="true" applyAlignment="true" applyProtection="true">
      <alignment horizontal="right" vertical="center" wrapText="true"/>
      <protection/>
    </xf>
    <xf numFmtId="301" fontId="25" fillId="7" borderId="51" xfId="91" applyNumberFormat="true" applyFont="true" applyFill="true" applyBorder="true" applyAlignment="true" applyProtection="true">
      <alignment horizontal="right" vertical="center" wrapText="true"/>
      <protection locked="false"/>
    </xf>
    <xf numFmtId="49" fontId="24" fillId="4" borderId="55" xfId="91" applyNumberFormat="true" applyFont="true" applyFill="true" applyBorder="true" applyAlignment="true" applyProtection="true">
      <alignment horizontal="left" vertical="center"/>
      <protection/>
    </xf>
    <xf numFmtId="49" fontId="24" fillId="4" borderId="56" xfId="91" applyNumberFormat="true" applyFont="true" applyFill="true" applyBorder="true" applyAlignment="true" applyProtection="true">
      <alignment horizontal="left" vertical="center"/>
      <protection/>
    </xf>
    <xf numFmtId="300" fontId="25" fillId="0" borderId="64" xfId="0" applyNumberFormat="true" applyFont="true" applyAlignment="true" applyProtection="true">
      <alignment horizontal="right" vertical="center" wrapText="true"/>
      <protection/>
    </xf>
    <xf numFmtId="301" fontId="25" fillId="0" borderId="64" xfId="0" applyNumberFormat="true" applyFont="true" applyAlignment="true" applyProtection="true">
      <alignment horizontal="right" vertical="center" wrapText="true"/>
      <protection/>
    </xf>
    <xf numFmtId="308" fontId="25" fillId="0" borderId="64" xfId="0" applyFont="true" applyAlignment="true" applyProtection="true">
      <alignment horizontal="right" vertical="center" wrapText="true"/>
      <protection/>
    </xf>
    <xf numFmtId="300" fontId="25" fillId="0" borderId="64" xfId="0" applyNumberFormat="true" applyFont="true" applyAlignment="true" applyProtection="true">
      <alignment horizontal="right" vertical="center"/>
      <protection/>
    </xf>
    <xf numFmtId="300" fontId="25" fillId="0" borderId="64" xfId="0" applyNumberFormat="true" applyFont="true" applyProtection="true">
      <alignment vertical="center"/>
      <protection/>
    </xf>
    <xf numFmtId="300" fontId="25" fillId="8" borderId="64" xfId="0" applyNumberFormat="true" applyFont="true" applyFill="true" applyAlignment="true">
      <alignment horizontal="right" vertical="center"/>
      <protection/>
    </xf>
    <xf numFmtId="308" fontId="25" fillId="8" borderId="64" xfId="0" applyFont="true" applyFill="true">
      <alignment vertical="center"/>
      <protection/>
    </xf>
    <xf numFmtId="9" fontId="25" fillId="4" borderId="51" xfId="91" applyNumberFormat="true" applyFont="true" applyFill="true" applyBorder="true" applyAlignment="true" applyProtection="true">
      <alignment horizontal="right" vertical="center"/>
      <protection/>
    </xf>
    <xf numFmtId="300" fontId="25" fillId="13" borderId="51" xfId="91" applyNumberFormat="true" applyFont="true" applyBorder="true" applyAlignment="true" applyProtection="true">
      <alignment horizontal="right" vertical="center" wrapText="true"/>
      <protection/>
    </xf>
    <xf numFmtId="300" fontId="25" fillId="4" borderId="51" xfId="91" applyNumberFormat="true" applyFont="true" applyFill="true" applyBorder="true" applyAlignment="true" applyProtection="true">
      <alignment horizontal="right" vertical="center" wrapText="true"/>
      <protection/>
    </xf>
    <xf numFmtId="300" fontId="25" fillId="0" borderId="51" xfId="0" applyNumberFormat="true" applyFont="true" applyBorder="true" applyAlignment="true">
      <alignment horizontal="right" vertical="center" wrapText="true"/>
      <protection/>
    </xf>
    <xf numFmtId="308" fontId="25" fillId="0" borderId="51" xfId="0" applyFont="true" applyBorder="true" applyAlignment="true">
      <alignment horizontal="right" vertical="center" wrapText="true"/>
      <protection/>
    </xf>
    <xf numFmtId="308" fontId="24" fillId="4" borderId="51" xfId="91" applyFont="true" applyFill="true" applyBorder="true" applyAlignment="true" applyProtection="true">
      <alignment vertical="center" wrapText="true"/>
      <protection/>
    </xf>
    <xf numFmtId="300" fontId="25" fillId="3" borderId="51" xfId="91" applyNumberFormat="true" applyFont="true" applyFill="true" applyBorder="true" applyAlignment="true" applyProtection="true">
      <alignment horizontal="right" vertical="center" wrapText="true"/>
      <protection/>
    </xf>
    <xf numFmtId="308" fontId="25" fillId="4" borderId="64" xfId="91" applyFont="true" applyFill="true" applyAlignment="true" applyProtection="true">
      <alignment horizontal="left" vertical="center" wrapText="true"/>
      <protection/>
    </xf>
    <xf numFmtId="308" fontId="25" fillId="4" borderId="64" xfId="91" applyFont="true" applyFill="true" applyAlignment="true" applyProtection="true">
      <alignment vertical="center" wrapText="true"/>
      <protection/>
    </xf>
    <xf numFmtId="300" fontId="25" fillId="4" borderId="64" xfId="91" applyNumberFormat="true" applyFont="true" applyFill="true" applyAlignment="true" applyProtection="true">
      <alignment horizontal="right" vertical="center" wrapText="true"/>
      <protection/>
    </xf>
    <xf numFmtId="300" fontId="25" fillId="4" borderId="64" xfId="0" applyNumberFormat="true" applyFont="true" applyFill="true" applyAlignment="true" applyProtection="true">
      <alignment wrapText="true"/>
      <protection/>
    </xf>
    <xf numFmtId="308" fontId="25" fillId="4" borderId="64" xfId="0" applyFont="true" applyFill="true" applyAlignment="true" applyProtection="true">
      <alignment wrapText="true"/>
      <protection/>
    </xf>
    <xf numFmtId="308" fontId="42" fillId="0" borderId="64" xfId="0" applyFont="true">
      <alignment vertical="center"/>
      <protection/>
    </xf>
    <xf numFmtId="308" fontId="19" fillId="13" borderId="64" xfId="23" applyFont="true" applyAlignment="true" applyProtection="true">
      <alignment vertical="center"/>
      <protection locked="false"/>
    </xf>
    <xf numFmtId="308" fontId="19" fillId="13" borderId="64" xfId="23" applyFont="true" applyAlignment="true" applyProtection="true">
      <alignment vertical="center"/>
      <protection/>
    </xf>
    <xf numFmtId="308" fontId="44" fillId="6" borderId="64" xfId="0" applyFill="true">
      <alignment vertical="center"/>
      <protection/>
    </xf>
    <xf numFmtId="308" fontId="14" fillId="0" borderId="42" xfId="0" applyFont="true" applyBorder="true" applyAlignment="true">
      <alignment horizontal="center" vertical="center" wrapText="true"/>
      <protection/>
    </xf>
    <xf numFmtId="49" fontId="14" fillId="2" borderId="43" xfId="0" applyNumberFormat="true" applyFont="true" applyFill="true" applyBorder="true" applyAlignment="true" applyProtection="true">
      <alignment horizontal="center" vertical="center" wrapText="true"/>
      <protection locked="false"/>
    </xf>
    <xf numFmtId="49" fontId="44" fillId="2" borderId="43" xfId="0" applyNumberFormat="true" applyFill="true" applyBorder="true" applyAlignment="true" applyProtection="true">
      <alignment horizontal="center" vertical="center"/>
      <protection locked="false"/>
    </xf>
    <xf numFmtId="308" fontId="14" fillId="0" borderId="1" xfId="0" applyFont="true" applyBorder="true" applyAlignment="true">
      <alignment horizontal="center" vertical="center" wrapText="true"/>
      <protection/>
    </xf>
    <xf numFmtId="308" fontId="14" fillId="0" borderId="44" xfId="0" applyFont="true" applyBorder="true" applyAlignment="true">
      <alignment horizontal="center" vertical="center" wrapText="true"/>
      <protection/>
    </xf>
    <xf numFmtId="308" fontId="14" fillId="0" borderId="45" xfId="0" applyFont="true" applyBorder="true" applyAlignment="true" applyProtection="true">
      <alignment horizontal="center" vertical="center" wrapText="true"/>
      <protection locked="false"/>
    </xf>
    <xf numFmtId="308" fontId="44" fillId="0" borderId="44" xfId="0" applyBorder="true" applyAlignment="true">
      <alignment horizontal="center" vertical="center" wrapText="true"/>
      <protection/>
    </xf>
    <xf numFmtId="308" fontId="14" fillId="0" borderId="45" xfId="0" applyFont="true" applyBorder="true" applyAlignment="true">
      <alignment horizontal="center" vertical="center" wrapText="true"/>
      <protection/>
    </xf>
    <xf numFmtId="301" fontId="14" fillId="2" borderId="48" xfId="0" applyNumberFormat="true" applyFont="true" applyFill="true" applyBorder="true" applyAlignment="true" applyProtection="true">
      <alignment horizontal="center" vertical="center"/>
      <protection locked="false"/>
    </xf>
    <xf numFmtId="308" fontId="14" fillId="0" borderId="13" xfId="0" applyFont="true" applyBorder="true" applyAlignment="true">
      <alignment horizontal="center" vertical="center"/>
      <protection/>
    </xf>
    <xf numFmtId="308" fontId="14" fillId="0" borderId="62" xfId="0" applyFont="true" applyBorder="true" applyAlignment="true">
      <alignment horizontal="center" vertical="center" wrapText="true"/>
      <protection/>
    </xf>
    <xf numFmtId="308" fontId="14" fillId="0" borderId="32" xfId="0" applyFont="true" applyBorder="true" applyAlignment="true">
      <alignment horizontal="center" vertical="center"/>
      <protection/>
    </xf>
    <xf numFmtId="308" fontId="14" fillId="0" borderId="34" xfId="0" applyFont="true" applyBorder="true" applyAlignment="true">
      <alignment horizontal="center" vertical="center"/>
      <protection/>
    </xf>
    <xf numFmtId="49" fontId="25" fillId="4" borderId="55" xfId="91" applyNumberFormat="true" applyFont="true" applyFill="true" applyBorder="true" applyAlignment="true" applyProtection="true">
      <alignment horizontal="left" vertical="center"/>
      <protection/>
    </xf>
    <xf numFmtId="49" fontId="44" fillId="0" borderId="56" xfId="0" applyNumberFormat="true" applyBorder="true" applyAlignment="true">
      <alignment horizontal="left" vertical="center"/>
      <protection/>
    </xf>
    <xf numFmtId="308" fontId="16" fillId="7" borderId="51" xfId="0" applyFont="true" applyFill="true" applyBorder="true" applyProtection="true">
      <alignment vertical="center"/>
      <protection/>
    </xf>
    <xf numFmtId="300" fontId="25" fillId="7" borderId="51" xfId="0" applyNumberFormat="true" applyFont="true" applyFill="true" applyBorder="true" applyAlignment="true">
      <alignment horizontal="right" vertical="center"/>
      <protection/>
    </xf>
    <xf numFmtId="49" fontId="25" fillId="4" borderId="51" xfId="0" applyNumberFormat="true" applyFont="true" applyFill="true" applyBorder="true" applyAlignment="true">
      <alignment horizontal="right" vertical="center"/>
      <protection/>
    </xf>
    <xf numFmtId="308" fontId="16" fillId="6" borderId="51" xfId="0" applyFont="true" applyFill="true" applyBorder="true" applyAlignment="true" applyProtection="true">
      <alignment horizontal="left" vertical="center" wrapText="true"/>
      <protection locked="false"/>
    </xf>
    <xf numFmtId="49" fontId="16" fillId="7" borderId="51" xfId="0" applyNumberFormat="true" applyFont="true" applyFill="true" applyBorder="true" applyAlignment="true" applyProtection="true">
      <alignment horizontal="right" vertical="center"/>
      <protection/>
    </xf>
    <xf numFmtId="49" fontId="16" fillId="0" borderId="51" xfId="0" applyNumberFormat="true" applyFont="true" applyBorder="true" applyAlignment="true" applyProtection="true">
      <alignment horizontal="right" vertical="center"/>
      <protection locked="false"/>
    </xf>
    <xf numFmtId="49" fontId="16" fillId="0" borderId="51" xfId="0" applyNumberFormat="true" applyFont="true" applyBorder="true" applyAlignment="true">
      <alignment horizontal="left" vertical="center"/>
      <protection/>
    </xf>
    <xf numFmtId="308" fontId="16" fillId="0" borderId="51" xfId="0" applyFont="true" applyBorder="true" applyAlignment="true" applyProtection="true">
      <alignment horizontal="left" vertical="center" wrapText="true"/>
      <protection locked="false"/>
    </xf>
    <xf numFmtId="49" fontId="16" fillId="0" borderId="51" xfId="0" applyNumberFormat="true" applyFont="true" applyBorder="true" applyAlignment="true" applyProtection="true">
      <alignment horizontal="right" vertical="center" wrapText="true"/>
      <protection locked="false"/>
    </xf>
    <xf numFmtId="303" fontId="16" fillId="4" borderId="51" xfId="0" applyNumberFormat="true" applyFont="true" applyFill="true" applyBorder="true" applyAlignment="true" applyProtection="true">
      <alignment horizontal="right" vertical="center" wrapText="true"/>
      <protection/>
    </xf>
    <xf numFmtId="49" fontId="16" fillId="0" borderId="56" xfId="0" applyNumberFormat="true" applyFont="true" applyBorder="true" applyAlignment="true" applyProtection="true">
      <alignment horizontal="left" vertical="center" wrapText="true"/>
      <protection/>
    </xf>
    <xf numFmtId="9" fontId="16" fillId="0" borderId="51" xfId="0" applyNumberFormat="true" applyFont="true" applyBorder="true" applyAlignment="true" applyProtection="true">
      <alignment horizontal="right" vertical="center"/>
      <protection locked="false"/>
    </xf>
    <xf numFmtId="308" fontId="23" fillId="13" borderId="64" xfId="97" applyFont="true" applyAlignment="true" applyProtection="true">
      <alignment horizontal="centerContinuous"/>
      <protection/>
    </xf>
    <xf numFmtId="308" fontId="25" fillId="13" borderId="64" xfId="97" applyFont="true" applyAlignment="true" applyProtection="true">
      <alignment horizontal="centerContinuous"/>
      <protection/>
    </xf>
    <xf numFmtId="308" fontId="25" fillId="4" borderId="64" xfId="23" applyFont="true" applyFill="true" applyAlignment="true" applyProtection="true">
      <alignment vertical="center"/>
      <protection/>
    </xf>
    <xf numFmtId="308" fontId="25" fillId="4" borderId="64" xfId="23" applyFont="true" applyFill="true" applyAlignment="true" applyProtection="true">
      <alignment horizontal="centerContinuous" vertical="center"/>
      <protection/>
    </xf>
    <xf numFmtId="308" fontId="25" fillId="4" borderId="51" xfId="23" applyFont="true" applyFill="true" applyBorder="true" applyAlignment="true" applyProtection="true">
      <alignment horizontal="center" vertical="center"/>
      <protection/>
    </xf>
    <xf numFmtId="308" fontId="25" fillId="4" borderId="51" xfId="23" applyFont="true" applyFill="true" applyBorder="true" applyAlignment="true" applyProtection="true">
      <alignment horizontal="centerContinuous" vertical="center"/>
      <protection/>
    </xf>
    <xf numFmtId="308" fontId="25" fillId="4" borderId="55" xfId="23" applyFont="true" applyFill="true" applyBorder="true" applyAlignment="true" applyProtection="true">
      <alignment horizontal="centerContinuous" vertical="center"/>
      <protection/>
    </xf>
    <xf numFmtId="308" fontId="44" fillId="0" borderId="57" xfId="0" applyBorder="true" applyAlignment="true">
      <alignment horizontal="centerContinuous" vertical="center" wrapText="true"/>
      <protection/>
    </xf>
    <xf numFmtId="308" fontId="44" fillId="0" borderId="56" xfId="0" applyBorder="true" applyAlignment="true">
      <alignment horizontal="centerContinuous" vertical="center" wrapText="true"/>
      <protection/>
    </xf>
    <xf numFmtId="308" fontId="25" fillId="4" borderId="51" xfId="23" applyFont="true" applyFill="true" applyBorder="true" applyAlignment="true" applyProtection="true">
      <alignment horizontal="left" vertical="center"/>
      <protection/>
    </xf>
    <xf numFmtId="308" fontId="24" fillId="7" borderId="51" xfId="23" applyFont="true" applyFill="true" applyBorder="true" applyAlignment="true" applyProtection="true">
      <alignment horizontal="left" vertical="center"/>
      <protection/>
    </xf>
    <xf numFmtId="300" fontId="25" fillId="13" borderId="51" xfId="23" applyNumberFormat="true" applyFont="true" applyBorder="true" applyAlignment="true" applyProtection="true">
      <alignment horizontal="right" vertical="center" wrapText="true"/>
      <protection/>
    </xf>
    <xf numFmtId="300" fontId="16" fillId="8" borderId="51" xfId="23" applyNumberFormat="true" applyFont="true" applyFill="true" applyBorder="true" applyAlignment="true" applyProtection="true">
      <alignment horizontal="right" vertical="center" wrapText="true"/>
      <protection/>
    </xf>
    <xf numFmtId="300" fontId="25" fillId="7" borderId="51" xfId="23" applyNumberFormat="true" applyFont="true" applyFill="true" applyBorder="true" applyAlignment="true" applyProtection="true">
      <alignment horizontal="right" vertical="center" wrapText="true"/>
      <protection/>
    </xf>
    <xf numFmtId="300" fontId="25" fillId="8" borderId="51" xfId="23" applyNumberFormat="true" applyFont="true" applyFill="true" applyBorder="true" applyAlignment="true" applyProtection="true">
      <alignment horizontal="right" vertical="center" wrapText="true"/>
      <protection/>
    </xf>
    <xf numFmtId="308" fontId="25" fillId="7" borderId="51" xfId="23" applyFont="true" applyFill="true" applyBorder="true" applyAlignment="true" applyProtection="true">
      <alignment horizontal="left" vertical="center"/>
      <protection/>
    </xf>
    <xf numFmtId="9" fontId="25" fillId="8" borderId="51" xfId="23" applyNumberFormat="true" applyFont="true" applyFill="true" applyBorder="true" applyAlignment="true" applyProtection="true">
      <alignment horizontal="right" vertical="center" wrapText="true"/>
      <protection/>
    </xf>
    <xf numFmtId="9" fontId="25" fillId="9" borderId="51" xfId="23" applyNumberFormat="true" applyFont="true" applyFill="true" applyBorder="true" applyAlignment="true" applyProtection="true">
      <alignment horizontal="right" vertical="center" wrapText="true"/>
      <protection locked="false"/>
    </xf>
    <xf numFmtId="9" fontId="25" fillId="7" borderId="51" xfId="23" applyNumberFormat="true" applyFont="true" applyFill="true" applyBorder="true" applyAlignment="true" applyProtection="true">
      <alignment horizontal="right" vertical="center" wrapText="true"/>
      <protection locked="false"/>
    </xf>
    <xf numFmtId="300" fontId="25" fillId="7" borderId="51" xfId="23" applyNumberFormat="true" applyFont="true" applyFill="true" applyBorder="true" applyAlignment="true" applyProtection="true">
      <alignment horizontal="right" vertical="center"/>
      <protection/>
    </xf>
    <xf numFmtId="300" fontId="25" fillId="7" borderId="51" xfId="23" applyNumberFormat="true" applyFont="true" applyFill="true" applyBorder="true" applyAlignment="true" applyProtection="true">
      <alignment horizontal="left" vertical="center" wrapText="true"/>
      <protection/>
    </xf>
    <xf numFmtId="300" fontId="26" fillId="7" borderId="64" xfId="23" applyNumberFormat="true" applyFont="true" applyFill="true" applyAlignment="true" applyProtection="true">
      <alignment horizontal="left" vertical="center"/>
      <protection/>
    </xf>
    <xf numFmtId="300" fontId="25" fillId="8" borderId="51" xfId="23" applyNumberFormat="true" applyFont="true" applyFill="true" applyBorder="true" applyAlignment="true" applyProtection="true">
      <alignment horizontal="right" vertical="center"/>
      <protection/>
    </xf>
    <xf numFmtId="2" fontId="25" fillId="7" borderId="51" xfId="23" applyNumberFormat="true" applyFont="true" applyFill="true" applyBorder="true" applyAlignment="true" applyProtection="true">
      <alignment horizontal="left" vertical="center"/>
      <protection/>
    </xf>
    <xf numFmtId="300" fontId="25" fillId="6" borderId="51" xfId="23" applyNumberFormat="true" applyFont="true" applyFill="true" applyBorder="true" applyAlignment="true" applyProtection="true">
      <alignment horizontal="right" vertical="center" wrapText="true"/>
      <protection locked="false"/>
    </xf>
    <xf numFmtId="300" fontId="25" fillId="7" borderId="51" xfId="23" applyNumberFormat="true" applyFont="true" applyFill="true" applyBorder="true" applyAlignment="true" applyProtection="true">
      <alignment horizontal="right" vertical="center" wrapText="true"/>
      <protection locked="false"/>
    </xf>
    <xf numFmtId="308" fontId="4" fillId="7" borderId="51" xfId="23" applyFont="true" applyFill="true" applyBorder="true" applyAlignment="true" applyProtection="true">
      <alignment horizontal="left" vertical="center"/>
      <protection/>
    </xf>
    <xf numFmtId="300" fontId="25" fillId="8" borderId="51" xfId="23" applyNumberFormat="true" applyFont="true" applyFill="true" applyBorder="true" applyAlignment="true" applyProtection="true">
      <alignment horizontal="right" vertical="center" wrapText="true"/>
      <protection locked="false"/>
    </xf>
    <xf numFmtId="308" fontId="25" fillId="7" borderId="51" xfId="23" applyFont="true" applyFill="true" applyBorder="true" applyAlignment="true" applyProtection="true">
      <alignment vertical="center"/>
      <protection/>
    </xf>
    <xf numFmtId="308" fontId="25" fillId="7" borderId="51" xfId="23" applyFont="true" applyFill="true" applyBorder="true" applyAlignment="true" applyProtection="true">
      <alignment horizontal="centerContinuous" vertical="center"/>
      <protection/>
    </xf>
    <xf numFmtId="308" fontId="25" fillId="7" borderId="51" xfId="23" applyFont="true" applyFill="true" applyBorder="true" applyAlignment="true" applyProtection="true">
      <alignment horizontal="center" vertical="center"/>
      <protection/>
    </xf>
    <xf numFmtId="2" fontId="25" fillId="7" borderId="51" xfId="23" applyNumberFormat="true" applyFont="true" applyFill="true" applyBorder="true" applyAlignment="true" applyProtection="true">
      <alignment vertical="center" wrapText="true"/>
      <protection/>
    </xf>
    <xf numFmtId="10" fontId="25" fillId="9" borderId="51" xfId="23" applyNumberFormat="true" applyFont="true" applyFill="true" applyBorder="true" applyAlignment="true" applyProtection="true">
      <alignment horizontal="center" vertical="center" wrapText="true"/>
      <protection locked="false"/>
    </xf>
    <xf numFmtId="300" fontId="25" fillId="9" borderId="51" xfId="23" applyNumberFormat="true" applyFont="true" applyFill="true" applyBorder="true" applyAlignment="true" applyProtection="true">
      <alignment horizontal="right" vertical="center" wrapText="true"/>
      <protection locked="false"/>
    </xf>
    <xf numFmtId="300" fontId="25" fillId="6" borderId="51" xfId="23" applyNumberFormat="true" applyFont="true" applyFill="true" applyBorder="true" applyAlignment="true" applyProtection="true">
      <alignment horizontal="right" vertical="center" wrapText="true"/>
      <protection/>
    </xf>
    <xf numFmtId="308" fontId="25" fillId="7" borderId="51" xfId="23" applyFont="true" applyFill="true" applyBorder="true" applyAlignment="true" applyProtection="true">
      <alignment vertical="center"/>
      <protection locked="false"/>
    </xf>
    <xf numFmtId="10" fontId="25" fillId="6" borderId="51" xfId="23" applyNumberFormat="true" applyFont="true" applyFill="true" applyBorder="true" applyAlignment="true" applyProtection="true">
      <alignment horizontal="center" vertical="center" wrapText="true"/>
      <protection locked="false"/>
    </xf>
    <xf numFmtId="2" fontId="25" fillId="7" borderId="51" xfId="23" applyNumberFormat="true" applyFont="true" applyFill="true" applyBorder="true" applyAlignment="true" applyProtection="true">
      <alignment horizontal="center" vertical="center" wrapText="true"/>
      <protection/>
    </xf>
    <xf numFmtId="301" fontId="25" fillId="7" borderId="51" xfId="23" applyNumberFormat="true" applyFont="true" applyFill="true" applyBorder="true" applyAlignment="true" applyProtection="true">
      <alignment horizontal="center" vertical="center" wrapText="true"/>
      <protection locked="false"/>
    </xf>
    <xf numFmtId="2" fontId="25" fillId="6" borderId="51" xfId="23" applyNumberFormat="true" applyFont="true" applyFill="true" applyBorder="true" applyAlignment="true" applyProtection="true">
      <alignment horizontal="center" vertical="center" wrapText="true"/>
      <protection/>
    </xf>
    <xf numFmtId="10" fontId="25" fillId="7" borderId="51" xfId="23" applyNumberFormat="true" applyFont="true" applyFill="true" applyBorder="true" applyAlignment="true" applyProtection="true">
      <alignment horizontal="center" vertical="center"/>
      <protection/>
    </xf>
    <xf numFmtId="308" fontId="24" fillId="8" borderId="55" xfId="23" applyFont="true" applyFill="true" applyBorder="true" applyAlignment="true" applyProtection="true">
      <alignment horizontal="right" vertical="center"/>
      <protection/>
    </xf>
    <xf numFmtId="308" fontId="24" fillId="8" borderId="56" xfId="23" applyFont="true" applyFill="true" applyBorder="true" applyAlignment="true" applyProtection="true">
      <alignment horizontal="right" vertical="center"/>
      <protection/>
    </xf>
    <xf numFmtId="10" fontId="24" fillId="8" borderId="51" xfId="23" applyNumberFormat="true" applyFont="true" applyFill="true" applyBorder="true" applyAlignment="true" applyProtection="true">
      <alignment horizontal="right" vertical="center" wrapText="true"/>
      <protection/>
    </xf>
    <xf numFmtId="308" fontId="25" fillId="0" borderId="51" xfId="0" applyFont="true" applyBorder="true" applyAlignment="true">
      <alignment horizontal="left" vertical="center"/>
      <protection/>
    </xf>
    <xf numFmtId="308" fontId="24" fillId="7" borderId="51" xfId="0" applyFont="true" applyFill="true" applyBorder="true">
      <alignment vertical="center"/>
      <protection/>
    </xf>
    <xf numFmtId="10" fontId="43" fillId="8" borderId="51" xfId="0" applyNumberFormat="true" applyFont="true" applyFill="true" applyBorder="true" applyAlignment="true" applyProtection="true">
      <alignment horizontal="center" vertical="center"/>
      <protection locked="false"/>
    </xf>
    <xf numFmtId="10" fontId="24" fillId="8" borderId="51" xfId="0" applyNumberFormat="true" applyFont="true" applyFill="true" applyBorder="true" applyAlignment="true" applyProtection="true">
      <alignment horizontal="right" vertical="center"/>
      <protection locked="false"/>
    </xf>
    <xf numFmtId="308" fontId="25" fillId="7" borderId="51" xfId="0" applyFont="true" applyFill="true" applyBorder="true" applyAlignment="true">
      <alignment horizontal="right" vertical="center"/>
      <protection/>
    </xf>
    <xf numFmtId="300" fontId="25" fillId="0" borderId="64" xfId="0" applyNumberFormat="true" applyFont="true">
      <alignment vertical="center"/>
      <protection/>
    </xf>
    <xf numFmtId="308" fontId="28" fillId="4" borderId="64" xfId="81" applyFont="true" applyFill="true" applyAlignment="true" applyProtection="true">
      <alignment horizontal="centerContinuous" vertical="center"/>
      <protection/>
    </xf>
    <xf numFmtId="308" fontId="4" fillId="4" borderId="64" xfId="81" applyFont="true" applyFill="true" applyAlignment="true" applyProtection="true">
      <alignment horizontal="centerContinuous" vertical="center"/>
      <protection/>
    </xf>
    <xf numFmtId="308" fontId="16" fillId="4" borderId="64" xfId="81" applyFont="true" applyFill="true" applyProtection="true">
      <alignment/>
      <protection/>
    </xf>
    <xf numFmtId="308" fontId="16" fillId="4" borderId="64" xfId="81" applyFont="true" applyFill="true" applyAlignment="true" applyProtection="true">
      <alignment horizontal="center" vertical="center"/>
      <protection/>
    </xf>
    <xf numFmtId="308" fontId="4" fillId="4" borderId="64" xfId="81" applyFont="true" applyFill="true" applyProtection="true">
      <alignment/>
      <protection/>
    </xf>
    <xf numFmtId="308" fontId="16" fillId="4" borderId="51" xfId="81" applyFont="true" applyFill="true" applyBorder="true" applyAlignment="true" applyProtection="true">
      <alignment horizontal="center" vertical="center" wrapText="true"/>
      <protection/>
    </xf>
    <xf numFmtId="308" fontId="16" fillId="4" borderId="51" xfId="81" applyFont="true" applyFill="true" applyBorder="true" applyAlignment="true" applyProtection="true">
      <alignment horizontal="left" vertical="center"/>
      <protection/>
    </xf>
    <xf numFmtId="300" fontId="16" fillId="2" borderId="51" xfId="81" applyNumberFormat="true" applyFont="true" applyFill="true" applyBorder="true" applyAlignment="true" applyProtection="true">
      <alignment horizontal="right" vertical="center"/>
      <protection locked="false"/>
    </xf>
    <xf numFmtId="301" fontId="16" fillId="2" borderId="51" xfId="81" applyNumberFormat="true" applyFont="true" applyFill="true" applyBorder="true" applyAlignment="true" applyProtection="true">
      <alignment horizontal="right" vertical="center"/>
      <protection locked="false"/>
    </xf>
    <xf numFmtId="10" fontId="16" fillId="2" borderId="51" xfId="61" applyNumberFormat="true" applyFont="true" applyFill="true" applyBorder="true" applyAlignment="true" applyProtection="true">
      <alignment horizontal="right" vertical="center"/>
      <protection locked="false"/>
    </xf>
    <xf numFmtId="300" fontId="16" fillId="4" borderId="51" xfId="81" applyNumberFormat="true" applyFont="true" applyFill="true" applyBorder="true" applyAlignment="true" applyProtection="true">
      <alignment horizontal="right" vertical="center"/>
      <protection/>
    </xf>
    <xf numFmtId="10" fontId="16" fillId="2" borderId="51" xfId="81" applyNumberFormat="true" applyFont="true" applyFill="true" applyBorder="true" applyAlignment="true" applyProtection="true">
      <alignment horizontal="right" vertical="center"/>
      <protection locked="false"/>
    </xf>
    <xf numFmtId="308" fontId="16" fillId="4" borderId="64" xfId="81" applyFont="true" applyFill="true" applyAlignment="true" applyProtection="true">
      <alignment horizontal="right" vertical="center"/>
      <protection/>
    </xf>
    <xf numFmtId="308" fontId="16" fillId="3" borderId="51" xfId="81" applyFont="true" applyFill="true" applyBorder="true" applyAlignment="true" applyProtection="true">
      <alignment horizontal="center" vertical="center" wrapText="true"/>
      <protection/>
    </xf>
    <xf numFmtId="308" fontId="16" fillId="3" borderId="51" xfId="81" applyFont="true" applyFill="true" applyBorder="true" applyAlignment="true" applyProtection="true">
      <alignment horizontal="right" vertical="center"/>
      <protection/>
    </xf>
    <xf numFmtId="308" fontId="16" fillId="0" borderId="51" xfId="0" applyFont="true" applyBorder="true" applyAlignment="true">
      <alignment horizontal="center" vertical="center" wrapText="true"/>
      <protection/>
    </xf>
    <xf numFmtId="308" fontId="16" fillId="4" borderId="51" xfId="81" applyFont="true" applyFill="true" applyBorder="true" applyAlignment="true" applyProtection="true">
      <alignment horizontal="left" vertical="center" wrapText="true"/>
      <protection/>
    </xf>
    <xf numFmtId="301" fontId="16" fillId="2" borderId="51" xfId="0" applyNumberFormat="true" applyFont="true" applyFill="true" applyBorder="true" applyAlignment="true" applyProtection="true">
      <alignment horizontal="right" vertical="center"/>
      <protection locked="false"/>
    </xf>
    <xf numFmtId="10" fontId="16" fillId="2" borderId="51" xfId="0" applyNumberFormat="true" applyFont="true" applyFill="true" applyBorder="true" applyAlignment="true" applyProtection="true">
      <alignment horizontal="right" vertical="center"/>
      <protection locked="false"/>
    </xf>
    <xf numFmtId="300" fontId="16" fillId="4" borderId="51" xfId="81" applyNumberFormat="true" applyFont="true" applyFill="true" applyBorder="true" applyAlignment="true" applyProtection="true">
      <alignment horizontal="right" vertical="center" wrapText="true"/>
      <protection/>
    </xf>
    <xf numFmtId="300" fontId="16" fillId="0" borderId="51" xfId="0" applyNumberFormat="true" applyFont="true" applyBorder="true" applyAlignment="true">
      <alignment horizontal="right" vertical="center" wrapText="true"/>
      <protection/>
    </xf>
    <xf numFmtId="10" fontId="16" fillId="4" borderId="51" xfId="61" applyNumberFormat="true" applyFont="true" applyFill="true" applyBorder="true" applyAlignment="true">
      <alignment horizontal="right" vertical="center"/>
    </xf>
    <xf numFmtId="300" fontId="16" fillId="3" borderId="51" xfId="81" applyNumberFormat="true" applyFont="true" applyFill="true" applyBorder="true" applyAlignment="true" applyProtection="true">
      <alignment horizontal="right" vertical="center"/>
      <protection/>
    </xf>
    <xf numFmtId="49" fontId="16" fillId="2" borderId="51" xfId="81" applyNumberFormat="true" applyFont="true" applyFill="true" applyBorder="true" applyAlignment="true" applyProtection="true">
      <alignment horizontal="left" vertical="center" wrapText="true"/>
      <protection/>
    </xf>
    <xf numFmtId="308" fontId="16" fillId="4" borderId="51" xfId="81" applyFont="true" applyFill="true" applyBorder="true" applyAlignment="true" applyProtection="true">
      <alignment horizontal="center" vertical="center"/>
      <protection/>
    </xf>
    <xf numFmtId="49" fontId="16" fillId="2" borderId="51" xfId="81" applyNumberFormat="true" applyFont="true" applyFill="true" applyBorder="true" applyAlignment="true" applyProtection="true">
      <alignment horizontal="left" vertical="center"/>
      <protection locked="false"/>
    </xf>
    <xf numFmtId="49" fontId="16" fillId="2" borderId="51" xfId="0" applyNumberFormat="true" applyFont="true" applyFill="true" applyBorder="true" applyAlignment="true" applyProtection="true">
      <alignment horizontal="left" vertical="center"/>
      <protection locked="false"/>
    </xf>
    <xf numFmtId="300" fontId="16" fillId="3" borderId="51" xfId="81" applyNumberFormat="true" applyFont="true" applyFill="true" applyBorder="true" applyAlignment="true" applyProtection="true">
      <alignment horizontal="right" vertical="center" wrapText="true"/>
      <protection/>
    </xf>
    <xf numFmtId="308" fontId="4" fillId="4" borderId="51" xfId="81" applyFont="true" applyFill="true" applyBorder="true" applyAlignment="true" applyProtection="true">
      <alignment horizontal="left" vertical="center"/>
      <protection/>
    </xf>
    <xf numFmtId="308" fontId="4" fillId="0" borderId="51" xfId="0" applyFont="true" applyBorder="true" applyAlignment="true">
      <alignment horizontal="left" vertical="center"/>
      <protection/>
    </xf>
    <xf numFmtId="308" fontId="16" fillId="4" borderId="64" xfId="81" applyFont="true" applyFill="true" applyAlignment="true" applyProtection="true">
      <alignment horizontal="left" vertical="center"/>
      <protection/>
    </xf>
    <xf numFmtId="308" fontId="44" fillId="6" borderId="64" xfId="0" applyFill="true" applyAlignment="true">
      <alignment horizontal="left"/>
      <protection/>
    </xf>
    <xf numFmtId="308" fontId="44" fillId="0" borderId="64" xfId="0" applyAlignment="true">
      <alignment horizontal="left"/>
      <protection/>
    </xf>
    <xf numFmtId="308" fontId="44" fillId="11" borderId="64" xfId="0" applyFill="true">
      <alignment vertical="center"/>
      <protection/>
    </xf>
    <xf numFmtId="308" fontId="44" fillId="12" borderId="64" xfId="0" applyFill="true">
      <alignment vertical="center"/>
      <protection/>
    </xf>
    <xf numFmtId="308" fontId="24" fillId="0" borderId="64" xfId="0" applyFont="true" applyAlignment="true">
      <alignment horizontal="centerContinuous" vertical="center"/>
      <protection/>
    </xf>
    <xf numFmtId="308" fontId="25" fillId="4" borderId="58" xfId="91" applyFont="true" applyFill="true" applyBorder="true" applyAlignment="true" applyProtection="true">
      <alignment horizontal="center" vertical="center"/>
      <protection/>
    </xf>
    <xf numFmtId="308" fontId="25" fillId="4" borderId="59" xfId="91" applyFont="true" applyFill="true" applyBorder="true" applyAlignment="true" applyProtection="true">
      <alignment horizontal="center" vertical="center"/>
      <protection/>
    </xf>
    <xf numFmtId="308" fontId="25" fillId="0" borderId="59" xfId="0" applyFont="true" applyBorder="true">
      <alignment vertical="center"/>
      <protection/>
    </xf>
    <xf numFmtId="308" fontId="25" fillId="4" borderId="53" xfId="91" applyFont="true" applyFill="true" applyBorder="true" applyAlignment="true" applyProtection="true">
      <alignment horizontal="center" vertical="center"/>
      <protection/>
    </xf>
    <xf numFmtId="308" fontId="25" fillId="13" borderId="51" xfId="91" applyFont="true" applyBorder="true" applyAlignment="true" applyProtection="true">
      <alignment vertical="center"/>
      <protection/>
    </xf>
    <xf numFmtId="300" fontId="25" fillId="13" borderId="51" xfId="91" applyNumberFormat="true" applyFont="true" applyBorder="true" applyAlignment="true" applyProtection="true">
      <alignment horizontal="right" vertical="center"/>
      <protection/>
    </xf>
    <xf numFmtId="308" fontId="24" fillId="0" borderId="51" xfId="0" applyFont="true" applyBorder="true" applyAlignment="true">
      <alignment horizontal="left"/>
      <protection/>
    </xf>
    <xf numFmtId="308" fontId="25" fillId="0" borderId="51" xfId="0" applyFont="true" applyBorder="true" applyAlignment="true">
      <alignment horizontal="left"/>
      <protection/>
    </xf>
    <xf numFmtId="308" fontId="24" fillId="0" borderId="51" xfId="0" applyFont="true" applyBorder="true" applyAlignment="true">
      <alignment horizontal="left" vertical="center"/>
      <protection/>
    </xf>
    <xf numFmtId="10" fontId="24" fillId="8" borderId="51" xfId="91" applyNumberFormat="true" applyFont="true" applyFill="true" applyBorder="true" applyAlignment="true" applyProtection="true">
      <alignment horizontal="right" vertical="center"/>
      <protection/>
    </xf>
    <xf numFmtId="300" fontId="24" fillId="8" borderId="51" xfId="91" applyNumberFormat="true" applyFont="true" applyFill="true" applyBorder="true" applyAlignment="true" applyProtection="true">
      <alignment horizontal="right" vertical="center"/>
      <protection/>
    </xf>
    <xf numFmtId="49" fontId="24" fillId="4" borderId="51" xfId="91" applyNumberFormat="true" applyFont="true" applyFill="true" applyBorder="true" applyAlignment="true" applyProtection="true">
      <alignment horizontal="left" vertical="center"/>
      <protection/>
    </xf>
    <xf numFmtId="300" fontId="24" fillId="13" borderId="51" xfId="91" applyNumberFormat="true" applyFont="true" applyBorder="true" applyAlignment="true" applyProtection="true">
      <alignment horizontal="right" vertical="center"/>
      <protection/>
    </xf>
    <xf numFmtId="308" fontId="24" fillId="4" borderId="63" xfId="0" applyFont="true" applyFill="true" applyBorder="true" applyAlignment="true">
      <alignment horizontal="left"/>
      <protection/>
    </xf>
    <xf numFmtId="308" fontId="24" fillId="4" borderId="64" xfId="0" applyFont="true" applyFill="true" applyAlignment="true">
      <alignment horizontal="centerContinuous" vertical="center"/>
      <protection/>
    </xf>
    <xf numFmtId="308" fontId="25" fillId="4" borderId="64" xfId="0" applyFont="true" applyFill="true" applyAlignment="true">
      <alignment horizontal="centerContinuous" vertical="center"/>
      <protection/>
    </xf>
    <xf numFmtId="308" fontId="16" fillId="0" borderId="64" xfId="0" applyFont="true" applyAlignment="true">
      <alignment/>
      <protection/>
    </xf>
    <xf numFmtId="308" fontId="25" fillId="4" borderId="64" xfId="0" applyFont="true" applyFill="true" applyAlignment="true">
      <alignment horizontal="center" vertical="center"/>
      <protection/>
    </xf>
    <xf numFmtId="301" fontId="25" fillId="6" borderId="51" xfId="0" applyNumberFormat="true" applyFont="true" applyFill="true" applyBorder="true" applyAlignment="true" applyProtection="true">
      <alignment horizontal="center" vertical="center"/>
      <protection locked="false"/>
    </xf>
    <xf numFmtId="9" fontId="25" fillId="8" borderId="51" xfId="0" applyNumberFormat="true" applyFont="true" applyFill="true" applyBorder="true" applyAlignment="true" applyProtection="true">
      <alignment horizontal="center" vertical="center"/>
      <protection/>
    </xf>
    <xf numFmtId="308" fontId="25" fillId="0" borderId="51" xfId="0" applyFont="true" applyBorder="true" applyAlignment="true" applyProtection="true">
      <alignment horizontal="center" vertical="center"/>
      <protection/>
    </xf>
    <xf numFmtId="49" fontId="25" fillId="0" borderId="51" xfId="0" applyNumberFormat="true" applyFont="true" applyBorder="true" applyAlignment="true">
      <alignment horizontal="left" vertical="center"/>
      <protection/>
    </xf>
    <xf numFmtId="49" fontId="25" fillId="0" borderId="51" xfId="0" applyNumberFormat="true" applyFont="true" applyBorder="true" applyAlignment="true">
      <alignment horizontal="center" vertical="center"/>
      <protection/>
    </xf>
    <xf numFmtId="308" fontId="25" fillId="13" borderId="64" xfId="0" applyNumberFormat="true" applyFont="true" applyFill="true" applyBorder="true" applyAlignment="true">
      <alignment vertical="center"/>
      <protection/>
    </xf>
    <xf numFmtId="308" fontId="25" fillId="13" borderId="64" xfId="0" applyNumberFormat="true" applyFont="true" applyFill="true" applyBorder="true" applyAlignment="true">
      <alignment wrapText="true"/>
      <protection/>
    </xf>
    <xf numFmtId="308" fontId="16" fillId="13" borderId="64" xfId="0" applyNumberFormat="true" applyFont="true" applyFill="true" applyBorder="true" applyAlignment="true">
      <alignment wrapText="true"/>
      <protection/>
    </xf>
    <xf numFmtId="308" fontId="24" fillId="13" borderId="64" xfId="0" applyNumberFormat="true" applyFont="true" applyFill="true" applyBorder="true" applyAlignment="true">
      <alignment wrapText="true"/>
      <protection/>
    </xf>
    <xf numFmtId="308" fontId="25" fillId="6" borderId="64" xfId="0" applyNumberFormat="true" applyFont="true" applyFill="true" applyBorder="true" applyAlignment="true">
      <alignment wrapText="true"/>
      <protection/>
    </xf>
    <xf numFmtId="300" fontId="25" fillId="13" borderId="64" xfId="0" applyNumberFormat="true" applyFont="true" applyFill="true" applyBorder="true" applyAlignment="true">
      <alignment wrapText="true"/>
      <protection/>
    </xf>
    <xf numFmtId="308" fontId="16" fillId="4" borderId="64" xfId="81" applyNumberFormat="true" applyFont="true" applyFill="true" applyBorder="true" applyAlignment="true" applyProtection="true">
      <alignment horizontal="right" vertical="center"/>
      <protection/>
    </xf>
    <xf numFmtId="308" fontId="16" fillId="4" borderId="64" xfId="81" applyNumberFormat="true" applyFont="true" applyFill="true" applyBorder="true" applyAlignment="true" applyProtection="true">
      <alignment horizontal="center" vertical="center"/>
      <protection/>
    </xf>
    <xf numFmtId="308" fontId="16" fillId="4" borderId="64" xfId="81" applyNumberFormat="true" applyFont="true" applyFill="true" applyBorder="true" applyAlignment="true" applyProtection="true">
      <alignment/>
      <protection/>
    </xf>
    <xf numFmtId="308" fontId="16" fillId="13" borderId="64" xfId="0" applyNumberFormat="true" applyFont="true" applyFill="true" applyBorder="true" applyAlignment="true">
      <alignment vertical="center"/>
      <protection/>
    </xf>
    <xf numFmtId="309" fontId="16" fillId="13" borderId="64" xfId="0" applyNumberFormat="true" applyFont="true" applyFill="true" applyBorder="true" applyAlignment="true">
      <alignment vertical="center"/>
      <protection/>
    </xf>
    <xf numFmtId="308" fontId="25" fillId="13" borderId="64" xfId="0" applyNumberFormat="true" applyFont="true" applyFill="true" applyBorder="true" applyAlignment="true">
      <alignment vertical="center" wrapText="true"/>
      <protection/>
    </xf>
    <xf numFmtId="308" fontId="44" fillId="13" borderId="64" xfId="0" applyNumberFormat="true" applyFill="true" applyBorder="true" applyAlignment="true">
      <alignment vertical="center"/>
      <protection/>
    </xf>
    <xf numFmtId="308" fontId="44" fillId="13" borderId="64" xfId="89" applyNumberFormat="true" applyFill="true" applyBorder="true" applyAlignment="true" applyProtection="true">
      <alignment/>
      <protection/>
    </xf>
    <xf numFmtId="308" fontId="44" fillId="13" borderId="64" xfId="0" applyNumberFormat="true" applyFill="true" applyBorder="true" applyAlignment="true">
      <alignment vertical="center" wrapText="true"/>
      <protection/>
    </xf>
    <xf numFmtId="308" fontId="44" fillId="13" borderId="64" xfId="0" applyNumberFormat="true" applyFill="true" applyBorder="true" applyAlignment="true">
      <alignment horizontal="center" vertical="center"/>
      <protection/>
    </xf>
    <xf numFmtId="308" fontId="37" fillId="13" borderId="64" xfId="0" applyNumberFormat="true" applyFont="true" applyFill="true" applyBorder="true" applyAlignment="true">
      <alignment vertical="center"/>
      <protection/>
    </xf>
    <xf numFmtId="308" fontId="38" fillId="13" borderId="64" xfId="0" applyNumberFormat="true" applyFont="true" applyFill="true" applyBorder="true" applyAlignment="true">
      <alignment horizontal="center" vertical="center"/>
      <protection/>
    </xf>
    <xf numFmtId="309" fontId="44" fillId="13" borderId="64" xfId="0" applyNumberFormat="true" applyFill="true" applyBorder="true" applyAlignment="true" applyProtection="true">
      <alignment vertical="center"/>
      <protection locked="false"/>
    </xf>
    <xf numFmtId="308" fontId="44" fillId="13" borderId="64" xfId="0" applyNumberFormat="true" applyFill="true" applyBorder="true" applyAlignment="true" applyProtection="true">
      <alignment vertical="center"/>
      <protection locked="false"/>
    </xf>
    <xf numFmtId="308" fontId="44" fillId="6" borderId="64" xfId="0" applyNumberFormat="true" applyFill="true" applyBorder="true" applyAlignment="true">
      <alignment vertical="center"/>
      <protection/>
    </xf>
  </cellXfs>
  <cellStyles>
    <cellStyle name="Normal" xfId="0" builtinId="0"/>
    <cellStyle name="20% - 强调文字颜色 5" xfId="1"/>
    <cellStyle name="Heading 3" xfId="2"/>
    <cellStyle name="标题 3" xfId="3"/>
    <cellStyle name="计算" xfId="4"/>
    <cellStyle name="Input" xfId="5"/>
    <cellStyle name="60% - 强调文字颜色 4" xfId="6"/>
    <cellStyle name="输出" xfId="7"/>
    <cellStyle name="60% - 强调文字颜色 1" xfId="8"/>
    <cellStyle name="Linked Cell" xfId="9"/>
    <cellStyle name="20% - 强调文字颜色 3" xfId="10"/>
    <cellStyle name="Neutral" xfId="11"/>
    <cellStyle name="输入" xfId="12"/>
    <cellStyle name="Note" xfId="13"/>
    <cellStyle name="20% - Accent4" xfId="14"/>
    <cellStyle name="Output" xfId="15"/>
    <cellStyle name="40% - 强调文字颜色 3" xfId="16"/>
    <cellStyle name="Title" xfId="17"/>
    <cellStyle name="差" xfId="18"/>
    <cellStyle name="常规 2" xfId="19"/>
    <cellStyle name="60% - 强调文字颜色 3" xfId="20"/>
    <cellStyle name="Total" xfId="21"/>
    <cellStyle name="40% - Accent6" xfId="22"/>
    <cellStyle name="常规_Sheet1_Sheet3" xfId="23"/>
    <cellStyle name="注释" xfId="24"/>
    <cellStyle name="60% - Accent3" xfId="25"/>
    <cellStyle name="常规 2 3" xfId="26"/>
    <cellStyle name="60% - 强调文字颜色 5" xfId="27"/>
    <cellStyle name="40% - 强调文字颜色 5" xfId="28"/>
    <cellStyle name="强调文字颜色 1" xfId="29"/>
    <cellStyle name="20% - 强调文字颜色 1" xfId="30"/>
    <cellStyle name="20% - Accent2" xfId="31"/>
    <cellStyle name="强调文字颜色 6" xfId="32"/>
    <cellStyle name="样式 1" xfId="33"/>
    <cellStyle name="标题 2" xfId="34"/>
    <cellStyle name="Bad" xfId="35"/>
    <cellStyle name="40% - 强调文字颜色 1" xfId="36"/>
    <cellStyle name="Calculation" xfId="37"/>
    <cellStyle name="20% - 强调文字颜色 2" xfId="38"/>
    <cellStyle name="Check Cell" xfId="39"/>
    <cellStyle name="20% - Accent3" xfId="40"/>
    <cellStyle name="40% - 强调文字颜色 6" xfId="41"/>
    <cellStyle name="强调文字颜色 2" xfId="42"/>
    <cellStyle name="Good" xfId="43"/>
    <cellStyle name="Followed Hyperlink" xfId="44" builtinId="9"/>
    <cellStyle name="40% - 强调文字颜色 4" xfId="45"/>
    <cellStyle name="强调文字颜色 5" xfId="46"/>
    <cellStyle name="60% - Accent2" xfId="47"/>
    <cellStyle name="20% - Accent6" xfId="48"/>
    <cellStyle name="60% - Accent1" xfId="49"/>
    <cellStyle name="Hyperlink" xfId="50" builtinId="8"/>
    <cellStyle name="20% - 强调文字颜色 6" xfId="51"/>
    <cellStyle name="Explanatory Text" xfId="52"/>
    <cellStyle name="Comma" xfId="53" builtinId="3"/>
    <cellStyle name="40% - 强调文字颜色 2" xfId="54"/>
    <cellStyle name="20% - Accent5" xfId="55"/>
    <cellStyle name="Currency [0]" xfId="56" builtinId="7"/>
    <cellStyle name="检查单元格" xfId="57"/>
    <cellStyle name="20% - 强调文字颜色 4" xfId="58"/>
    <cellStyle name="Comma [0]" xfId="59" builtinId="6"/>
    <cellStyle name="强调文字颜色 4" xfId="60"/>
    <cellStyle name="Percent" xfId="61" builtinId="5"/>
    <cellStyle name="60% - 强调文字颜色 6" xfId="62"/>
    <cellStyle name="强调文字颜色 3" xfId="63"/>
    <cellStyle name="Currency" xfId="64" builtinId="4"/>
    <cellStyle name="20% - Accent1" xfId="65"/>
    <cellStyle name="适中" xfId="66"/>
    <cellStyle name="Accent2" xfId="67"/>
    <cellStyle name="Accent3" xfId="68"/>
    <cellStyle name="常规_Sheet1_1" xfId="69"/>
    <cellStyle name="Accent4" xfId="70"/>
    <cellStyle name="Accent6" xfId="71"/>
    <cellStyle name="Accent5" xfId="72"/>
    <cellStyle name="好" xfId="73"/>
    <cellStyle name="Accent1" xfId="74"/>
    <cellStyle name="汇总" xfId="75"/>
    <cellStyle name="60% - Accent6" xfId="76"/>
    <cellStyle name="链接单元格" xfId="77"/>
    <cellStyle name="60% - Accent5" xfId="78"/>
    <cellStyle name="60% - Accent4" xfId="79"/>
    <cellStyle name="40% - Accent5" xfId="80"/>
    <cellStyle name="常规_客户综合利润贡献度测算表（修正）" xfId="81"/>
    <cellStyle name="40% - Accent4" xfId="82"/>
    <cellStyle name="40% - Accent3" xfId="83"/>
    <cellStyle name="40% - Accent2" xfId="84"/>
    <cellStyle name="40% - Accent1" xfId="85"/>
    <cellStyle name="Heading 1" xfId="86"/>
    <cellStyle name="Heading 2" xfId="87"/>
    <cellStyle name="Heading 4" xfId="88"/>
    <cellStyle name="常规_Book1" xfId="89"/>
    <cellStyle name="标题 4" xfId="90"/>
    <cellStyle name="常规_Sheet1" xfId="91"/>
    <cellStyle name="警告文本" xfId="92"/>
    <cellStyle name="常规_Sheet1_Book1" xfId="93"/>
    <cellStyle name="标题" xfId="94"/>
    <cellStyle name="常规_Sheet2" xfId="95"/>
    <cellStyle name="解释性文本" xfId="96"/>
    <cellStyle name="常规_Sheet3" xfId="97"/>
    <cellStyle name="标题 1" xfId="98"/>
    <cellStyle name="常规 4" xfId="99"/>
    <cellStyle name="60% - 强调文字颜色 2" xfId="100"/>
    <cellStyle name="Warning Text" xfId="101"/>
  </cellStyles>
</styleSheet>
</file>

<file path=xl/_rels/workbook.xml.rels><?xml version="1.0" encoding="UTF-8" standalone="yes"?><Relationships xmlns="http://schemas.openxmlformats.org/package/2006/relationships"><Relationship Id="rId9" Type="http://schemas.openxmlformats.org/officeDocument/2006/relationships/worksheet" Target="worksheets/sheet6.xml" /><Relationship Id="rId8" Type="http://schemas.openxmlformats.org/officeDocument/2006/relationships/worksheet" Target="worksheets/sheet5.xml" /><Relationship Id="rId7" Type="http://schemas.openxmlformats.org/officeDocument/2006/relationships/worksheet" Target="worksheets/sheet4.xml" /><Relationship Id="rId6" Type="http://schemas.openxmlformats.org/officeDocument/2006/relationships/worksheet" Target="worksheets/sheet3.xml" /><Relationship Id="rId5" Type="http://schemas.openxmlformats.org/officeDocument/2006/relationships/worksheet" Target="worksheets/sheet2.xml" /><Relationship Id="rId47" Type="http://schemas.openxmlformats.org/officeDocument/2006/relationships/externalLink" Target="externalLinks/externalLink1.xml" /><Relationship Id="rId45" Type="http://schemas.openxmlformats.org/officeDocument/2006/relationships/worksheet" Target="worksheets/sheet42.xml" /><Relationship Id="rId44" Type="http://schemas.openxmlformats.org/officeDocument/2006/relationships/worksheet" Target="worksheets/sheet41.xml" /><Relationship Id="rId22" Type="http://schemas.openxmlformats.org/officeDocument/2006/relationships/worksheet" Target="worksheets/sheet19.xml" /><Relationship Id="rId18" Type="http://schemas.openxmlformats.org/officeDocument/2006/relationships/worksheet" Target="worksheets/sheet15.xml" /><Relationship Id="rId33" Type="http://schemas.openxmlformats.org/officeDocument/2006/relationships/worksheet" Target="worksheets/sheet30.xml" /><Relationship Id="rId42" Type="http://schemas.openxmlformats.org/officeDocument/2006/relationships/worksheet" Target="worksheets/sheet39.xml" /><Relationship Id="rId21" Type="http://schemas.openxmlformats.org/officeDocument/2006/relationships/worksheet" Target="worksheets/sheet18.xml" /><Relationship Id="rId20" Type="http://schemas.openxmlformats.org/officeDocument/2006/relationships/worksheet" Target="worksheets/sheet17.xml" /><Relationship Id="rId32" Type="http://schemas.openxmlformats.org/officeDocument/2006/relationships/worksheet" Target="worksheets/sheet29.xml" /><Relationship Id="rId37" Type="http://schemas.openxmlformats.org/officeDocument/2006/relationships/worksheet" Target="worksheets/sheet34.xml" /><Relationship Id="rId14" Type="http://schemas.openxmlformats.org/officeDocument/2006/relationships/worksheet" Target="worksheets/sheet11.xml" /><Relationship Id="rId40" Type="http://schemas.openxmlformats.org/officeDocument/2006/relationships/worksheet" Target="worksheets/sheet37.xml" /><Relationship Id="rId19" Type="http://schemas.openxmlformats.org/officeDocument/2006/relationships/worksheet" Target="worksheets/sheet16.xml" /><Relationship Id="rId31" Type="http://schemas.openxmlformats.org/officeDocument/2006/relationships/worksheet" Target="worksheets/sheet28.xml" /><Relationship Id="rId43" Type="http://schemas.openxmlformats.org/officeDocument/2006/relationships/worksheet" Target="worksheets/sheet40.xml" /><Relationship Id="rId1" Type="http://schemas.openxmlformats.org/officeDocument/2006/relationships/theme" Target="theme/theme1.xml" /><Relationship Id="rId29" Type="http://schemas.openxmlformats.org/officeDocument/2006/relationships/worksheet" Target="worksheets/sheet26.xml" /><Relationship Id="rId26" Type="http://schemas.openxmlformats.org/officeDocument/2006/relationships/worksheet" Target="worksheets/sheet23.xml" /><Relationship Id="rId15" Type="http://schemas.openxmlformats.org/officeDocument/2006/relationships/worksheet" Target="worksheets/sheet12.xml" /><Relationship Id="rId36" Type="http://schemas.openxmlformats.org/officeDocument/2006/relationships/worksheet" Target="worksheets/sheet33.xml" /><Relationship Id="rId17" Type="http://schemas.openxmlformats.org/officeDocument/2006/relationships/worksheet" Target="worksheets/sheet14.xml" /><Relationship Id="rId11" Type="http://schemas.openxmlformats.org/officeDocument/2006/relationships/worksheet" Target="worksheets/sheet8.xml" /><Relationship Id="rId30" Type="http://schemas.openxmlformats.org/officeDocument/2006/relationships/worksheet" Target="worksheets/sheet27.xml" /><Relationship Id="rId0" Type="http://schemas.openxmlformats.org/officeDocument/2006/relationships/sharedStrings" Target="sharedStrings.xml" /><Relationship Id="rId10" Type="http://schemas.openxmlformats.org/officeDocument/2006/relationships/worksheet" Target="worksheets/sheet7.xml" /><Relationship Id="rId35" Type="http://schemas.openxmlformats.org/officeDocument/2006/relationships/worksheet" Target="worksheets/sheet32.xml" /><Relationship Id="rId46" Type="http://schemas.openxmlformats.org/officeDocument/2006/relationships/worksheet" Target="worksheets/sheet43.xml" /><Relationship Id="rId34" Type="http://schemas.openxmlformats.org/officeDocument/2006/relationships/worksheet" Target="worksheets/sheet31.xml" /><Relationship Id="rId12" Type="http://schemas.openxmlformats.org/officeDocument/2006/relationships/worksheet" Target="worksheets/sheet9.xml" /><Relationship Id="rId24" Type="http://schemas.openxmlformats.org/officeDocument/2006/relationships/worksheet" Target="worksheets/sheet21.xml" /><Relationship Id="rId41" Type="http://schemas.openxmlformats.org/officeDocument/2006/relationships/worksheet" Target="worksheets/sheet38.xml" /><Relationship Id="rId2" Type="http://schemas.openxmlformats.org/officeDocument/2006/relationships/styles" Target="styles.xml" /><Relationship Id="rId25" Type="http://schemas.openxmlformats.org/officeDocument/2006/relationships/worksheet" Target="worksheets/sheet22.xml" /><Relationship Id="rId27" Type="http://schemas.openxmlformats.org/officeDocument/2006/relationships/worksheet" Target="worksheets/sheet24.xml" /><Relationship Id="rId4" Type="http://schemas.openxmlformats.org/officeDocument/2006/relationships/worksheet" Target="worksheets/sheet1.xml" /><Relationship Id="rId23" Type="http://schemas.openxmlformats.org/officeDocument/2006/relationships/worksheet" Target="worksheets/sheet20.xml" /><Relationship Id="rId28" Type="http://schemas.openxmlformats.org/officeDocument/2006/relationships/worksheet" Target="worksheets/sheet25.xml" /><Relationship Id="rId3" Type="http://schemas.microsoft.com/office/2017/10/relationships/person" Target="persons/person.xml" /><Relationship Id="rId16" Type="http://schemas.openxmlformats.org/officeDocument/2006/relationships/worksheet" Target="worksheets/sheet13.xml" /><Relationship Id="rId38" Type="http://schemas.openxmlformats.org/officeDocument/2006/relationships/worksheet" Target="worksheets/sheet35.xml" /><Relationship Id="rId13" Type="http://schemas.openxmlformats.org/officeDocument/2006/relationships/worksheet" Target="worksheets/sheet10.xml" /><Relationship Id="rId39" Type="http://schemas.openxmlformats.org/officeDocument/2006/relationships/worksheet" Target="worksheets/sheet36.xml" /></Relationships>
</file>

<file path=xl/charts/chart1.xml><?xml version="1.0" encoding="utf-8"?>
<c:chartSpace xmlns:c="http://schemas.openxmlformats.org/drawingml/2006/chart" xmlns:a="http://schemas.openxmlformats.org/drawingml/2006/main">
  <c:roundedCorners val="false"/>
  <c:chart>
    <c:title>
      <c:tx>
        <c:rich>
          <a:bodyPr rot="0" vert="horz"/>
          <a:lstStyle/>
          <a:p>
            <a:pPr algn="ctr">
              <a:defRPr/>
            </a:pPr>
            <a:r>
              <a:rPr lang="en-US" sz="1200" b="false" i="false" u="none" baseline="0">
                <a:solidFill>
                  <a:srgbClr val="000000"/>
                </a:solidFill>
                <a:latin typeface="Times New Roman"/>
                <a:ea typeface="Times New Roman"/>
                <a:cs typeface="Times New Roman"/>
              </a:rPr>
              <a:t>敏感性分析图</a:t>
            </a:r>
          </a:p>
        </c:rich>
      </c:tx>
      <c:layout>
        <c:manualLayout>
          <c:xMode val="factor"/>
          <c:yMode val="factor"/>
          <c:x val="0"/>
          <c:y val="0"/>
        </c:manualLayout>
      </c:layout>
      <c:overlay val="false"/>
      <c:spPr>
        <a:noFill/>
        <a:ln w="3175">
          <a:noFill/>
        </a:ln>
      </c:spPr>
    </c:title>
    <c:autoTitleDeleted val="false"/>
    <c:plotArea>
      <c:layout>
        <c:manualLayout>
          <c:layoutTarget val="inner"/>
          <c:xMode val="edge"/>
          <c:yMode val="edge"/>
          <c:x val="0.25"/>
          <c:y val="0.158"/>
          <c:w val="0.478"/>
          <c:h val="0.55275"/>
        </c:manualLayout>
      </c:layout>
      <c:lineChart>
        <c:grouping val="standard"/>
        <c:varyColors val="false"/>
        <c:ser>
          <c:idx val="0"/>
          <c:order val="0"/>
          <c:tx>
            <c:strRef>
              <c:f>'辅助表7单因素敏感性分析表'!$B$5</c:f>
              <c:strCache>
                <c:ptCount val="1"/>
                <c:pt idx="0">
                  <c:v>建设投资</c:v>
                </c:pt>
              </c:strCache>
            </c:strRef>
          </c:tx>
          <c:spPr>
            <a:ln w="12700">
              <a:solidFill>
                <a:srgbClr val="000000"/>
              </a:solidFill>
            </a:ln>
          </c:spPr>
          <c:marker>
            <c:symbol val="none"/>
          </c:marker>
          <c:cat>
            <c:numRef>
              <c:f>'辅助表7单因素敏感性分析表'!$A$7:$A$15</c:f>
              <c:numCache/>
            </c:numRef>
          </c:cat>
          <c:val>
            <c:numRef>
              <c:f>'辅助表7单因素敏感性分析表'!$B$7:$B$15</c:f>
              <c:numCache/>
            </c:numRef>
          </c:val>
          <c:smooth val="false"/>
        </c:ser>
        <c:ser>
          <c:idx val="1"/>
          <c:order val="1"/>
          <c:tx>
            <c:strRef>
              <c:f>'辅助表7单因素敏感性分析表'!$C$5</c:f>
              <c:strCache>
                <c:ptCount val="1"/>
                <c:pt idx="0">
                  <c:v>生产投入物价格</c:v>
                </c:pt>
              </c:strCache>
            </c:strRef>
          </c:tx>
          <c:spPr>
            <a:ln w="25400">
              <a:solidFill>
                <a:srgbClr val="996666"/>
              </a:solidFill>
            </a:ln>
          </c:spPr>
          <c:marker>
            <c:symbol val="square"/>
            <c:size val="7"/>
            <c:spPr>
              <a:solidFill>
                <a:srgbClr val="996666"/>
              </a:solidFill>
              <a:ln>
                <a:solidFill>
                  <a:srgbClr val="996666"/>
                </a:solidFill>
              </a:ln>
            </c:spPr>
          </c:marker>
          <c:cat>
            <c:numRef>
              <c:f>'辅助表7单因素敏感性分析表'!$A$7:$A$15</c:f>
              <c:numCache/>
            </c:numRef>
          </c:cat>
          <c:val>
            <c:numRef>
              <c:f>'辅助表7单因素敏感性分析表'!$C$7:$C$15</c:f>
              <c:numCache/>
            </c:numRef>
          </c:val>
          <c:smooth val="false"/>
        </c:ser>
        <c:ser>
          <c:idx val="2"/>
          <c:order val="2"/>
          <c:tx>
            <c:strRef>
              <c:f>'辅助表7单因素敏感性分析表'!$D$5</c:f>
              <c:strCache>
                <c:ptCount val="1"/>
                <c:pt idx="0">
                  <c:v>产品价格</c:v>
                </c:pt>
              </c:strCache>
            </c:strRef>
          </c:tx>
          <c:spPr>
            <a:ln w="12700">
              <a:solidFill>
                <a:srgbClr val="000000"/>
              </a:solidFill>
              <a:prstDash val="sysDash"/>
            </a:ln>
          </c:spPr>
          <c:marker>
            <c:symbol val="none"/>
          </c:marker>
          <c:cat>
            <c:numRef>
              <c:f>'辅助表7单因素敏感性分析表'!$A$7:$A$15</c:f>
              <c:numCache/>
            </c:numRef>
          </c:cat>
          <c:val>
            <c:numRef>
              <c:f>'辅助表7单因素敏感性分析表'!$D$7:$D$15</c:f>
              <c:numCache/>
            </c:numRef>
          </c:val>
          <c:smooth val="false"/>
        </c:ser>
        <c:ser>
          <c:idx val="4"/>
          <c:order val="4"/>
          <c:tx>
            <c:strRef>
              <c:f>'辅助表7单因素敏感性分析表'!$E$5</c:f>
              <c:strCache>
                <c:ptCount val="1"/>
                <c:pt idx="0">
                  <c:v>生产能力利用率</c:v>
                </c:pt>
              </c:strCache>
            </c:strRef>
          </c:tx>
          <c:spPr>
            <a:ln w="12700">
              <a:solidFill>
                <a:srgbClr val="000000"/>
              </a:solidFill>
              <a:prstDash val="lgDashDotDot"/>
            </a:ln>
          </c:spPr>
          <c:marker>
            <c:symbol val="none"/>
          </c:marker>
          <c:cat>
            <c:numRef>
              <c:f>'辅助表7单因素敏感性分析表'!$A$7:$A$15</c:f>
              <c:numCache/>
            </c:numRef>
          </c:cat>
          <c:val>
            <c:numRef>
              <c:f>'辅助表7单因素敏感性分析表'!$E$7:$E$15</c:f>
              <c:numCache/>
            </c:numRef>
          </c:val>
          <c:smooth val="false"/>
        </c:ser>
        <c:ser>
          <c:idx val="3"/>
          <c:order val="3"/>
          <c:tx>
            <c:strRef>
              <c:f>'辅助表7单因素敏感性分析表'!$F$5</c:f>
              <c:strCache>
                <c:ptCount val="1"/>
                <c:pt idx="0">
                  <c:v>利率</c:v>
                </c:pt>
              </c:strCache>
            </c:strRef>
          </c:tx>
          <c:spPr>
            <a:ln w="25400">
              <a:solidFill>
                <a:srgbClr val="666699"/>
              </a:solidFill>
            </a:ln>
          </c:spPr>
          <c:marker>
            <c:symbol val="x"/>
            <c:size val="7"/>
            <c:spPr>
              <a:noFill/>
              <a:ln>
                <a:solidFill>
                  <a:srgbClr val="666699"/>
                </a:solidFill>
              </a:ln>
            </c:spPr>
          </c:marker>
          <c:cat>
            <c:numRef>
              <c:f>'辅助表7单因素敏感性分析表'!$A$7:$A$15</c:f>
              <c:numCache/>
            </c:numRef>
          </c:cat>
          <c:val>
            <c:numRef>
              <c:f>'辅助表7单因素敏感性分析表'!$F$7:$F$15</c:f>
              <c:numCache/>
            </c:numRef>
          </c:val>
          <c:smooth val="false"/>
        </c:ser>
        <c:marker/>
        <c:axId val="2087785333"/>
        <c:axId val="1473205473"/>
      </c:lineChart>
      <c:catAx>
        <c:axId val="2087785333"/>
        <c:scaling>
          <c:orientation val="minMax"/>
        </c:scaling>
        <c:delete val="false"/>
        <c:axPos val="b"/>
        <c:numFmt formatCode="General" sourceLinked="true"/>
        <c:majorTickMark val="in"/>
        <c:minorTickMark val="none"/>
        <c:tickLblPos val="nextTo"/>
        <c:spPr>
          <a:ln w="3175">
            <a:solidFill>
              <a:srgbClr val="000000"/>
            </a:solidFill>
          </a:ln>
        </c:spPr>
        <c:txPr>
          <a:bodyPr rot="-2700000" vert="horz"/>
          <a:lstStyle/>
          <a:p>
            <a:pPr>
              <a:defRPr lang="en-US" sz="1200" b="false" i="false" u="none" baseline="0">
                <a:solidFill>
                  <a:srgbClr val="000000"/>
                </a:solidFill>
                <a:latin typeface="Times New Roman"/>
                <a:ea typeface="Times New Roman"/>
                <a:cs typeface="Times New Roman"/>
              </a:defRPr>
            </a:pPr>
          </a:p>
        </c:txPr>
        <c:crossAx val="1473205473"/>
        <c:crosses val="autoZero"/>
        <c:auto val="false"/>
        <c:lblOffset val="100"/>
        <c:tickLblSkip val="1"/>
        <c:noMultiLvlLbl val="false"/>
      </c:catAx>
      <c:valAx>
        <c:axId val="1473205473"/>
        <c:scaling>
          <c:orientation val="minMax"/>
        </c:scaling>
        <c:delete val="false"/>
        <c:axPos val="l"/>
        <c:numFmt formatCode="General" sourceLinked="true"/>
        <c:majorTickMark val="in"/>
        <c:minorTickMark val="none"/>
        <c:tickLblPos val="nextTo"/>
        <c:spPr>
          <a:ln w="3175">
            <a:solidFill>
              <a:srgbClr val="000000"/>
            </a:solidFill>
          </a:ln>
        </c:spPr>
        <c:txPr>
          <a:bodyPr rot="0" vert="horz"/>
          <a:lstStyle/>
          <a:p>
            <a:pPr>
              <a:defRPr lang="en-US" sz="1200" b="false" i="false" u="none" baseline="0">
                <a:solidFill>
                  <a:srgbClr val="000000"/>
                </a:solidFill>
                <a:latin typeface="Times New Roman"/>
                <a:ea typeface="Times New Roman"/>
                <a:cs typeface="Times New Roman"/>
              </a:defRPr>
            </a:pPr>
          </a:p>
        </c:txPr>
        <c:crossAx val="2087785333"/>
        <c:crossesAt val="1"/>
        <c:crossBetween val="midCat"/>
      </c:valAx>
      <c:spPr>
        <a:solidFill>
          <a:srgbClr val="FFFFFF"/>
        </a:solidFill>
        <a:ln w="3175">
          <a:solidFill>
            <a:srgbClr val="000000"/>
          </a:solidFill>
        </a:ln>
      </c:spPr>
    </c:plotArea>
    <c:legend>
      <c:legendPos val="r"/>
      <c:layout>
        <c:manualLayout>
          <c:xMode val="edge"/>
          <c:yMode val="edge"/>
          <c:x val="0.76325"/>
          <c:y val="0.421"/>
          <c:w val="0.206"/>
          <c:h val="0.42625"/>
        </c:manualLayout>
      </c:layout>
      <c:overlay val="false"/>
      <c:spPr>
        <a:solidFill>
          <a:srgbClr val="FFFFFF"/>
        </a:solidFill>
        <a:ln w="3175">
          <a:solidFill>
            <a:srgbClr val="000000"/>
          </a:solidFill>
        </a:ln>
      </c:spPr>
      <c:txPr>
        <a:bodyPr rot="0" vert="horz"/>
        <a:lstStyle/>
        <a:p>
          <a:pPr>
            <a:defRPr lang="en-US" sz="620" b="false" i="false" u="none" baseline="0">
              <a:solidFill>
                <a:srgbClr val="000000"/>
              </a:solidFill>
              <a:latin typeface="Times New Roman"/>
              <a:ea typeface="Times New Roman"/>
              <a:cs typeface="Times New Roman"/>
            </a:defRPr>
          </a:pPr>
        </a:p>
      </c:txPr>
    </c:legend>
    <c:plotVisOnly/>
    <c:dispBlanksAs val="gap"/>
    <c:showDLblsOverMax val="false"/>
  </c:chart>
  <c:spPr>
    <a:solidFill>
      <a:srgbClr val="FFFFFF"/>
    </a:solidFill>
    <a:ln w="3175">
      <a:solidFill>
        <a:srgbClr val="000000"/>
      </a:solidFill>
    </a:ln>
  </c:spPr>
  <c:txPr>
    <a:bodyPr rot="0" vert="horz"/>
    <a:lstStyle/>
    <a:p>
      <a:pPr>
        <a:defRPr lang="en-US" sz="1200" b="false" i="false" u="none" baseline="0">
          <a:latin typeface="Times New Roman"/>
          <a:ea typeface="Times New Roman"/>
          <a:cs typeface="Times New Roman"/>
        </a:defRPr>
      </a:pPr>
    </a:p>
  </c:txPr>
</c:chartSpace>
</file>

<file path=xl/drawings/_rels/drawing1.xml.rels><?xml version="1.0" encoding="UTF-8" standalone="yes"?><Relationships xmlns="http://schemas.openxmlformats.org/package/2006/relationships"><Relationship Id="rId0" Type="http://schemas.openxmlformats.org/officeDocument/2006/relationships/chart" Target="../charts/chart1.xml" /></Relationships>
</file>

<file path=xl/drawings/drawing1.xml><?xml version="1.0" encoding="utf-8"?>
<xdr:wsDr xmlns:a="http://schemas.openxmlformats.org/drawingml/2006/main" xmlns:c="http://schemas.openxmlformats.org/drawingml/2006/chart" xmlns:r="http://schemas.openxmlformats.org/officeDocument/2006/relationships" xmlns:xdr="http://schemas.openxmlformats.org/drawingml/2006/spreadsheetDrawing">
  <xdr:twoCellAnchor>
    <xdr:from>
      <xdr:col>0</xdr:col>
      <xdr:colOff>396367</xdr:colOff>
      <xdr:row>17</xdr:row>
      <xdr:rowOff>83604</xdr:rowOff>
    </xdr:from>
    <xdr:to>
      <xdr:col>12</xdr:col>
      <xdr:colOff>589480</xdr:colOff>
      <xdr:row>36</xdr:row>
      <xdr:rowOff>0</xdr:rowOff>
    </xdr:to>
    <xdr:graphicFrame>
      <xdr:nvGraphicFramePr>
        <xdr:cNvPr id="1" name="Chart 1"/>
        <xdr:cNvGraphicFramePr/>
      </xdr:nvGraphicFramePr>
      <xdr:xfrm>
        <a:off x="400050" y="3343275"/>
        <a:ext cx="6572250" cy="3714750"/>
      </xdr:xfrm>
      <a:graphic>
        <a:graphicData uri="http://schemas.openxmlformats.org/drawingml/2006/chart">
          <c:chart r:id="rId0"/>
        </a:graphicData>
      </a:graphic>
    </xdr:graphicFrame>
    <xdr:clientData/>
  </xdr:twoCellAnchor>
</xdr:wsDr>
</file>

<file path=xl/externalLinks/_rels/externalLink1.xml.rels><?xml version="1.0" encoding="UTF-8" standalone="yes"?><Relationships xmlns="http://schemas.openxmlformats.org/package/2006/relationships"><Relationship Id="rId0" Type="http://schemas.openxmlformats.org/officeDocument/2006/relationships/externalLinkPath" Target="http://34.0.191.1/Documents%20and%20Settings\wwx\&#26700;&#38754;\&#36151;&#27454;&#27979;&#31639;(&#26412;&#24065;)20050222.xls" TargetMode="External"/></Relationships>
</file>

<file path=xl/externalLinks/externalLink1.xml><?xml version="1.0" encoding="utf-8"?>
<externalLink xmlns:r="http://schemas.openxmlformats.org/officeDocument/2006/relationships" xmlns="http://schemas.openxmlformats.org/spreadsheetml/2006/main">
  <externalBook r:id="rId0">
    <sheetNames>
      <sheetName val="参数表"/>
      <sheetName val="测算表"/>
    </sheetNames>
    <sheetDataSet>
      <sheetData sheetId="0"/>
      <sheetData sheetId="1"/>
    </sheetDataSet>
  </externalBook>
</externalLink>
</file>

<file path=xl/persons/person.xml><?xml version="1.0" encoding="utf-8"?>
<tc2018:personList xmlns:tc2018="http://schemas.microsoft.com/office/spreadsheetml/2018/threadedcomments" xmlns:mc="http://schemas.openxmlformats.org/markup-compatibility/2006" mc:Ignorable="tc2018">
  <tc2018:person displayName="芳超" id="{373FCF26-FCE3-4CD3-BD16-89A16B4367E1}"/>
</tc2018:personList>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false">
              <a:srgbClr val="000000">
                <a:alpha val="38000"/>
              </a:srgbClr>
            </a:outerShdw>
          </a:effectLst>
        </a:effectStyle>
        <a:effectStyle>
          <a:effectLst>
            <a:outerShdw blurRad="40000" dist="23000" dir="5400000" rotWithShape="false">
              <a:srgbClr val="000000">
                <a:alpha val="35000"/>
              </a:srgbClr>
            </a:outerShdw>
          </a:effectLst>
        </a:effectStyle>
        <a:effectStyle>
          <a:effectLst>
            <a:outerShdw blurRad="40000" dist="23000" dir="5400000" rotWithShape="false">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true"/>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true"/>
      <a:lstStyle/>
    </a:lnDef>
  </a:objectDefaults>
</a:theme>
</file>

<file path=xl/threadedComments/threadedComment1.xml><?xml version="1.0" encoding="utf-8"?>
<tc2018:ThreadedComments xmlns:tc2018="http://schemas.microsoft.com/office/spreadsheetml/2018/threadedcomments" xmlns:mc="http://schemas.openxmlformats.org/markup-compatibility/2006" mc:Ignorable="tc2018">
  <tc2018:threadedComment ref="AQ3" dT="2025-06-09T08:57:04Z" personId="{373FCF26-FCE3-4CD3-BD16-89A16B4367E1}" id="{A8B436D1-F6A0-4ACC-8F9C-63FD03A50859}">
    <tc2018:text>CCB:
选填项</tc2018:text>
  </tc2018:threadedComment>
  <tc2018:threadedComment ref="AR2" dT="2025-06-09T08:57:04Z" personId="{373FCF26-FCE3-4CD3-BD16-89A16B4367E1}" id="{1FF687A2-0DF9-4B6C-861A-92326ECCBF45}">
    <tc2018:text>xingming:
每个环节的时间为提交日期减去接收日期，需要剔除补充材料等时间，要保留到小数点后一位。</tc2018:text>
  </tc2018:threadedComment>
  <tc2018:threadedComment ref="J3" dT="2025-06-09T08:57:04Z" personId="{373FCF26-FCE3-4CD3-BD16-89A16B4367E1}" id="{04D7E0C3-B3E9-42AB-976D-025092557AF4}">
    <tc2018:text>xingming:
九大类额度，比如固贷、房贷。</tc2018:text>
  </tc2018:threadedComment>
  <tc2018:threadedComment ref="K3" dT="2025-06-09T08:57:04Z" personId="{373FCF26-FCE3-4CD3-BD16-89A16B4367E1}" id="{B3ADCD85-AA80-4BC0-940E-6FD614637F57}">
    <tc2018:text>xingming:
具体授信品种，比如基建、技改、房开贷、商用物业抵押、土地储备。</tc2018:text>
  </tc2018:threadedComment>
</tc2018:ThreadedComments>
</file>

<file path=xl/threadedComments/threadedComment10.xml><?xml version="1.0" encoding="utf-8"?>
<tc2018:ThreadedComments xmlns:tc2018="http://schemas.microsoft.com/office/spreadsheetml/2018/threadedcomments" xmlns:mc="http://schemas.openxmlformats.org/markup-compatibility/2006" mc:Ignorable="tc2018">
  <tc2018:threadedComment ref="B6" dT="2025-06-09T08:57:04Z" personId="{373FCF26-FCE3-4CD3-BD16-89A16B4367E1}" id="{B030B673-C439-4EB8-A202-8F7DF39409A0}">
    <tc2018:text>zyyh:即产能利用率
</tc2018:text>
  </tc2018:threadedComment>
  <tc2018:threadedComment ref="B23" dT="2025-06-09T08:57:04Z" personId="{373FCF26-FCE3-4CD3-BD16-89A16B4367E1}" id="{7549E3FE-44E9-4CCA-B2ED-A177F7DD31D1}">
    <tc2018:text>zyyh:
此行如有请填写
</tc2018:text>
  </tc2018:threadedComment>
  <tc2018:threadedComment ref="B21" dT="2025-06-09T08:57:04Z" personId="{373FCF26-FCE3-4CD3-BD16-89A16B4367E1}" id="{B74AC8C7-2422-4DE2-97AC-EC33884A56E6}">
    <tc2018:text>zyyh:
缺省设置为前一年的工资，评估人员可按照项目实际情况填写第1年的工资额度，并建立后续年度工资的增长公式。如为固定工资，可设公式关联辅助表1与辅助表6.1
</tc2018:text>
  </tc2018:threadedComment>
  <tc2018:threadedComment ref="B48" dT="2025-06-09T08:57:04Z" personId="{373FCF26-FCE3-4CD3-BD16-89A16B4367E1}" id="{D6B07A4B-24BD-4873-A00B-BE1F46D7D589}">
    <tc2018:text>zyyh:
此行依据项目情况设公式或填数
</tc2018:text>
  </tc2018:threadedComment>
</tc2018:ThreadedComments>
</file>

<file path=xl/threadedComments/threadedComment11.xml><?xml version="1.0" encoding="utf-8"?>
<tc2018:ThreadedComments xmlns:tc2018="http://schemas.microsoft.com/office/spreadsheetml/2018/threadedcomments" xmlns:mc="http://schemas.openxmlformats.org/markup-compatibility/2006" mc:Ignorable="tc2018">
  <tc2018:threadedComment ref="B25" dT="2025-06-09T08:57:04Z" personId="{373FCF26-FCE3-4CD3-BD16-89A16B4367E1}" id="{EA9F9F41-04AC-459E-B29C-E59264797936}">
    <tc2018:text>zyyh:
因评估评级系统需要输入整数月，因此向上取整。</tc2018:text>
  </tc2018:threadedComment>
  <tc2018:threadedComment ref="B27" dT="2025-06-09T08:57:04Z" personId="{373FCF26-FCE3-4CD3-BD16-89A16B4367E1}" id="{5F00107A-156B-406B-BF3C-7583830AD407}">
    <tc2018:text>zyyh:
因评估评级系统需要输入整数月，因此向上取整。</tc2018:text>
  </tc2018:threadedComment>
</tc2018:ThreadedComments>
</file>

<file path=xl/threadedComments/threadedComment12.xml><?xml version="1.0" encoding="utf-8"?>
<tc2018:ThreadedComments xmlns:tc2018="http://schemas.microsoft.com/office/spreadsheetml/2018/threadedcomments" xmlns:mc="http://schemas.openxmlformats.org/markup-compatibility/2006" mc:Ignorable="tc2018">
  <tc2018:threadedComment ref="C66" dT="2025-06-09T08:57:04Z" personId="{373FCF26-FCE3-4CD3-BD16-89A16B4367E1}" id="{09AEA996-9811-42BB-9736-5E1F25D7DE49}">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 ref="C55" dT="2025-06-09T08:57:04Z" personId="{373FCF26-FCE3-4CD3-BD16-89A16B4367E1}" id="{89CA2FEC-3BCC-452F-9065-C9D1C65E4ED2}">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 ref="C35" dT="2025-06-09T08:57:04Z" personId="{373FCF26-FCE3-4CD3-BD16-89A16B4367E1}" id="{D957BC86-6E3D-4422-854E-1C4AEA2FC68F}">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 ref="E128" dT="2025-06-09T08:57:04Z" personId="{373FCF26-FCE3-4CD3-BD16-89A16B4367E1}" id="{125809DE-B1C6-4808-9E21-786DC59D6952}">
    <tc2018:text>zyyh:
注：因考虑到更新投资未反映在贷款中，因此更新折旧不作为还款来源。该项折旧仅作为成本支出，影响到税收。</tc2018:text>
  </tc2018:threadedComment>
  <tc2018:threadedComment ref="C139" dT="2025-06-09T08:57:04Z" personId="{373FCF26-FCE3-4CD3-BD16-89A16B4367E1}" id="{922F4887-EB91-4125-8572-0503B91F1183}">
    <tc2018:text>zyyh:
含协议借款、债券、融资租赁、补偿贸易</tc2018:text>
  </tc2018:threadedComment>
  <tc2018:threadedComment ref="E133" dT="2025-06-09T08:57:04Z" personId="{373FCF26-FCE3-4CD3-BD16-89A16B4367E1}" id="{FA26BD29-3866-49D3-BF0D-32C5CA193194}">
    <tc2018:text>zyyh:
此处填建设期年份</tc2018:text>
  </tc2018:threadedComment>
  <tc2018:threadedComment ref="D125" dT="2025-06-09T08:57:04Z" personId="{373FCF26-FCE3-4CD3-BD16-89A16B4367E1}" id="{030030C7-17C3-4750-BAE8-59E58ECF085A}">
    <tc2018:text>zyyh:
该项适用于分期建成投产项目。在总建设期内先期投产项目产生偿还本金来源资金，“留存”是指该项资金累积，待生产期开始后归还贷款本金；“用于建设”是指该项资金用于后期项目建设；“归还贷款”是指该项资金直接归还已投产项目贷款。
</tc2018:text>
  </tc2018:threadedComment>
  <tc2018:threadedComment ref="C15" dT="2025-06-09T08:57:04Z" personId="{373FCF26-FCE3-4CD3-BD16-89A16B4367E1}" id="{475317A9-51B3-4C8B-8F35-FC51A643C072}">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 ref="C45" dT="2025-06-09T08:57:04Z" personId="{373FCF26-FCE3-4CD3-BD16-89A16B4367E1}" id="{535EA1C5-16D2-467A-9C0D-5B98DE51E572}">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 ref="C76" dT="2025-06-09T08:57:04Z" personId="{373FCF26-FCE3-4CD3-BD16-89A16B4367E1}" id="{ED69505C-6D9F-496E-BF4C-A582AB9D18F8}">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 ref="C106" dT="2025-06-09T08:57:04Z" personId="{373FCF26-FCE3-4CD3-BD16-89A16B4367E1}" id="{51C0D523-5EFA-4086-B01D-FA4122B8C393}">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 ref="F133" dT="2025-06-09T08:57:04Z" personId="{373FCF26-FCE3-4CD3-BD16-89A16B4367E1}" id="{9E453683-8B1A-42EB-953D-9090EA107155}">
    <tc2018:text>zyyh:
此处填建设期年份</tc2018:text>
  </tc2018:threadedComment>
  <tc2018:threadedComment ref="C86" dT="2025-06-09T08:57:04Z" personId="{373FCF26-FCE3-4CD3-BD16-89A16B4367E1}" id="{8429D6B6-20F4-4971-A22A-3BC0A4483DD9}">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 ref="C25" dT="2025-06-09T08:57:04Z" personId="{373FCF26-FCE3-4CD3-BD16-89A16B4367E1}" id="{08489412-961E-41AA-AC06-A6BB849E7EF5}">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 ref="C96" dT="2025-06-09T08:57:04Z" personId="{373FCF26-FCE3-4CD3-BD16-89A16B4367E1}" id="{ACF83BE3-1FBD-494B-9AFD-6DA3EEEA99D7}">
    <tc2018:text>zyyh:分段投产是指分段建设，在总建设期内即有分段建成开始运营的项目。该项输入需从建设期第1年开始累计。缺省值为生产期第1年，如项目按整体建成投产考虑，请勿更改数值和公式。
</tc2018:text>
  </tc2018:threadedComment>
</tc2018:ThreadedComments>
</file>

<file path=xl/threadedComments/threadedComment13.xml><?xml version="1.0" encoding="utf-8"?>
<tc2018:ThreadedComments xmlns:tc2018="http://schemas.microsoft.com/office/spreadsheetml/2018/threadedcomments" xmlns:mc="http://schemas.openxmlformats.org/markup-compatibility/2006" mc:Ignorable="tc2018">
  <tc2018:threadedComment ref="B15" dT="2025-06-09T08:57:04Z" personId="{373FCF26-FCE3-4CD3-BD16-89A16B4367E1}" id="{3F55DB9C-FFF0-469F-BEB2-D0006D7BA36C}">
    <tc2018:text>zyyh:
其他业务利润是否纳入现金流量表由评估人员根据实际情况确定，缺省设置未纳入。</tc2018:text>
  </tc2018:threadedComment>
  <tc2018:threadedComment ref="A33" dT="2025-06-09T08:57:04Z" personId="{373FCF26-FCE3-4CD3-BD16-89A16B4367E1}" id="{86F93FAA-CD7C-4B1C-9E8C-BC4951E3A388}">
    <tc2018:text>zyyh:
此处为静态回收期
</tc2018:text>
  </tc2018:threadedComment>
</tc2018:ThreadedComments>
</file>

<file path=xl/threadedComments/threadedComment14.xml><?xml version="1.0" encoding="utf-8"?>
<tc2018:ThreadedComments xmlns:tc2018="http://schemas.microsoft.com/office/spreadsheetml/2018/threadedcomments" xmlns:mc="http://schemas.openxmlformats.org/markup-compatibility/2006" mc:Ignorable="tc2018">
  <tc2018:threadedComment ref="C32" dT="2025-06-09T08:57:04Z" personId="{373FCF26-FCE3-4CD3-BD16-89A16B4367E1}" id="{07A68254-2D3F-4BEC-9C91-1E0D745ACC45}">
    <tc2018:text>zyyh:
年初债务余额
</tc2018:text>
  </tc2018:threadedComment>
  <tc2018:threadedComment ref="C33" dT="2025-06-09T08:57:04Z" personId="{373FCF26-FCE3-4CD3-BD16-89A16B4367E1}" id="{9FEB9D2D-5AD9-4D93-9042-17491834368F}">
    <tc2018:text>zyyh:
债务期内经营性现金流
</tc2018:text>
  </tc2018:threadedComment>
</tc2018:ThreadedComments>
</file>

<file path=xl/threadedComments/threadedComment15.xml><?xml version="1.0" encoding="utf-8"?>
<tc2018:ThreadedComments xmlns:tc2018="http://schemas.microsoft.com/office/spreadsheetml/2018/threadedcomments" xmlns:mc="http://schemas.openxmlformats.org/markup-compatibility/2006" mc:Ignorable="tc2018">
  <tc2018:threadedComment ref="B8" dT="2025-06-09T08:57:04Z" personId="{373FCF26-FCE3-4CD3-BD16-89A16B4367E1}" id="{B793FD67-52AC-4996-AA3A-9519E75E1395}">
    <tc2018:text>zyyh:
取值于可研，兼顾项目进度。</tc2018:text>
  </tc2018:threadedComment>
  <tc2018:threadedComment ref="B15" dT="2025-06-09T08:57:04Z" personId="{373FCF26-FCE3-4CD3-BD16-89A16B4367E1}" id="{3BF1C0E1-E807-46FE-B073-1563530F255E}">
    <tc2018:text>zyyh:
本系数供评估人员建立公式用，系统中未设定相应公式，需评估人员在pgb4中根据实际情况确定计算基数，并建立与本系数的引用关系。</tc2018:text>
  </tc2018:threadedComment>
  <tc2018:threadedComment ref="B12" dT="2025-06-09T08:57:04Z" personId="{373FCF26-FCE3-4CD3-BD16-89A16B4367E1}" id="{A478B93D-E224-42F3-B9FB-368164219598}">
    <tc2018:text>zyyh:
本系数供评估人员建立公式用，系统中未设定相应公式，需评估人员在pgb4中根据实际情况确定计算基数，并建立与本系数的引用关系。</tc2018:text>
  </tc2018:threadedComment>
</tc2018:ThreadedComments>
</file>

<file path=xl/threadedComments/threadedComment16.xml><?xml version="1.0" encoding="utf-8"?>
<tc2018:ThreadedComments xmlns:tc2018="http://schemas.microsoft.com/office/spreadsheetml/2018/threadedcomments" xmlns:mc="http://schemas.openxmlformats.org/markup-compatibility/2006" mc:Ignorable="tc2018">
  <tc2018:threadedComment ref="C78" dT="2025-06-09T08:57:04Z" personId="{373FCF26-FCE3-4CD3-BD16-89A16B4367E1}" id="{734EA26D-F0A4-4B4B-B47A-51DCB0280D3D}">
    <tc2018:text>zyyh:
请填写单位</tc2018:text>
  </tc2018:threadedComment>
  <tc2018:threadedComment ref="B41" dT="2025-06-09T08:57:04Z" personId="{373FCF26-FCE3-4CD3-BD16-89A16B4367E1}" id="{2696FA37-97EC-490D-A1FC-0394C917F8F2}">
    <tc2018:text>zyyh:
请填入原材料名称</tc2018:text>
  </tc2018:threadedComment>
  <tc2018:threadedComment ref="B96" dT="2025-06-09T08:57:04Z" personId="{373FCF26-FCE3-4CD3-BD16-89A16B4367E1}" id="{3C80CE2E-F6D8-4045-8BBE-0C02DF9CDB2D}">
    <tc2018:text>zyyh:
请填入原材料名称</tc2018:text>
  </tc2018:threadedComment>
  <tc2018:threadedComment ref="B142" dT="2025-06-09T08:57:04Z" personId="{373FCF26-FCE3-4CD3-BD16-89A16B4367E1}" id="{81C6C632-511F-4892-BFCB-795D0FCAAA1C}">
    <tc2018:text>CCB:
注意应以“万元”为单位；请输入含税价（增值税）。</tc2018:text>
  </tc2018:threadedComment>
  <tc2018:threadedComment ref="B255" dT="2025-06-09T08:57:04Z" personId="{373FCF26-FCE3-4CD3-BD16-89A16B4367E1}" id="{255BA2C6-6A03-4193-A18C-C45C5EAAB985}">
    <tc2018:text>zyyh:
请填入原材料名称</tc2018:text>
  </tc2018:threadedComment>
  <tc2018:threadedComment ref="B42" dT="2025-06-09T08:57:04Z" personId="{373FCF26-FCE3-4CD3-BD16-89A16B4367E1}" id="{074BF7CE-7CFF-4027-80E2-7DE4CA236374}">
    <tc2018:text>zyyh:
注意应以“万元”为单位；请输入含税价（增值税）。</tc2018:text>
  </tc2018:threadedComment>
  <tc2018:threadedComment ref="B221" dT="2025-06-09T08:57:04Z" personId="{373FCF26-FCE3-4CD3-BD16-89A16B4367E1}" id="{D2C9B041-D2A0-4F24-9D00-EF37A25B8D92}">
    <tc2018:text>CCB:
注意应以“万元”为单位；请输入含税价（增值税）。</tc2018:text>
  </tc2018:threadedComment>
  <tc2018:threadedComment ref="B75" dT="2025-06-09T08:57:04Z" personId="{373FCF26-FCE3-4CD3-BD16-89A16B4367E1}" id="{816C97D3-B473-4A4A-82D8-74E66FE80C08}">
    <tc2018:text>zyyh:
注意应以“万元”为单位；请输入含税价（增值税）。</tc2018:text>
  </tc2018:threadedComment>
  <tc2018:threadedComment ref="B164" dT="2025-06-09T08:57:04Z" personId="{373FCF26-FCE3-4CD3-BD16-89A16B4367E1}" id="{E588B03B-2F9F-4F51-933E-DEA7F30DAC15}">
    <tc2018:text>CCB:
注意应以“万元”为单位；请输入含税价（增值税）。</tc2018:text>
  </tc2018:threadedComment>
  <tc2018:threadedComment ref="B278" dT="2025-06-09T08:57:04Z" personId="{373FCF26-FCE3-4CD3-BD16-89A16B4367E1}" id="{CA070778-AE41-412F-9BE7-55509B7659EB}">
    <tc2018:text>zyyh:
请填入原材料名称</tc2018:text>
  </tc2018:threadedComment>
  <tc2018:threadedComment ref="B131" dT="2025-06-09T08:57:04Z" personId="{373FCF26-FCE3-4CD3-BD16-89A16B4367E1}" id="{02C0DB2C-1B9F-43DE-AC1C-19DAF01C9B76}">
    <tc2018:text>zyyh:
注意应以“万元”为单位；请输入含税价（增值税）。</tc2018:text>
  </tc2018:threadedComment>
  <tc2018:threadedComment ref="G23" dT="2025-06-09T08:57:04Z" personId="{373FCF26-FCE3-4CD3-BD16-89A16B4367E1}" id="{28EB4663-6367-4575-97B0-CD90EB9C9E58}">
    <tc2018:text>zyyh:
此行产量需乘以当年生产负荷。
下同。</tc2018:text>
  </tc2018:threadedComment>
  <tc2018:threadedComment ref="B53" dT="2025-06-09T08:57:04Z" personId="{373FCF26-FCE3-4CD3-BD16-89A16B4367E1}" id="{D580B08C-3861-4BB0-A505-2CEA4C2FDC9C}">
    <tc2018:text>zyyh:
注意应以“万元”为单位；请输入含税价（增值税）。</tc2018:text>
  </tc2018:threadedComment>
  <tc2018:threadedComment ref="B63" dT="2025-06-09T08:57:04Z" personId="{373FCF26-FCE3-4CD3-BD16-89A16B4367E1}" id="{768D0016-A8AA-463F-9EAE-6BA25CDC6338}">
    <tc2018:text>zyyh:
请填入原材料名称</tc2018:text>
  </tc2018:threadedComment>
  <tc2018:threadedComment ref="B233" dT="2025-06-09T08:57:04Z" personId="{373FCF26-FCE3-4CD3-BD16-89A16B4367E1}" id="{86C0D2B6-6056-46D0-969F-7D936F63623B}">
    <tc2018:text>zyyh:
注意应以“万元”为单位；请输入含税价（增值税）。</tc2018:text>
  </tc2018:threadedComment>
  <tc2018:threadedComment ref="C89" dT="2025-06-09T08:57:04Z" personId="{373FCF26-FCE3-4CD3-BD16-89A16B4367E1}" id="{3FF3B600-743C-46A8-9668-DC1865B0393A}">
    <tc2018:text>zyyh:
请填写单位</tc2018:text>
  </tc2018:threadedComment>
  <tc2018:threadedComment ref="C45" dT="2025-06-09T08:57:04Z" personId="{373FCF26-FCE3-4CD3-BD16-89A16B4367E1}" id="{D0D8A800-12BA-42D5-8EBE-CBE43D57F6B9}">
    <tc2018:text>zyyh:
请填写单位</tc2018:text>
  </tc2018:threadedComment>
  <tc2018:threadedComment ref="B187" dT="2025-06-09T08:57:04Z" personId="{373FCF26-FCE3-4CD3-BD16-89A16B4367E1}" id="{63583165-E763-40A1-AA4B-CB8C045EE6F4}">
    <tc2018:text>CCB:
注意应以“万元”为单位；请输入含税价（增值税）。</tc2018:text>
  </tc2018:threadedComment>
  <tc2018:threadedComment ref="B197" dT="2025-06-09T08:57:04Z" personId="{373FCF26-FCE3-4CD3-BD16-89A16B4367E1}" id="{99D76D20-EFF1-4385-95DC-5440A8FDC312}">
    <tc2018:text>CCB:
请填入原材料名称</tc2018:text>
  </tc2018:threadedComment>
  <tc2018:threadedComment ref="G20" dT="2025-06-09T08:57:04Z" personId="{373FCF26-FCE3-4CD3-BD16-89A16B4367E1}" id="{A6735CB0-C9A3-44A3-B229-88543C11E785}">
    <tc2018:text>zyyh:
辅助表7单因素敏感性分析表!N10*单价。
下同。</tc2018:text>
  </tc2018:threadedComment>
  <tc2018:threadedComment ref="B97" dT="2025-06-09T08:57:04Z" personId="{373FCF26-FCE3-4CD3-BD16-89A16B4367E1}" id="{7C1F0FCA-FAC6-41B8-82A1-4299E153EBF7}">
    <tc2018:text>zyyh:
注意应以“万元”为单位；请输入含税价（增值税）。</tc2018:text>
  </tc2018:threadedComment>
  <tc2018:threadedComment ref="B141" dT="2025-06-09T08:57:04Z" personId="{373FCF26-FCE3-4CD3-BD16-89A16B4367E1}" id="{2B41AC48-EB4F-45D6-8E1A-10FC44DB9D1A}">
    <tc2018:text>CCB:
请填入原材料名称</tc2018:text>
  </tc2018:threadedComment>
  <tc2018:threadedComment ref="B256" dT="2025-06-09T08:57:04Z" personId="{373FCF26-FCE3-4CD3-BD16-89A16B4367E1}" id="{CA322215-6C5E-45D5-BE8B-44CF9B6734BA}">
    <tc2018:text>zyyh:
注意应以“万元”为单位；请输入含税价（增值税）。</tc2018:text>
  </tc2018:threadedComment>
  <tc2018:threadedComment ref="B130" dT="2025-06-09T08:57:04Z" personId="{373FCF26-FCE3-4CD3-BD16-89A16B4367E1}" id="{F3FB9F72-F3E1-47DE-9A4B-6540A5546332}">
    <tc2018:text>zyyh:
请填入原材料名称</tc2018:text>
  </tc2018:threadedComment>
  <tc2018:threadedComment ref="C23" dT="2025-06-09T08:57:04Z" personId="{373FCF26-FCE3-4CD3-BD16-89A16B4367E1}" id="{4824D44E-15B0-4D0C-B4BE-40A8088C35EB}">
    <tc2018:text>zyyh:
请填写单位</tc2018:text>
  </tc2018:threadedComment>
  <tc2018:threadedComment ref="D5" dT="2025-06-09T08:57:04Z" personId="{373FCF26-FCE3-4CD3-BD16-89A16B4367E1}" id="{43176B4B-9DB6-48AA-84CF-BDC2EDDDF5CE}">
    <tc2018:text>zyyh:
此处无数据
</tc2018:text>
  </tc2018:threadedComment>
  <tc2018:threadedComment ref="B163" dT="2025-06-09T08:57:04Z" personId="{373FCF26-FCE3-4CD3-BD16-89A16B4367E1}" id="{52A80D3A-615E-4F02-AEF8-089C18062A1A}">
    <tc2018:text>CCB:
请填入原材料名称</tc2018:text>
  </tc2018:threadedComment>
  <tc2018:threadedComment ref="C156" dT="2025-06-09T08:57:04Z" personId="{373FCF26-FCE3-4CD3-BD16-89A16B4367E1}" id="{938450B2-2C0B-4CFE-8A4F-60B4747DD180}">
    <tc2018:text>CCB:
请填写单位</tc2018:text>
  </tc2018:threadedComment>
  <tc2018:threadedComment ref="B153" dT="2025-06-09T08:57:04Z" personId="{373FCF26-FCE3-4CD3-BD16-89A16B4367E1}" id="{0549B535-7F79-4C4C-8ABC-8A44A5961C1F}">
    <tc2018:text>CCB:
注意应以“万元”为单位；请输入含税价（增值税）。</tc2018:text>
  </tc2018:threadedComment>
  <tc2018:threadedComment ref="C134" dT="2025-06-09T08:57:04Z" personId="{373FCF26-FCE3-4CD3-BD16-89A16B4367E1}" id="{D46D99B1-AB88-40FD-A866-ECEFB7594440}">
    <tc2018:text>zyyh:
请填写单位</tc2018:text>
  </tc2018:threadedComment>
  <tc2018:threadedComment ref="B210" dT="2025-06-09T08:57:04Z" personId="{373FCF26-FCE3-4CD3-BD16-89A16B4367E1}" id="{63A1969F-EC5C-464D-B7B6-1E384C06CAAC}">
    <tc2018:text>CCB:
注意应以“万元”为单位；请输入含税价（增值税）。</tc2018:text>
  </tc2018:threadedComment>
  <tc2018:threadedComment ref="C56" dT="2025-06-09T08:57:04Z" personId="{373FCF26-FCE3-4CD3-BD16-89A16B4367E1}" id="{65F63C93-386D-4BF5-9EA4-496DEB851732}">
    <tc2018:text>zyyh:
请填写单位</tc2018:text>
  </tc2018:threadedComment>
  <tc2018:threadedComment ref="B52" dT="2025-06-09T08:57:04Z" personId="{373FCF26-FCE3-4CD3-BD16-89A16B4367E1}" id="{50DC4BE0-49A1-4FD5-B591-F84F07B3990D}">
    <tc2018:text>zyyh:
请填入原材料名称</tc2018:text>
  </tc2018:threadedComment>
  <tc2018:threadedComment ref="B19" dT="2025-06-09T08:57:04Z" personId="{373FCF26-FCE3-4CD3-BD16-89A16B4367E1}" id="{B0EEB69E-A272-43E4-B105-8E082A3D591E}">
    <tc2018:text>zyyh:
请填入原材料名称</tc2018:text>
  </tc2018:threadedComment>
  <tc2018:threadedComment ref="B31" dT="2025-06-09T08:57:04Z" personId="{373FCF26-FCE3-4CD3-BD16-89A16B4367E1}" id="{ED133607-64AB-40E9-9DDC-7321F6B9BCC8}">
    <tc2018:text>zyyh:
注意应以“万元”为单位；请输入含税价（增值税）。</tc2018:text>
  </tc2018:threadedComment>
  <tc2018:threadedComment ref="C293" dT="2025-06-09T08:57:04Z" personId="{373FCF26-FCE3-4CD3-BD16-89A16B4367E1}" id="{A285280E-4863-49D0-A33E-2DA509325563}">
    <tc2018:text>zyyh:
请填写单位</tc2018:text>
  </tc2018:threadedComment>
  <tc2018:threadedComment ref="B64" dT="2025-06-09T08:57:04Z" personId="{373FCF26-FCE3-4CD3-BD16-89A16B4367E1}" id="{428F327B-6A02-4CBF-AF70-5C70F1169F17}">
    <tc2018:text>zyyh:
注意应以“万元”为单位；请输入含税价（增值税）。</tc2018:text>
  </tc2018:threadedComment>
  <tc2018:threadedComment ref="B175" dT="2025-06-09T08:57:04Z" personId="{373FCF26-FCE3-4CD3-BD16-89A16B4367E1}" id="{DDBA7AC8-899A-4B7C-8677-CAED8FE55778}">
    <tc2018:text>CCB:
注意应以“万元”为单位；请输入含税价（增值税）。</tc2018:text>
  </tc2018:threadedComment>
  <tc2018:threadedComment ref="B220" dT="2025-06-09T08:57:04Z" personId="{373FCF26-FCE3-4CD3-BD16-89A16B4367E1}" id="{1BEF31CC-4AFC-47AF-BE77-16167068ACC1}">
    <tc2018:text>CCB:
请填入原材料名称</tc2018:text>
  </tc2018:threadedComment>
  <tc2018:threadedComment ref="C167" dT="2025-06-09T08:57:04Z" personId="{373FCF26-FCE3-4CD3-BD16-89A16B4367E1}" id="{33B7C42B-E98F-4881-B696-73AE7E35D793}">
    <tc2018:text>CCB:
请填写单位</tc2018:text>
  </tc2018:threadedComment>
  <tc2018:threadedComment ref="D6" dT="2025-06-09T08:57:04Z" personId="{373FCF26-FCE3-4CD3-BD16-89A16B4367E1}" id="{17EBEA51-3252-4752-B0B2-3A948B9E02A5}">
    <tc2018:text>zyyh:
此处无数据
</tc2018:text>
  </tc2018:threadedComment>
  <tc2018:threadedComment ref="B74" dT="2025-06-09T08:57:04Z" personId="{373FCF26-FCE3-4CD3-BD16-89A16B4367E1}" id="{0275045C-4567-4AC1-A4DF-E26579228ACD}">
    <tc2018:text>zyyh:
请填入原材料名称</tc2018:text>
  </tc2018:threadedComment>
  <tc2018:threadedComment ref="C201" dT="2025-06-09T08:57:04Z" personId="{373FCF26-FCE3-4CD3-BD16-89A16B4367E1}" id="{EFFC9318-F00E-43A9-A63A-2F3F22AE340D}">
    <tc2018:text>CCB:
请填写单位</tc2018:text>
  </tc2018:threadedComment>
  <tc2018:threadedComment ref="C178" dT="2025-06-09T08:57:04Z" personId="{373FCF26-FCE3-4CD3-BD16-89A16B4367E1}" id="{A90E43DD-28A2-496D-9AF6-B0420FC2A263}">
    <tc2018:text>CCB:
请填写单位</tc2018:text>
  </tc2018:threadedComment>
  <tc2018:threadedComment ref="B186" dT="2025-06-09T08:57:04Z" personId="{373FCF26-FCE3-4CD3-BD16-89A16B4367E1}" id="{A125603C-73AD-40E1-82C1-7A4665F515A4}">
    <tc2018:text>CCB:
请填入原材料名称</tc2018:text>
  </tc2018:threadedComment>
  <tc2018:threadedComment ref="B174" dT="2025-06-09T08:57:04Z" personId="{373FCF26-FCE3-4CD3-BD16-89A16B4367E1}" id="{BC89BD61-F0FB-4F94-928D-697FA98866A4}">
    <tc2018:text>CCB:
请填入原材料名称</tc2018:text>
  </tc2018:threadedComment>
  <tc2018:threadedComment ref="B86" dT="2025-06-09T08:57:04Z" personId="{373FCF26-FCE3-4CD3-BD16-89A16B4367E1}" id="{72DD1697-FD24-4B9F-B0B1-10E24282268E}">
    <tc2018:text>zyyh:
注意应以“万元”为单位；请输入含税价（增值税）。</tc2018:text>
  </tc2018:threadedComment>
  <tc2018:threadedComment ref="C190" dT="2025-06-09T08:57:04Z" personId="{373FCF26-FCE3-4CD3-BD16-89A16B4367E1}" id="{A7D0795A-EDF5-4BA1-9D92-8AD1F53A05AC}">
    <tc2018:text>CCB:
请填写单位</tc2018:text>
  </tc2018:threadedComment>
  <tc2018:threadedComment ref="C100" dT="2025-06-09T08:57:04Z" personId="{373FCF26-FCE3-4CD3-BD16-89A16B4367E1}" id="{DA025805-7019-40CB-8EDF-9A6837242262}">
    <tc2018:text>zyhh:
请填写单位</tc2018:text>
  </tc2018:threadedComment>
  <tc2018:threadedComment ref="C213" dT="2025-06-09T08:57:04Z" personId="{373FCF26-FCE3-4CD3-BD16-89A16B4367E1}" id="{EF6E8306-B91D-43B4-8F57-27B37EB12883}">
    <tc2018:text>CCB:
请填写单位</tc2018:text>
  </tc2018:threadedComment>
  <tc2018:threadedComment ref="B266" dT="2025-06-09T08:57:04Z" personId="{373FCF26-FCE3-4CD3-BD16-89A16B4367E1}" id="{C1E3D58B-BF99-480B-82DF-89EF85BD951F}">
    <tc2018:text>zyyh:
请填入原材料名称</tc2018:text>
  </tc2018:threadedComment>
  <tc2018:threadedComment ref="B244" dT="2025-06-09T08:57:04Z" personId="{373FCF26-FCE3-4CD3-BD16-89A16B4367E1}" id="{A2D9E2A2-2F0A-4270-8CD3-74F426168706}">
    <tc2018:text>zyyh:
注意应以“万元”为单位；请输入含税价（增值税）。</tc2018:text>
  </tc2018:threadedComment>
  <tc2018:threadedComment ref="B267" dT="2025-06-09T08:57:04Z" personId="{373FCF26-FCE3-4CD3-BD16-89A16B4367E1}" id="{DF987D0E-BF42-4906-8521-F999C2501E1A}">
    <tc2018:text>zyyh
注意应以“万元”为单位；请输入含税价（增值税）。</tc2018:text>
  </tc2018:threadedComment>
  <tc2018:threadedComment ref="B279" dT="2025-06-09T08:57:04Z" personId="{373FCF26-FCE3-4CD3-BD16-89A16B4367E1}" id="{28370BC6-7C85-4971-8FC3-64D08D4A96B5}">
    <tc2018:text>zyyh:
注意应以“万元”为单位；请输入含税价（增值税）。</tc2018:text>
  </tc2018:threadedComment>
  <tc2018:threadedComment ref="C145" dT="2025-06-09T08:57:04Z" personId="{373FCF26-FCE3-4CD3-BD16-89A16B4367E1}" id="{4AF3244D-1D79-4C7D-B607-624AF72E4B48}">
    <tc2018:text>CCB:
请填写单位</tc2018:text>
  </tc2018:threadedComment>
  <tc2018:threadedComment ref="C247" dT="2025-06-09T08:57:04Z" personId="{373FCF26-FCE3-4CD3-BD16-89A16B4367E1}" id="{04F27EDF-5688-45EC-A145-592131244D60}">
    <tc2018:text>zyyh:
请填写单位</tc2018:text>
  </tc2018:threadedComment>
  <tc2018:threadedComment ref="B30" dT="2025-06-09T08:57:04Z" personId="{373FCF26-FCE3-4CD3-BD16-89A16B4367E1}" id="{2EA2EFCE-80AC-454A-AAB6-4AA6B8667623}">
    <tc2018:text>zyyh:
请填入原材料名称</tc2018:text>
  </tc2018:threadedComment>
  <tc2018:threadedComment ref="C34" dT="2025-06-09T08:57:04Z" personId="{373FCF26-FCE3-4CD3-BD16-89A16B4367E1}" id="{A49A63A8-452B-409F-A82A-E87C38CAB717}">
    <tc2018:text>zyyh:
请填写单位</tc2018:text>
  </tc2018:threadedComment>
  <tc2018:threadedComment ref="C236" dT="2025-06-09T08:57:04Z" personId="{373FCF26-FCE3-4CD3-BD16-89A16B4367E1}" id="{AB6F6E13-E78C-4A61-B0BE-259998614D37}">
    <tc2018:text>zyyh:
请填写单位</tc2018:text>
  </tc2018:threadedComment>
  <tc2018:threadedComment ref="C224" dT="2025-06-09T08:57:04Z" personId="{373FCF26-FCE3-4CD3-BD16-89A16B4367E1}" id="{2765CA69-4233-45DC-9A73-4F32AC198958}">
    <tc2018:text>CCB:
请填写单位</tc2018:text>
  </tc2018:threadedComment>
  <tc2018:threadedComment ref="B243" dT="2025-06-09T08:57:04Z" personId="{373FCF26-FCE3-4CD3-BD16-89A16B4367E1}" id="{4CE23EBE-C564-45DF-956F-133CA186DAF3}">
    <tc2018:text>zyyh:
请填入原材料名称</tc2018:text>
  </tc2018:threadedComment>
  <tc2018:threadedComment ref="B290" dT="2025-06-09T08:57:04Z" personId="{373FCF26-FCE3-4CD3-BD16-89A16B4367E1}" id="{615400DE-676A-40EB-A40E-659DE3675C5C}">
    <tc2018:text>zyyh:
注意应以“万元”为单位；请输入含税价（增值税）。</tc2018:text>
  </tc2018:threadedComment>
  <tc2018:threadedComment ref="B198" dT="2025-06-09T08:57:04Z" personId="{373FCF26-FCE3-4CD3-BD16-89A16B4367E1}" id="{03EBEEE4-8C47-4A65-A270-16756D6AE34E}">
    <tc2018:text>CCB:
注意应以“万元”为单位；请输入含税价（增值税）。</tc2018:text>
  </tc2018:threadedComment>
  <tc2018:threadedComment ref="C270" dT="2025-06-09T08:57:04Z" personId="{373FCF26-FCE3-4CD3-BD16-89A16B4367E1}" id="{25F6C43D-6303-4AD3-8CC8-4F98421A8717}">
    <tc2018:text>zyyh:
请填写单位</tc2018:text>
  </tc2018:threadedComment>
  <tc2018:threadedComment ref="B232" dT="2025-06-09T08:57:04Z" personId="{373FCF26-FCE3-4CD3-BD16-89A16B4367E1}" id="{48016EB7-68AC-415A-A9BC-B793D4F4520D}">
    <tc2018:text>zyyh:
请填入原材料名称</tc2018:text>
  </tc2018:threadedComment>
  <tc2018:threadedComment ref="C259" dT="2025-06-09T08:57:04Z" personId="{373FCF26-FCE3-4CD3-BD16-89A16B4367E1}" id="{BC028121-01E3-4EFC-B20A-115D95277A8C}">
    <tc2018:text>zyyh:
请填写单位</tc2018:text>
  </tc2018:threadedComment>
  <tc2018:threadedComment ref="B289" dT="2025-06-09T08:57:04Z" personId="{373FCF26-FCE3-4CD3-BD16-89A16B4367E1}" id="{8D771ACB-E89C-4FB5-9959-6C1EF38D0F62}">
    <tc2018:text>zyyh:
请填入原材料名称</tc2018:text>
  </tc2018:threadedComment>
  <tc2018:threadedComment ref="C67" dT="2025-06-09T08:57:04Z" personId="{373FCF26-FCE3-4CD3-BD16-89A16B4367E1}" id="{82DCF943-06E1-43A3-B28F-7B0B91272DBE}">
    <tc2018:text>zyyh:
请填写单位</tc2018:text>
  </tc2018:threadedComment>
  <tc2018:threadedComment ref="B152" dT="2025-06-09T08:57:04Z" personId="{373FCF26-FCE3-4CD3-BD16-89A16B4367E1}" id="{A3733977-BC6A-41C4-8EE3-9F1C7ABE21D8}">
    <tc2018:text>CCB:
请填入原材料名称</tc2018:text>
  </tc2018:threadedComment>
  <tc2018:threadedComment ref="D12" dT="2025-06-09T08:57:04Z" personId="{373FCF26-FCE3-4CD3-BD16-89A16B4367E1}" id="{A40D5011-A443-45AA-B117-9F0DA7DB7617}">
    <tc2018:text>zyyh:
此处无数据
</tc2018:text>
  </tc2018:threadedComment>
  <tc2018:threadedComment ref="B20" dT="2025-06-09T08:57:04Z" personId="{373FCF26-FCE3-4CD3-BD16-89A16B4367E1}" id="{B0A6768F-4CD3-48BC-AB8A-4DF0872DA1AB}">
    <tc2018:text>zyyh:
注意应以“万元”为单位；请输入含税价（增值税）。</tc2018:text>
  </tc2018:threadedComment>
  <tc2018:threadedComment ref="C282" dT="2025-06-09T08:57:04Z" personId="{373FCF26-FCE3-4CD3-BD16-89A16B4367E1}" id="{8493A254-2962-4AFA-999F-8B1EBE0ADB8D}">
    <tc2018:text>zyyh:
请填写单位</tc2018:text>
  </tc2018:threadedComment>
  <tc2018:threadedComment ref="B85" dT="2025-06-09T08:57:04Z" personId="{373FCF26-FCE3-4CD3-BD16-89A16B4367E1}" id="{ABD4E724-6165-48F1-9CBE-0173797C9125}">
    <tc2018:text>zyyh:
请填入原材料名称</tc2018:text>
  </tc2018:threadedComment>
  <tc2018:threadedComment ref="B209" dT="2025-06-09T08:57:04Z" personId="{373FCF26-FCE3-4CD3-BD16-89A16B4367E1}" id="{DB70EA12-680F-4FC4-A170-0E689E03CD60}">
    <tc2018:text>CCB:
请填入原材料名称</tc2018:text>
  </tc2018:threadedComment>
</tc2018:ThreadedComments>
</file>

<file path=xl/threadedComments/threadedComment17.xml><?xml version="1.0" encoding="utf-8"?>
<tc2018:ThreadedComments xmlns:tc2018="http://schemas.microsoft.com/office/spreadsheetml/2018/threadedcomments" xmlns:mc="http://schemas.openxmlformats.org/markup-compatibility/2006" mc:Ignorable="tc2018">
  <tc2018:threadedComment ref="I203" dT="2025-06-09T08:57:04Z" personId="{373FCF26-FCE3-4CD3-BD16-89A16B4367E1}" id="{0EFC7E72-37F4-4DBD-9B46-D5F9C7BB5AEC}">
    <tc2018:text>zyyh:
缺省设置为经营期第1年，评估人员可根据项目实际情况修改、输入。</tc2018:text>
  </tc2018:threadedComment>
  <tc2018:threadedComment ref="C182" dT="2025-06-09T08:57:04Z" personId="{373FCF26-FCE3-4CD3-BD16-89A16B4367E1}" id="{4CC41776-223E-4E07-B5F0-E5DBD081A29D}">
    <tc2018:text>yyh:
可直接取值评估表2或手工填数
</tc2018:text>
  </tc2018:threadedComment>
  <tc2018:threadedComment ref="C21" dT="2025-06-09T08:57:04Z" personId="{373FCF26-FCE3-4CD3-BD16-89A16B4367E1}" id="{D6227AB9-26AC-4A5A-A85D-0FC3A32292CC}">
    <tc2018:text>zyyh:
依情况直接取值于评估表1、评估表2。下同。</tc2018:text>
  </tc2018:threadedComment>
  <tc2018:threadedComment ref="I21" dT="2025-06-09T08:57:04Z" personId="{373FCF26-FCE3-4CD3-BD16-89A16B4367E1}" id="{B5F9C8F5-DD17-4789-8F25-3D00D9CC0FAA}">
    <tc2018:text>zyyh:
缺省设置为经营期第1年，评估人员可根据项目实际情况修改、输入。</tc2018:text>
  </tc2018:threadedComment>
  <tc2018:threadedComment ref="J21" dT="2025-06-09T08:57:04Z" personId="{373FCF26-FCE3-4CD3-BD16-89A16B4367E1}" id="{E48AF6EB-0EFC-4761-97EE-C038EDF9F23A}">
    <tc2018:text>zyyh:
依据实际情况选择。
下同。</tc2018:text>
  </tc2018:threadedComment>
  <tc2018:threadedComment ref="I149" dT="2025-06-09T08:57:04Z" personId="{373FCF26-FCE3-4CD3-BD16-89A16B4367E1}" id="{31089DF1-B987-413F-9EE1-D65694511128}">
    <tc2018:text>CCB:
缺省设置为经营期第1年，评估人员可根据项目实际情况修改、输入。</tc2018:text>
  </tc2018:threadedComment>
  <tc2018:threadedComment ref="H29" dT="2025-06-09T08:57:04Z" personId="{373FCF26-FCE3-4CD3-BD16-89A16B4367E1}" id="{A25B2012-17A7-405E-B5EF-88B5BCAA9B59}">
    <tc2018:text>zyyh:
依具体项目修改折旧年限</tc2018:text>
  </tc2018:threadedComment>
  <tc2018:threadedComment ref="I109" dT="2025-06-09T08:57:04Z" personId="{373FCF26-FCE3-4CD3-BD16-89A16B4367E1}" id="{9D4DBE48-2DF1-415D-898B-8D260C87E41D}">
    <tc2018:text>CCB:
缺省设置为经营期第1年，评估人员可根据项目实际情况修改、输入。</tc2018:text>
  </tc2018:threadedComment>
  <tc2018:threadedComment ref="I61" dT="2025-06-09T08:57:04Z" personId="{373FCF26-FCE3-4CD3-BD16-89A16B4367E1}" id="{B3CAC135-9863-44F7-8BAD-A42D179DF165}">
    <tc2018:text>CCB:
缺省设置为经营期第1年，评估人员可根据项目实际情况修改、输入。</tc2018:text>
  </tc2018:threadedComment>
  <tc2018:threadedComment ref="I191" dT="2025-06-09T08:57:04Z" personId="{373FCF26-FCE3-4CD3-BD16-89A16B4367E1}" id="{BCA84B95-2DA9-47C9-9D1C-E2E6786235E7}">
    <tc2018:text>zyyh:
缺省设置为经营期第1年，评估人员可根据项目实际情况修改、输入。</tc2018:text>
  </tc2018:threadedComment>
  <tc2018:threadedComment ref="I77" dT="2025-06-09T08:57:04Z" personId="{373FCF26-FCE3-4CD3-BD16-89A16B4367E1}" id="{7F762820-BA34-4A29-800F-C6C82A98665A}">
    <tc2018:text>CCB:
缺省设置为经营期第1年，评估人员可根据项目实际情况修改、输入。</tc2018:text>
  </tc2018:threadedComment>
  <tc2018:threadedComment ref="I179" dT="2025-06-09T08:57:04Z" personId="{373FCF26-FCE3-4CD3-BD16-89A16B4367E1}" id="{17D64397-B08E-4533-996E-B98C46386399}">
    <tc2018:text>zyyh:
缺省设置为经营期第1年，评估人员可根据项目实际情况修改、输入。</tc2018:text>
  </tc2018:threadedComment>
  <tc2018:threadedComment ref="I29" dT="2025-06-09T08:57:04Z" personId="{373FCF26-FCE3-4CD3-BD16-89A16B4367E1}" id="{68E54851-72DF-47A5-A095-02EB09CD83B9}">
    <tc2018:text>zyyh:
缺省设置为经营期第1年，评估人员可根据项目实际情况修改、输入。</tc2018:text>
  </tc2018:threadedComment>
  <tc2018:threadedComment ref="I53" dT="2025-06-09T08:57:04Z" personId="{373FCF26-FCE3-4CD3-BD16-89A16B4367E1}" id="{6A515313-169A-4029-BB61-C7FA9FC43872}">
    <tc2018:text>CCB:
缺省设置为经营期第1年，评估人员可根据项目实际情况修改、输入。</tc2018:text>
  </tc2018:threadedComment>
  <tc2018:threadedComment ref="I125" dT="2025-06-09T08:57:04Z" personId="{373FCF26-FCE3-4CD3-BD16-89A16B4367E1}" id="{0607F5CC-308F-41ED-88FE-FE9817B21118}">
    <tc2018:text>CCB:
缺省设置为经营期第1年，评估人员可根据项目实际情况修改、输入。</tc2018:text>
  </tc2018:threadedComment>
  <tc2018:threadedComment ref="I185" dT="2025-06-09T08:57:04Z" personId="{373FCF26-FCE3-4CD3-BD16-89A16B4367E1}" id="{0A2FFBB4-8EEF-4255-9761-F9AD53A11E48}">
    <tc2018:text>zyyh:
缺省设置为经营期第1年，评估人员可根据项目实际情况修改、输入。</tc2018:text>
  </tc2018:threadedComment>
  <tc2018:threadedComment ref="D21" dT="2025-06-09T08:57:04Z" personId="{373FCF26-FCE3-4CD3-BD16-89A16B4367E1}" id="{648C0C40-78CF-4A73-A04A-D34098E9B032}">
    <tc2018:text>zyyh:
依据实际情况选择。
下同。
</tc2018:text>
  </tc2018:threadedComment>
  <tc2018:threadedComment ref="I117" dT="2025-06-09T08:57:04Z" personId="{373FCF26-FCE3-4CD3-BD16-89A16B4367E1}" id="{B80A3812-F73D-4FFB-8CF8-74F8D8030D38}">
    <tc2018:text>CCB:
缺省设置为经营期第1年，评估人员可根据项目实际情况修改、输入。</tc2018:text>
  </tc2018:threadedComment>
  <tc2018:threadedComment ref="I133" dT="2025-06-09T08:57:04Z" personId="{373FCF26-FCE3-4CD3-BD16-89A16B4367E1}" id="{A6307306-AFA2-4BBF-81CF-9A6620F4AE71}">
    <tc2018:text>CCB:
缺省设置为经营期第1年，评估人员可根据项目实际情况修改、输入。</tc2018:text>
  </tc2018:threadedComment>
  <tc2018:threadedComment ref="G21" dT="2025-06-09T08:57:04Z" personId="{373FCF26-FCE3-4CD3-BD16-89A16B4367E1}" id="{9AC5FD53-FDFD-4E31-A647-36C890D5983E}">
    <tc2018:text>zyyh：
取值于可研
</tc2018:text>
  </tc2018:threadedComment>
  <tc2018:threadedComment ref="I45" dT="2025-06-09T08:57:04Z" personId="{373FCF26-FCE3-4CD3-BD16-89A16B4367E1}" id="{E81FED6B-F12E-4A56-99BC-34021F9B6DA1}">
    <tc2018:text>CCB:
缺省设置为经营期第1年，如有差异，请评估人员根据实际情况输入。</tc2018:text>
  </tc2018:threadedComment>
  <tc2018:threadedComment ref="I157" dT="2025-06-09T08:57:04Z" personId="{373FCF26-FCE3-4CD3-BD16-89A16B4367E1}" id="{29A83B11-FF94-4A7F-A357-8497EF9ABFC7}">
    <tc2018:text>CCB:
缺省设置为经营期第1年，评估人员可根据项目实际情况修改、输入。</tc2018:text>
  </tc2018:threadedComment>
  <tc2018:threadedComment ref="H203" dT="2025-06-09T08:57:04Z" personId="{373FCF26-FCE3-4CD3-BD16-89A16B4367E1}" id="{A50C1764-D527-4B63-8EE7-A01E72D8D346}">
    <tc2018:text>zyyh:详见备注4
</tc2018:text>
  </tc2018:threadedComment>
  <tc2018:threadedComment ref="E21" dT="2025-06-09T08:57:04Z" personId="{373FCF26-FCE3-4CD3-BD16-89A16B4367E1}" id="{A40CB5D0-1B4D-432B-8665-3A238F35E731}">
    <tc2018:text>zyyh:
取值于可研
</tc2018:text>
  </tc2018:threadedComment>
  <tc2018:threadedComment ref="H21" dT="2025-06-09T08:57:04Z" personId="{373FCF26-FCE3-4CD3-BD16-89A16B4367E1}" id="{55CEEF50-0A46-484F-AA44-F3C873E31B2D}">
    <tc2018:text>zyyh:
依具体项目修改折旧年限
</tc2018:text>
  </tc2018:threadedComment>
  <tc2018:threadedComment ref="I182" dT="2025-06-09T08:57:04Z" personId="{373FCF26-FCE3-4CD3-BD16-89A16B4367E1}" id="{6CA6B1EF-6815-483B-8F93-5E04D5B831A0}">
    <tc2018:text>zyyh:
缺省设置为经营期第1年，评估人员可根据项目实际情况修改、输入。</tc2018:text>
  </tc2018:threadedComment>
  <tc2018:threadedComment ref="I206" dT="2025-06-09T08:57:04Z" personId="{373FCF26-FCE3-4CD3-BD16-89A16B4367E1}" id="{03B16580-FB8A-4CAA-BC12-1B6C90078486}">
    <tc2018:text>zyyh:
缺省设置为经营期第1年，评估人员可根据项目实际情况修改、输入。</tc2018:text>
  </tc2018:threadedComment>
  <tc2018:threadedComment ref="I165" dT="2025-06-09T08:57:04Z" personId="{373FCF26-FCE3-4CD3-BD16-89A16B4367E1}" id="{1A6E2A17-498B-403D-AF4C-B9176DFBE9B7}">
    <tc2018:text>CCB:
缺省设置为经营期第1年，评估人员可根据项目实际情况修改、输入。</tc2018:text>
  </tc2018:threadedComment>
  <tc2018:threadedComment ref="I197" dT="2025-06-09T08:57:04Z" personId="{373FCF26-FCE3-4CD3-BD16-89A16B4367E1}" id="{E110AA97-741C-4EC4-BB3B-898B8A9AE8D1}">
    <tc2018:text>zyyh:
缺省设置为经营期第1年，评估人员可根据项目实际情况修改、输入。</tc2018:text>
  </tc2018:threadedComment>
  <tc2018:threadedComment ref="I37" dT="2025-06-09T08:57:04Z" personId="{373FCF26-FCE3-4CD3-BD16-89A16B4367E1}" id="{E521531E-898F-442D-8DC0-5D38DB27D330}">
    <tc2018:text>zyyh:
缺省设置为经营期第1年，评估人员可根据项目实际情况修改、输入。</tc2018:text>
  </tc2018:threadedComment>
  <tc2018:threadedComment ref="I69" dT="2025-06-09T08:57:04Z" personId="{373FCF26-FCE3-4CD3-BD16-89A16B4367E1}" id="{FD2144BD-1B48-4322-8647-0530B5E4EA4F}">
    <tc2018:text>CCB:
缺省设置为经营期第1年，评估人员可根据项目实际情况修改、输入。</tc2018:text>
  </tc2018:threadedComment>
  <tc2018:threadedComment ref="C179" dT="2025-06-09T08:57:04Z" personId="{373FCF26-FCE3-4CD3-BD16-89A16B4367E1}" id="{C1AD2023-2DAC-4DEC-888F-9D6D0A7A27A7}">
    <tc2018:text>zyyh:
可直接取值评估表2或填数
</tc2018:text>
  </tc2018:threadedComment>
  <tc2018:threadedComment ref="C22" dT="2025-06-09T08:57:04Z" personId="{373FCF26-FCE3-4CD3-BD16-89A16B4367E1}" id="{1B144332-ED59-433A-900A-0FFAB1053688}">
    <tc2018:text>zyyh:
固定资产折旧常用方法：平均年限法、加倍折旧法、工作量法和年数总和法。
评估人员视项目情况及可研而定。
</tc2018:text>
  </tc2018:threadedComment>
  <tc2018:threadedComment ref="I194" dT="2025-06-09T08:57:04Z" personId="{373FCF26-FCE3-4CD3-BD16-89A16B4367E1}" id="{D3D6FDCD-9789-4C5D-AC37-6BA1024F2AB3}">
    <tc2018:text>zyyh:
缺省设置为经营期第1年，评估人员可根据项目实际情况修改、输入。</tc2018:text>
  </tc2018:threadedComment>
  <tc2018:threadedComment ref="I93" dT="2025-06-09T08:57:04Z" personId="{373FCF26-FCE3-4CD3-BD16-89A16B4367E1}" id="{4FC00A95-2003-442D-9364-0090721E9511}">
    <tc2018:text>CCB:
缺省设置为经营期第1年，评估人员可根据项目实际情况修改、输入。</tc2018:text>
  </tc2018:threadedComment>
  <tc2018:threadedComment ref="I101" dT="2025-06-09T08:57:04Z" personId="{373FCF26-FCE3-4CD3-BD16-89A16B4367E1}" id="{1B1C2025-0C93-4A02-9A05-173C36A8EEDC}">
    <tc2018:text>CCB:
缺省设置为经营期第1年，评估人员可根据项目实际情况修改、输入。</tc2018:text>
  </tc2018:threadedComment>
  <tc2018:threadedComment ref="I85" dT="2025-06-09T08:57:04Z" personId="{373FCF26-FCE3-4CD3-BD16-89A16B4367E1}" id="{6A368C2F-CBBF-47EB-A7E6-617917A7809F}">
    <tc2018:text>CCB:
缺省设置为经营期第1年，评估人员可根据项目实际情况修改、输入。</tc2018:text>
  </tc2018:threadedComment>
</tc2018:ThreadedComments>
</file>

<file path=xl/threadedComments/threadedComment18.xml><?xml version="1.0" encoding="utf-8"?>
<tc2018:ThreadedComments xmlns:tc2018="http://schemas.microsoft.com/office/spreadsheetml/2018/threadedcomments" xmlns:mc="http://schemas.openxmlformats.org/markup-compatibility/2006" mc:Ignorable="tc2018">
  <tc2018:threadedComment ref="C71" dT="2025-06-09T08:57:04Z" personId="{373FCF26-FCE3-4CD3-BD16-89A16B4367E1}" id="{19D017C7-A3A5-4EB1-8CAA-45D47C599298}">
    <tc2018:text>zyyh:
请填写单位</tc2018:text>
  </tc2018:threadedComment>
  <tc2018:threadedComment ref="G88" dT="2025-06-09T08:57:04Z" personId="{373FCF26-FCE3-4CD3-BD16-89A16B4367E1}" id="{E5EF56AB-0C79-4F2F-807A-9B4706390768}">
    <tc2018:text>zyyh:
单价*辅助表7N11</tc2018:text>
  </tc2018:threadedComment>
  <tc2018:threadedComment ref="C91" dT="2025-06-09T08:57:04Z" personId="{373FCF26-FCE3-4CD3-BD16-89A16B4367E1}" id="{52880C36-7731-4E9E-AA76-9D38CACE48C0}">
    <tc2018:text>zyyh:
请填写单位</tc2018:text>
  </tc2018:threadedComment>
  <tc2018:threadedComment ref="G148" dT="2025-06-09T08:57:04Z" personId="{373FCF26-FCE3-4CD3-BD16-89A16B4367E1}" id="{456877F7-FCB3-4763-AAF6-FA88BDE4EC22}">
    <tc2018:text>zyyh:
单价*辅助表7N11</tc2018:text>
  </tc2018:threadedComment>
  <tc2018:threadedComment ref="B98" dT="2025-06-09T08:57:04Z" personId="{373FCF26-FCE3-4CD3-BD16-89A16B4367E1}" id="{4B011189-D86B-416D-885D-3372EC60ED3A}">
    <tc2018:text>zyyh:
注意应以“万元”为单位；请输入含税价（增值税）。</tc2018:text>
  </tc2018:threadedComment>
  <tc2018:threadedComment ref="B107" dT="2025-06-09T08:57:04Z" personId="{373FCF26-FCE3-4CD3-BD16-89A16B4367E1}" id="{D8B8CC46-57A6-4C92-9A6F-918832404D61}">
    <tc2018:text>zyyh:
请填入产品名</tc2018:text>
  </tc2018:threadedComment>
  <tc2018:threadedComment ref="B147" dT="2025-06-09T08:57:04Z" personId="{373FCF26-FCE3-4CD3-BD16-89A16B4367E1}" id="{C2FF160C-B7C0-43AB-9DBA-3FA94427B899}">
    <tc2018:text>zyyh:
请填入产品名称</tc2018:text>
  </tc2018:threadedComment>
  <tc2018:threadedComment ref="C111" dT="2025-06-09T08:57:04Z" personId="{373FCF26-FCE3-4CD3-BD16-89A16B4367E1}" id="{C370CA8C-0560-4136-813B-D2D350E5F631}">
    <tc2018:text>zyyh:
请填写单位</tc2018:text>
  </tc2018:threadedComment>
  <tc2018:threadedComment ref="G118" dT="2025-06-09T08:57:04Z" personId="{373FCF26-FCE3-4CD3-BD16-89A16B4367E1}" id="{DA5F586E-601A-41D3-9C4F-2A27F10FD7E0}">
    <tc2018:text>zyyh:
单价*辅助表7N11</tc2018:text>
  </tc2018:threadedComment>
  <tc2018:threadedComment ref="G58" dT="2025-06-09T08:57:04Z" personId="{373FCF26-FCE3-4CD3-BD16-89A16B4367E1}" id="{DBFCECC8-3543-44C0-8032-DBB985352657}">
    <tc2018:text>zyyh:
单价*辅助表7N11</tc2018:text>
  </tc2018:threadedComment>
  <tc2018:threadedComment ref="C161" dT="2025-06-09T08:57:04Z" personId="{373FCF26-FCE3-4CD3-BD16-89A16B4367E1}" id="{BD4F2A66-0D87-4C3E-9333-0BBF96762F5C}">
    <tc2018:text>zyyh:
请填写单位</tc2018:text>
  </tc2018:threadedComment>
  <tc2018:threadedComment ref="B87" dT="2025-06-09T08:57:04Z" personId="{373FCF26-FCE3-4CD3-BD16-89A16B4367E1}" id="{75C76BEE-2471-49A2-8F2A-3D56A88D5CEB}">
    <tc2018:text>zyyh:
请填入产品名</tc2018:text>
  </tc2018:threadedComment>
  <tc2018:threadedComment ref="B118" dT="2025-06-09T08:57:04Z" personId="{373FCF26-FCE3-4CD3-BD16-89A16B4367E1}" id="{83F27D74-12F0-4F45-AFA3-81A78B9CDC71}">
    <tc2018:text>zyyh:
注意应以“万元”为单位；请输入含税价（增值税）。</tc2018:text>
  </tc2018:threadedComment>
  <tc2018:threadedComment ref="C141" dT="2025-06-09T08:57:04Z" personId="{373FCF26-FCE3-4CD3-BD16-89A16B4367E1}" id="{3FC8ED4F-927E-45DF-A1B8-5D9EA549A6A7}">
    <tc2018:text>zyyh:
请填写单位</tc2018:text>
  </tc2018:threadedComment>
  <tc2018:threadedComment ref="G158" dT="2025-06-09T08:57:04Z" personId="{373FCF26-FCE3-4CD3-BD16-89A16B4367E1}" id="{E591CD33-8F13-454E-9391-68A4A712B3FE}">
    <tc2018:text>zyyh:
单价*辅助表7N11</tc2018:text>
  </tc2018:threadedComment>
  <tc2018:threadedComment ref="G98" dT="2025-06-09T08:57:04Z" personId="{373FCF26-FCE3-4CD3-BD16-89A16B4367E1}" id="{12FD49E2-76A3-451F-8420-F243A5210DB9}">
    <tc2018:text>zyyh:
单价*辅助表7N11</tc2018:text>
  </tc2018:threadedComment>
  <tc2018:threadedComment ref="G108" dT="2025-06-09T08:57:04Z" personId="{373FCF26-FCE3-4CD3-BD16-89A16B4367E1}" id="{3996A725-4B47-4375-9851-E5FDEBC4A05F}">
    <tc2018:text>zyyh:
单价*辅助表7N11</tc2018:text>
  </tc2018:threadedComment>
  <tc2018:threadedComment ref="B157" dT="2025-06-09T08:57:04Z" personId="{373FCF26-FCE3-4CD3-BD16-89A16B4367E1}" id="{6E4053E2-4DFF-48C0-A260-DD3FF1E8379B}">
    <tc2018:text>zyyh:
请填入产品名</tc2018:text>
  </tc2018:threadedComment>
  <tc2018:threadedComment ref="B57" dT="2025-06-09T08:57:04Z" personId="{373FCF26-FCE3-4CD3-BD16-89A16B4367E1}" id="{D6901AB3-6DB0-4A19-9CF9-3C28052FC080}">
    <tc2018:text>zyyh:
请填入产品名</tc2018:text>
  </tc2018:threadedComment>
  <tc2018:threadedComment ref="C53" dT="2025-06-09T08:57:04Z" personId="{373FCF26-FCE3-4CD3-BD16-89A16B4367E1}" id="{D9DB49A4-7B53-4BF8-8B9F-50D26B646A66}">
    <tc2018:text>zyyh:
依据产品增值税率而定
</tc2018:text>
  </tc2018:threadedComment>
  <tc2018:threadedComment ref="C31" dT="2025-06-09T08:57:04Z" personId="{373FCF26-FCE3-4CD3-BD16-89A16B4367E1}" id="{8134A174-E249-4E99-96AE-13414F5D3D7F}">
    <tc2018:text>zyyh:
此处填单位。</tc2018:text>
  </tc2018:threadedComment>
  <tc2018:threadedComment ref="B158" dT="2025-06-09T08:57:04Z" personId="{373FCF26-FCE3-4CD3-BD16-89A16B4367E1}" id="{9EDCCBA6-45E4-44CE-ADAC-FE28DC97E06C}">
    <tc2018:text>zyyh:
注意应以“万元”为单位；请输入含税价（增值税）。</tc2018:text>
  </tc2018:threadedComment>
  <tc2018:threadedComment ref="B117" dT="2025-06-09T08:57:04Z" personId="{373FCF26-FCE3-4CD3-BD16-89A16B4367E1}" id="{42EF5784-9135-4C80-947F-09199914EEB8}">
    <tc2018:text>zyyh:
请填入产品名</tc2018:text>
  </tc2018:threadedComment>
  <tc2018:threadedComment ref="G68" dT="2025-06-09T08:57:04Z" personId="{373FCF26-FCE3-4CD3-BD16-89A16B4367E1}" id="{3A5E7208-0BBD-4DDE-BF04-8D26DC4712B8}">
    <tc2018:text>zyyh:
单价*辅助表7N11</tc2018:text>
  </tc2018:threadedComment>
  <tc2018:threadedComment ref="C51" dT="2025-06-09T08:57:04Z" personId="{373FCF26-FCE3-4CD3-BD16-89A16B4367E1}" id="{63E6BAE7-7908-4711-9934-FB57D774B635}">
    <tc2018:text>zyyh:
请填写单位</tc2018:text>
  </tc2018:threadedComment>
  <tc2018:threadedComment ref="G128" dT="2025-06-09T08:57:04Z" personId="{373FCF26-FCE3-4CD3-BD16-89A16B4367E1}" id="{7BECF297-3A1E-4C2A-9E8B-A705B3C45D3A}">
    <tc2018:text>zyyh:
单价*辅助表7N11</tc2018:text>
  </tc2018:threadedComment>
  <tc2018:threadedComment ref="B47" dT="2025-06-09T08:57:04Z" personId="{373FCF26-FCE3-4CD3-BD16-89A16B4367E1}" id="{76C42C90-635C-4E84-AB1C-F1BCAA579631}">
    <tc2018:text>zyyh:
请填入产品名称</tc2018:text>
  </tc2018:threadedComment>
  <tc2018:threadedComment ref="B68" dT="2025-06-09T08:57:04Z" personId="{373FCF26-FCE3-4CD3-BD16-89A16B4367E1}" id="{CBC268EC-3DBF-475A-BE74-F6766E44F7BC}">
    <tc2018:text>zyyh:
注意应以“万元”为单位；请输入含税价（增值税）。</tc2018:text>
  </tc2018:threadedComment>
  <tc2018:threadedComment ref="B108" dT="2025-06-09T08:57:04Z" personId="{373FCF26-FCE3-4CD3-BD16-89A16B4367E1}" id="{A3982624-7F2C-48D3-B637-77EDA6D170D6}">
    <tc2018:text>zyyh:
注意应以“万元”为单位；请输入含税价（增值税）。</tc2018:text>
  </tc2018:threadedComment>
  <tc2018:threadedComment ref="B137" dT="2025-06-09T08:57:04Z" personId="{373FCF26-FCE3-4CD3-BD16-89A16B4367E1}" id="{D064EF77-D56D-4829-BF50-A875029D275E}">
    <tc2018:text>zyyh:
请填入产品名</tc2018:text>
  </tc2018:threadedComment>
  <tc2018:threadedComment ref="C41" dT="2025-06-09T08:57:04Z" personId="{373FCF26-FCE3-4CD3-BD16-89A16B4367E1}" id="{7735676D-DBB7-4330-BBC1-94CFD8643703}">
    <tc2018:text>zyyh:
请填写单位</tc2018:text>
  </tc2018:threadedComment>
  <tc2018:threadedComment ref="B168" dT="2025-06-09T08:57:04Z" personId="{373FCF26-FCE3-4CD3-BD16-89A16B4367E1}" id="{051095B3-8F1D-403C-9474-0E1AAE5682F1}">
    <tc2018:text>zyyh:
注意应以“万元”为单位；请输入含税价（增值税）。</tc2018:text>
  </tc2018:threadedComment>
  <tc2018:threadedComment ref="B77" dT="2025-06-09T08:57:04Z" personId="{373FCF26-FCE3-4CD3-BD16-89A16B4367E1}" id="{BEC00C3A-5DE9-4E28-BF87-DB51F28CEAD7}">
    <tc2018:text>zyyh:
请填入产品名</tc2018:text>
  </tc2018:threadedComment>
  <tc2018:threadedComment ref="C81" dT="2025-06-09T08:57:04Z" personId="{373FCF26-FCE3-4CD3-BD16-89A16B4367E1}" id="{87CF24F9-24CA-462B-A999-620C9992F166}">
    <tc2018:text>zyyh:
请填写单位</tc2018:text>
  </tc2018:threadedComment>
  <tc2018:threadedComment ref="B128" dT="2025-06-09T08:57:04Z" personId="{373FCF26-FCE3-4CD3-BD16-89A16B4367E1}" id="{E3B2CB9A-F470-4E27-BD7D-FF50E9A12B21}">
    <tc2018:text>zyyh:
注意应以“万元”为单位；请输入含税价（增值税）。</tc2018:text>
  </tc2018:threadedComment>
  <tc2018:threadedComment ref="B138" dT="2025-06-09T08:57:04Z" personId="{373FCF26-FCE3-4CD3-BD16-89A16B4367E1}" id="{5582BCDE-27C5-4E33-B981-41727BC51837}">
    <tc2018:text>zyyh:
注意应以“万元”为单位；请输入含税价（增值税）。</tc2018:text>
  </tc2018:threadedComment>
  <tc2018:threadedComment ref="C61" dT="2025-06-09T08:57:04Z" personId="{373FCF26-FCE3-4CD3-BD16-89A16B4367E1}" id="{AE03A0E6-E9DA-4F76-9714-F70D706B6FC2}">
    <tc2018:text>zyyh:
请填写单位</tc2018:text>
  </tc2018:threadedComment>
  <tc2018:threadedComment ref="B127" dT="2025-06-09T08:57:04Z" personId="{373FCF26-FCE3-4CD3-BD16-89A16B4367E1}" id="{C1340319-12C6-48B3-A175-9131F434A207}">
    <tc2018:text>zyyh:
请填入产品名</tc2018:text>
  </tc2018:threadedComment>
  <tc2018:threadedComment ref="G38" dT="2025-06-09T08:57:04Z" personId="{373FCF26-FCE3-4CD3-BD16-89A16B4367E1}" id="{CD40CD4D-7D4B-4158-9B08-E2672EC4F96A}">
    <tc2018:text>zyyh:
单价*辅助表7N11</tc2018:text>
  </tc2018:threadedComment>
  <tc2018:threadedComment ref="B97" dT="2025-06-09T08:57:04Z" personId="{373FCF26-FCE3-4CD3-BD16-89A16B4367E1}" id="{8961147F-AF65-4725-9381-203BDA7A7D48}">
    <tc2018:text>zyyh:
请填入产品名</tc2018:text>
  </tc2018:threadedComment>
  <tc2018:threadedComment ref="C151" dT="2025-06-09T08:57:04Z" personId="{373FCF26-FCE3-4CD3-BD16-89A16B4367E1}" id="{EFD18437-951D-406F-B83C-DA12AA40A817}">
    <tc2018:text>zyyh:
请填写单位</tc2018:text>
  </tc2018:threadedComment>
  <tc2018:threadedComment ref="B88" dT="2025-06-09T08:57:04Z" personId="{373FCF26-FCE3-4CD3-BD16-89A16B4367E1}" id="{ECCBD4ED-317D-4343-AAD8-499DCACD6650}">
    <tc2018:text>zyyh:
注意应以“万元”为单位；请输入含税价（增值税）。</tc2018:text>
  </tc2018:threadedComment>
  <tc2018:threadedComment ref="C171" dT="2025-06-09T08:57:04Z" personId="{373FCF26-FCE3-4CD3-BD16-89A16B4367E1}" id="{C4F79EA9-6522-4D70-AB76-989B2FB2659B}">
    <tc2018:text>zyyh:
请填写单位</tc2018:text>
  </tc2018:threadedComment>
  <tc2018:threadedComment ref="G78" dT="2025-06-09T08:57:04Z" personId="{373FCF26-FCE3-4CD3-BD16-89A16B4367E1}" id="{4392B31C-073A-4D66-BA82-4B977EC57D81}">
    <tc2018:text>zyyh:
单价*辅助表7N11</tc2018:text>
  </tc2018:threadedComment>
  <tc2018:threadedComment ref="B38" dT="2025-06-09T08:57:04Z" personId="{373FCF26-FCE3-4CD3-BD16-89A16B4367E1}" id="{22AE03EF-BD80-4F17-868B-B2F0136DAC2A}">
    <tc2018:text>zyyh:
注意应以“万元”为单位；请输入含税价（增值税）。</tc2018:text>
  </tc2018:threadedComment>
  <tc2018:threadedComment ref="B148" dT="2025-06-09T08:57:04Z" personId="{373FCF26-FCE3-4CD3-BD16-89A16B4367E1}" id="{42E2DE46-9EE8-469C-B746-49845EA2080B}">
    <tc2018:text>zyyh:
注意应以“万元”为单位；请输入含税价（增值税）。</tc2018:text>
  </tc2018:threadedComment>
  <tc2018:threadedComment ref="C131" dT="2025-06-09T08:57:04Z" personId="{373FCF26-FCE3-4CD3-BD16-89A16B4367E1}" id="{BFF184E7-D06D-4EA9-8731-2CF1AFF192D9}">
    <tc2018:text>zyyh:
请填写单位</tc2018:text>
  </tc2018:threadedComment>
  <tc2018:threadedComment ref="B48" dT="2025-06-09T08:57:04Z" personId="{373FCF26-FCE3-4CD3-BD16-89A16B4367E1}" id="{82F36375-ECE4-4D9B-98E9-F3EEA9985A51}">
    <tc2018:text>zyyh:
注意应以“万元”为单位；请输入含税价（增值税）。</tc2018:text>
  </tc2018:threadedComment>
  <tc2018:threadedComment ref="B67" dT="2025-06-09T08:57:04Z" personId="{373FCF26-FCE3-4CD3-BD16-89A16B4367E1}" id="{7121AD7C-BEC7-4BAE-BB1F-A8F80C590536}">
    <tc2018:text>zyyh:
请填入产品名</tc2018:text>
  </tc2018:threadedComment>
  <tc2018:threadedComment ref="B27" dT="2025-06-09T08:57:04Z" personId="{373FCF26-FCE3-4CD3-BD16-89A16B4367E1}" id="{CAC12C60-E717-4A2A-89DA-BD53233E939D}">
    <tc2018:text>zyyh:
请填入产品名称</tc2018:text>
  </tc2018:threadedComment>
  <tc2018:threadedComment ref="C121" dT="2025-06-09T08:57:04Z" personId="{373FCF26-FCE3-4CD3-BD16-89A16B4367E1}" id="{8C97B028-88AA-44BB-8F38-2059E383A1F0}">
    <tc2018:text>zyyh:
请填写单位</tc2018:text>
  </tc2018:threadedComment>
  <tc2018:threadedComment ref="C43" dT="2025-06-09T08:57:04Z" personId="{373FCF26-FCE3-4CD3-BD16-89A16B4367E1}" id="{1374053B-BF47-4C6C-8617-A9C49B6078BC}">
    <tc2018:text>zyyh:
依据产品增值税率而定
</tc2018:text>
  </tc2018:threadedComment>
  <tc2018:threadedComment ref="G168" dT="2025-06-09T08:57:04Z" personId="{373FCF26-FCE3-4CD3-BD16-89A16B4367E1}" id="{DAAC7653-4B6D-446F-810F-59571DD52233}">
    <tc2018:text>zyyh:
单价*辅助表7N11</tc2018:text>
  </tc2018:threadedComment>
  <tc2018:threadedComment ref="B37" dT="2025-06-09T08:57:04Z" personId="{373FCF26-FCE3-4CD3-BD16-89A16B4367E1}" id="{775CDB4B-4A1C-4781-8F5A-7957EF0C41F9}">
    <tc2018:text>zyyh:
请填入产品名称</tc2018:text>
  </tc2018:threadedComment>
  <tc2018:threadedComment ref="B28" dT="2025-06-09T08:57:04Z" personId="{373FCF26-FCE3-4CD3-BD16-89A16B4367E1}" id="{A3A23E45-31F6-4556-9722-B504AFA4A3EE}">
    <tc2018:text>zyyh:
注意应以“万元”为单位；请输入含税价（增值税）。且单价价格须关联敏感性因素中“产品价格”。下同。</tc2018:text>
  </tc2018:threadedComment>
  <tc2018:threadedComment ref="G138" dT="2025-06-09T08:57:04Z" personId="{373FCF26-FCE3-4CD3-BD16-89A16B4367E1}" id="{C3373578-5A1D-4F50-B353-6BB049EE70C2}">
    <tc2018:text>zyyh:
单价*辅助表7N11</tc2018:text>
  </tc2018:threadedComment>
  <tc2018:threadedComment ref="C101" dT="2025-06-09T08:57:04Z" personId="{373FCF26-FCE3-4CD3-BD16-89A16B4367E1}" id="{67C2B15B-184B-4ABB-BD2D-AFAEB309C634}">
    <tc2018:text>zyyh:
请填写单位</tc2018:text>
  </tc2018:threadedComment>
  <tc2018:threadedComment ref="G48" dT="2025-06-09T08:57:04Z" personId="{373FCF26-FCE3-4CD3-BD16-89A16B4367E1}" id="{26248778-9354-4186-A7C8-4072D03B12DC}">
    <tc2018:text>zyyh:
单价*辅助表7N11</tc2018:text>
  </tc2018:threadedComment>
  <tc2018:threadedComment ref="B167" dT="2025-06-09T08:57:04Z" personId="{373FCF26-FCE3-4CD3-BD16-89A16B4367E1}" id="{9E25351A-FD67-4EC6-8E08-190969C3AA47}">
    <tc2018:text>zyyh:
请填入产品名</tc2018:text>
  </tc2018:threadedComment>
  <tc2018:threadedComment ref="B58" dT="2025-06-09T08:57:04Z" personId="{373FCF26-FCE3-4CD3-BD16-89A16B4367E1}" id="{AB2E87F0-F3AA-4406-B229-123B0AFAF62F}">
    <tc2018:text>zyyh:
注意应以“万元”为单位；请输入含税价（增值税）。</tc2018:text>
  </tc2018:threadedComment>
  <tc2018:threadedComment ref="B78" dT="2025-06-09T08:57:04Z" personId="{373FCF26-FCE3-4CD3-BD16-89A16B4367E1}" id="{780D19A5-59DB-4CD2-883F-F30574718CCD}">
    <tc2018:text>zyyh:
注意应以“万元”为单位；请输入含税价（增值税）。</tc2018:text>
  </tc2018:threadedComment>
</tc2018:ThreadedComments>
</file>

<file path=xl/threadedComments/threadedComment19.xml><?xml version="1.0" encoding="utf-8"?>
<tc2018:ThreadedComments xmlns:tc2018="http://schemas.microsoft.com/office/spreadsheetml/2018/threadedcomments" xmlns:mc="http://schemas.openxmlformats.org/markup-compatibility/2006" mc:Ignorable="tc2018">
  <tc2018:threadedComment ref="B25" dT="2025-06-09T08:57:04Z" personId="{373FCF26-FCE3-4CD3-BD16-89A16B4367E1}" id="{64DF2362-1A79-433A-B5C3-2334443B0A3F}">
    <tc2018:text>zyyh:
因评估评级系统需要输入整数月，因此向上取整。</tc2018:text>
  </tc2018:threadedComment>
  <tc2018:threadedComment ref="B27" dT="2025-06-09T08:57:04Z" personId="{373FCF26-FCE3-4CD3-BD16-89A16B4367E1}" id="{D0D12C38-4EC3-4651-8C77-34D8A97ED3CD}">
    <tc2018:text>zyyh:
因评估评级系统需要输入整数月，因此向上取整。</tc2018:text>
  </tc2018:threadedComment>
</tc2018:ThreadedComments>
</file>

<file path=xl/threadedComments/threadedComment2.xml><?xml version="1.0" encoding="utf-8"?>
<tc2018:ThreadedComments xmlns:tc2018="http://schemas.microsoft.com/office/spreadsheetml/2018/threadedcomments" xmlns:mc="http://schemas.openxmlformats.org/markup-compatibility/2006" mc:Ignorable="tc2018">
  <tc2018:threadedComment ref="Y2" dT="2025-06-09T08:57:04Z" personId="{373FCF26-FCE3-4CD3-BD16-89A16B4367E1}" id="{17B3A94D-EEBC-4B85-A4AF-F16FC1395BC7}">
    <tc2018:text>xingming:
目前系统内没有该字段，考虑全行推广时优化。</tc2018:text>
  </tc2018:threadedComment>
  <tc2018:threadedComment ref="V2" dT="2025-06-09T08:57:04Z" personId="{373FCF26-FCE3-4CD3-BD16-89A16B4367E1}" id="{C27599B8-B5CC-4D09-A6A3-EACA338878DB}">
    <tc2018:text>xingming:
目前系统内没有该字段，考虑全行推广时优化。</tc2018:text>
  </tc2018:threadedComment>
  <tc2018:threadedComment ref="AQ2" dT="2025-06-09T08:57:04Z" personId="{373FCF26-FCE3-4CD3-BD16-89A16B4367E1}" id="{EC83DE8E-06FF-40D0-864D-034A2091D498}">
    <tc2018:text>xingming:
每个环节的时间为提交日期减去接收日期，需要剔除补充材料等时间，要保留到小数点后一位。</tc2018:text>
  </tc2018:threadedComment>
  <tc2018:threadedComment ref="H2" dT="2025-06-09T08:57:04Z" personId="{373FCF26-FCE3-4CD3-BD16-89A16B4367E1}" id="{A9EC9F16-39E3-486B-8421-230A7BEDB238}">
    <tc2018:text>xingming:
项目融资评估评级、房地产专业贷款评估评级、固定资产贷款项目评估、房地产开发贷款项目评估。</tc2018:text>
  </tc2018:threadedComment>
  <tc2018:threadedComment ref="J3" dT="2025-06-09T08:57:04Z" personId="{373FCF26-FCE3-4CD3-BD16-89A16B4367E1}" id="{78BBD9B4-54A0-4ADB-8FD1-7736140F7C32}">
    <tc2018:text>xingming:
具体授信品种，比如基建、技改、房开贷、商用物业抵押、土地储备。</tc2018:text>
  </tc2018:threadedComment>
  <tc2018:threadedComment ref="BH2" dT="2025-06-09T08:57:04Z" personId="{373FCF26-FCE3-4CD3-BD16-89A16B4367E1}" id="{4346BA01-2951-40E0-A47D-5FBFE2A45DA5}">
    <tc2018:text>xingming:
系统内评估评级和业务申报两条流程未连通，目前无法直接抽取，考虑全行推广时优化。</tc2018:text>
  </tc2018:threadedComment>
  <tc2018:threadedComment ref="S2" dT="2025-06-09T08:57:04Z" personId="{373FCF26-FCE3-4CD3-BD16-89A16B4367E1}" id="{AC811135-67F5-4D0A-819E-52A6B186AEFC}">
    <tc2018:text>xingming:
目前系统内没有该字段，考虑全行推广时优化。</tc2018:text>
  </tc2018:threadedComment>
  <tc2018:threadedComment ref="AP3" dT="2025-06-09T08:57:04Z" personId="{373FCF26-FCE3-4CD3-BD16-89A16B4367E1}" id="{58D00BC0-76E3-4804-8135-45D8F31F1E42}">
    <tc2018:text>xingming:
项目评估为可选项</tc2018:text>
  </tc2018:threadedComment>
  <tc2018:threadedComment ref="I3" dT="2025-06-09T08:57:04Z" personId="{373FCF26-FCE3-4CD3-BD16-89A16B4367E1}" id="{76BDC14C-DFB0-4FCB-A1A6-110A88A95935}">
    <tc2018:text>xingming:
九大类额度，比如固贷、房贷。</tc2018:text>
  </tc2018:threadedComment>
</tc2018:ThreadedComments>
</file>

<file path=xl/threadedComments/threadedComment3.xml><?xml version="1.0" encoding="utf-8"?>
<tc2018:ThreadedComments xmlns:tc2018="http://schemas.microsoft.com/office/spreadsheetml/2018/threadedcomments" xmlns:mc="http://schemas.openxmlformats.org/markup-compatibility/2006" mc:Ignorable="tc2018">
  <tc2018:threadedComment ref="A1" dT="2025-06-09T08:57:04Z" personId="{373FCF26-FCE3-4CD3-BD16-89A16B4367E1}" id="{133927D6-0400-4EBA-BF7A-834B2FE6572C}">
    <tc2018:text>软件开发团队信息
   《中国建设银行项目评估计算系统》由浙江省风险管理部负责开发，软件开发团队各成员具体分工如下：
胡志刚：负责系统总体设计、标准模型开发、基础算法研发、各项可执行功能算法研发，并具体负责工业、公用事业、房地产、商用物业抵押模块开发，系统整体测试、修改、定型。
许华：负责医院、事业法人、并购模块开发
陈恒：负责运输模块开发
汪颐：负责采矿模块开发
黎凌：负责铁路模块开发
程晓东：负责公路模块开发
顾焕：负责学校模块开发
软件开发总负责人：胡志刚
                                2010年9月</tc2018:text>
  </tc2018:threadedComment>
</tc2018:ThreadedComments>
</file>

<file path=xl/threadedComments/threadedComment4.xml><?xml version="1.0" encoding="utf-8"?>
<tc2018:ThreadedComments xmlns:tc2018="http://schemas.microsoft.com/office/spreadsheetml/2018/threadedcomments" xmlns:mc="http://schemas.openxmlformats.org/markup-compatibility/2006" mc:Ignorable="tc2018">
  <tc2018:threadedComment ref="A1" dT="2025-06-09T08:57:04Z" personId="{373FCF26-FCE3-4CD3-BD16-89A16B4367E1}" id="{61BCDC44-0A52-40D0-A9C1-4FC25E2E0D11}">
    <tc2018:text>软件开发团队信息
   《中国建设银行项目评估计算系统》由浙江省风险管理部负责开发，软件开发团队各成员具体分工如下：
胡志刚：负责系统总体设计、标准模型开发、基础算法研发、各项可执行功能算法研发，并具体负责工业、公用事业、房地产、商用物业抵押模块开发，系统整体测试、修改、定型。
许华：负责医院、事业法人、并购模块开发
陈恒：负责运输模块开发
汪颐：负责采矿模块开发
黎凌：负责铁路模块开发
程晓东：负责公路模块开发
顾焕：负责学校模块开发
软件开发总负责人：胡志刚
                                2010年9月</tc2018:text>
  </tc2018:threadedComment>
</tc2018:ThreadedComments>
</file>

<file path=xl/threadedComments/threadedComment5.xml><?xml version="1.0" encoding="utf-8"?>
<tc2018:ThreadedComments xmlns:tc2018="http://schemas.microsoft.com/office/spreadsheetml/2018/threadedcomments" xmlns:mc="http://schemas.openxmlformats.org/markup-compatibility/2006" mc:Ignorable="tc2018">
  <tc2018:threadedComment ref="A1" dT="2025-06-09T08:57:04Z" personId="{373FCF26-FCE3-4CD3-BD16-89A16B4367E1}" id="{36A109F2-7A44-4A53-8867-DE9B172F3AA4}">
    <tc2018:text>软件开发团队信息
   《中国建设银行项目评估计算系统》由浙江省风险管理部负责开发，软件开发团队各成员具体分工如下：
胡志刚：负责系统总体设计、标准模型开发、基础算法研发、各项可执行功能算法研发，并具体负责工业、公用事业、房地产、商用物业抵押模块开发，系统整体测试、修改、定型。
许华：负责医院、事业法人、并购模块开发
陈恒：负责运输模块开发
汪颐：负责采矿模块开发
黎凌：负责铁路模块开发
程晓东：负责公路模块开发
顾焕：负责学校模块开发
软件开发总负责人：胡志刚
                                2010年9月
</tc2018:text>
  </tc2018:threadedComment>
</tc2018:ThreadedComments>
</file>

<file path=xl/threadedComments/threadedComment6.xml><?xml version="1.0" encoding="utf-8"?>
<tc2018:ThreadedComments xmlns:tc2018="http://schemas.microsoft.com/office/spreadsheetml/2018/threadedcomments" xmlns:mc="http://schemas.openxmlformats.org/markup-compatibility/2006" mc:Ignorable="tc2018">
  <tc2018:threadedComment ref="A1" dT="2025-06-09T08:57:04Z" personId="{373FCF26-FCE3-4CD3-BD16-89A16B4367E1}" id="{3143D804-61E1-4A10-B0AE-13D72472D2E6}">
    <tc2018:text>软件开发团队信息
   《中国建设银行项目评估计算系统》由浙江省风险管理部负责开发，软件开发团队各成员具体分工如下：
胡志刚：负责系统总体设计、标准模型开发、基础算法研发、各项可执行功能算法研发，并具体负责工业、公用事业、房地产、商用物业抵押模块开发，系统整体测试、修改、定型。
许华：负责医院、事业法人、并购模块开发
陈恒：负责运输模块开发
汪颐：负责采矿模块开发
黎凌：负责铁路模块开发
程晓东：负责公路模块开发
顾焕：负责学校模块开发
软件开发总负责人：胡志刚
                                2010年9月
</tc2018:text>
  </tc2018:threadedComment>
</tc2018:ThreadedComments>
</file>

<file path=xl/threadedComments/threadedComment7.xml><?xml version="1.0" encoding="utf-8"?>
<tc2018:ThreadedComments xmlns:tc2018="http://schemas.microsoft.com/office/spreadsheetml/2018/threadedcomments" xmlns:mc="http://schemas.openxmlformats.org/markup-compatibility/2006" mc:Ignorable="tc2018">
  <tc2018:threadedComment ref="F4" dT="2025-06-09T08:57:04Z" personId="{373FCF26-FCE3-4CD3-BD16-89A16B4367E1}" id="{D14A3B3B-AED3-4D42-A0D2-59B4D94E41E8}">
    <tc2018:text>zyyh:
此列如有则填写</tc2018:text>
  </tc2018:threadedComment>
  <tc2018:threadedComment ref="B36" dT="2025-06-09T08:57:04Z" personId="{373FCF26-FCE3-4CD3-BD16-89A16B4367E1}" id="{8D1CCCC8-85BB-4106-A5C8-E5B2313B69FA}">
    <tc2018:text>zyyh:
此行如有则填写</tc2018:text>
  </tc2018:threadedComment>
  <tc2018:threadedComment ref="B41" dT="2025-06-09T08:57:04Z" personId="{373FCF26-FCE3-4CD3-BD16-89A16B4367E1}" id="{AE77C1A2-8BD8-4393-BAAB-17AF930BADE2}">
    <tc2018:text>zyyh:
依行业政策而定。
</tc2018:text>
  </tc2018:threadedComment>
  <tc2018:threadedComment ref="H4" dT="2025-06-09T08:57:04Z" personId="{373FCF26-FCE3-4CD3-BD16-89A16B4367E1}" id="{4B54D95C-44A9-42CB-AEF5-E058C39CFBBD}">
    <tc2018:text>zyyh:
此列用以外汇形式注入资金的项目。</tc2018:text>
  </tc2018:threadedComment>
  <tc2018:threadedComment ref="C12" dT="2025-06-09T08:57:04Z" personId="{373FCF26-FCE3-4CD3-BD16-89A16B4367E1}" id="{3FD32F9C-3719-4A45-9966-15C650BF790F}">
    <tc2018:text>zyyh：
可直接填数，但尽量用后面数量*单价分解计算。下同</tc2018:text>
  </tc2018:threadedComment>
  <tc2018:threadedComment ref="G5" dT="2025-06-09T08:57:04Z" personId="{373FCF26-FCE3-4CD3-BD16-89A16B4367E1}" id="{C792FF71-AC98-48CC-BB8D-E3BB7107770D}">
    <tc2018:text>zyyh:
此处关联辅助表7N9,关联总投资敏感性分析</tc2018:text>
  </tc2018:threadedComment>
</tc2018:ThreadedComments>
</file>

<file path=xl/threadedComments/threadedComment8.xml><?xml version="1.0" encoding="utf-8"?>
<tc2018:ThreadedComments xmlns:tc2018="http://schemas.microsoft.com/office/spreadsheetml/2018/threadedcomments" xmlns:mc="http://schemas.openxmlformats.org/markup-compatibility/2006" mc:Ignorable="tc2018">
  <tc2018:threadedComment ref="C20" dT="2025-06-09T08:57:04Z" personId="{373FCF26-FCE3-4CD3-BD16-89A16B4367E1}" id="{D54AB128-196C-47B6-B1EC-58E9DA71DA34}">
    <tc2018:text>zyyh：
计算含税价（税费4%）+印花税</tc2018:text>
  </tc2018:threadedComment>
  <tc2018:threadedComment ref="B19" dT="2025-06-09T08:57:04Z" personId="{373FCF26-FCE3-4CD3-BD16-89A16B4367E1}" id="{E3126586-C791-4CAD-88CC-CC8000D30F50}">
    <tc2018:text>zyyh:
通常将工程建设其他费用中的土地使用费、专利及专有技术使用费等计入无形资产</tc2018:text>
  </tc2018:threadedComment>
</tc2018:ThreadedComments>
</file>

<file path=xl/threadedComments/threadedComment9.xml><?xml version="1.0" encoding="utf-8"?>
<tc2018:ThreadedComments xmlns:tc2018="http://schemas.microsoft.com/office/spreadsheetml/2018/threadedcomments" xmlns:mc="http://schemas.openxmlformats.org/markup-compatibility/2006" mc:Ignorable="tc2018">
  <tc2018:threadedComment ref="F28" dT="2025-06-09T08:57:04Z" personId="{373FCF26-FCE3-4CD3-BD16-89A16B4367E1}" id="{F679A1AB-76AC-4F8D-BE5F-98C3C7BBE065}">
    <tc2018:text>zyyh:
我行贷款金额*F6*辅助表7单因素敏感性分析表N9</tc2018:text>
  </tc2018:threadedComment>
  <tc2018:threadedComment ref="C47" dT="2025-06-09T08:57:04Z" personId="{373FCF26-FCE3-4CD3-BD16-89A16B4367E1}" id="{F5F976CC-DBC2-47EF-ADCE-3C646A56CC32}">
    <tc2018:text>zyyh:
单位为%。</tc2018:text>
  </tc2018:threadedComment>
  <tc2018:threadedComment ref="E49" dT="2025-06-09T08:57:04Z" personId="{373FCF26-FCE3-4CD3-BD16-89A16B4367E1}" id="{E156D136-A3CA-4DF0-A5B2-9492C0A270FB}">
    <tc2018:text>zyyh:
此行为各年累计投入资本金。</tc2018:text>
  </tc2018:threadedComment>
  <tc2018:threadedComment ref="D28" dT="2025-06-09T08:57:04Z" personId="{373FCF26-FCE3-4CD3-BD16-89A16B4367E1}" id="{8E9F3654-3246-400D-9885-343B97380E50}">
    <tc2018:text>zyyh:
年利率*辅助表7单因素敏感性分析表!N13</tc2018:text>
  </tc2018:threadedComment>
  <tc2018:threadedComment ref="B45" dT="2025-06-09T08:57:04Z" personId="{373FCF26-FCE3-4CD3-BD16-89A16B4367E1}" id="{D16B3D89-AA56-4534-B164-DAEE70AD0287}">
    <tc2018:text>zyyh:适用于分期投产的项目，在总建设内先期投产产生的利润和折旧可归还贷款或作为建设资金来源。
</tc2018:text>
  </tc2018:threadedComment>
  <tc2018:threadedComment ref="D43" dT="2025-06-09T08:57:04Z" personId="{373FCF26-FCE3-4CD3-BD16-89A16B4367E1}" id="{87FA7208-87C1-4A32-9F1F-EC3D60C7A94F}">
    <tc2018:text>zyyh:
年利率*辅助表7单因素敏感性分析表!N13</tc2018:text>
  </tc2018:threadedComment>
  <tc2018:threadedComment ref="D42" dT="2025-06-09T08:57:04Z" personId="{373FCF26-FCE3-4CD3-BD16-89A16B4367E1}" id="{02532D55-D3BD-40B1-B08A-A43BB5CF01D0}">
    <tc2018:text>zyyh:
年利率*辅助表7单因素敏感性分析表!N13</tc2018:text>
  </tc2018:threadedComment>
  <tc2018:threadedComment ref="D29" dT="2025-06-09T08:57:04Z" personId="{373FCF26-FCE3-4CD3-BD16-89A16B4367E1}" id="{5E721BBE-F5D3-4721-B3B7-4F067187EDD6}">
    <tc2018:text>zyyh:
年利率*辅助表7单因素敏感性分析表!N13</tc2018:text>
  </tc2018:threadedComment>
  <tc2018:threadedComment ref="E50" dT="2025-06-09T08:57:04Z" personId="{373FCF26-FCE3-4CD3-BD16-89A16B4367E1}" id="{FD9DF0E9-FA90-4F05-AFF7-2704A428EB6D}">
    <tc2018:text>zyyh:
此行为累计已投入资金。</tc2018:text>
  </tc2018:threadedComment>
  <tc2018:threadedComment ref="G28" dT="2025-06-09T08:57:04Z" personId="{373FCF26-FCE3-4CD3-BD16-89A16B4367E1}" id="{22D640A6-BAD3-426D-AE45-78AA9845898C}">
    <tc2018:text>zyyh:
我行贷款金额*G6*辅助表7单因素敏感性分析表N9
</tc2018:text>
  </tc2018:threadedComment>
</tc2018:ThreadedComments>
</file>

<file path=xl/worksheets/_rels/sheet11.xml.rels><?xml version="1.0" encoding="UTF-8" standalone="yes"?><Relationships xmlns="http://schemas.openxmlformats.org/package/2006/relationships"><Relationship Id="rId2" Type="http://schemas.microsoft.com/office/2017/10/relationships/threadedComment" Target="../threadedComments/threadedComment14.xml" /><Relationship Id="rId0" Type="http://schemas.openxmlformats.org/officeDocument/2006/relationships/vmlDrawing" Target="../drawings/vmlDrawing14.vml" /><Relationship Id="rId1" Type="http://schemas.openxmlformats.org/officeDocument/2006/relationships/comments" Target="../comments14.xml" /></Relationships>
</file>

<file path=xl/worksheets/_rels/sheet13.xml.rels><?xml version="1.0" encoding="UTF-8" standalone="yes"?><Relationships xmlns="http://schemas.openxmlformats.org/package/2006/relationships"><Relationship Id="rId2" Type="http://schemas.microsoft.com/office/2017/10/relationships/threadedComment" Target="../threadedComments/threadedComment15.xml" /><Relationship Id="rId0" Type="http://schemas.openxmlformats.org/officeDocument/2006/relationships/vmlDrawing" Target="../drawings/vmlDrawing15.vml" /><Relationship Id="rId1" Type="http://schemas.openxmlformats.org/officeDocument/2006/relationships/comments" Target="../comments15.xml" /></Relationships>
</file>

<file path=xl/worksheets/_rels/sheet14.xml.rels><?xml version="1.0" encoding="UTF-8" standalone="yes"?><Relationships xmlns="http://schemas.openxmlformats.org/package/2006/relationships"><Relationship Id="rId2" Type="http://schemas.microsoft.com/office/2017/10/relationships/threadedComment" Target="../threadedComments/threadedComment16.xml" /><Relationship Id="rId0" Type="http://schemas.openxmlformats.org/officeDocument/2006/relationships/vmlDrawing" Target="../drawings/vmlDrawing16.vml" /><Relationship Id="rId1" Type="http://schemas.openxmlformats.org/officeDocument/2006/relationships/comments" Target="../comments16.xml" /></Relationships>
</file>

<file path=xl/worksheets/_rels/sheet15.xml.rels><?xml version="1.0" encoding="UTF-8" standalone="yes"?><Relationships xmlns="http://schemas.openxmlformats.org/package/2006/relationships"><Relationship Id="rId2" Type="http://schemas.microsoft.com/office/2017/10/relationships/threadedComment" Target="../threadedComments/threadedComment17.xml" /><Relationship Id="rId0" Type="http://schemas.openxmlformats.org/officeDocument/2006/relationships/vmlDrawing" Target="../drawings/vmlDrawing17.vml" /><Relationship Id="rId1" Type="http://schemas.openxmlformats.org/officeDocument/2006/relationships/comments" Target="../comments17.xml" /></Relationships>
</file>

<file path=xl/worksheets/_rels/sheet16.xml.rels><?xml version="1.0" encoding="UTF-8" standalone="yes"?><Relationships xmlns="http://schemas.openxmlformats.org/package/2006/relationships"><Relationship Id="rId2" Type="http://schemas.microsoft.com/office/2017/10/relationships/threadedComment" Target="../threadedComments/threadedComment18.xml" /><Relationship Id="rId0" Type="http://schemas.openxmlformats.org/officeDocument/2006/relationships/vmlDrawing" Target="../drawings/vmlDrawing18.vml" /><Relationship Id="rId1" Type="http://schemas.openxmlformats.org/officeDocument/2006/relationships/comments" Target="../comments18.xml" /></Relationships>
</file>

<file path=xl/worksheets/_rels/sheet17.xml.rels><?xml version="1.0" encoding="UTF-8" standalone="yes"?><Relationships xmlns="http://schemas.openxmlformats.org/package/2006/relationships"><Relationship Id="rId2" Type="http://schemas.microsoft.com/office/2017/10/relationships/threadedComment" Target="../threadedComments/threadedComment11.xml" /><Relationship Id="rId0" Type="http://schemas.openxmlformats.org/officeDocument/2006/relationships/vmlDrawing" Target="../drawings/vmlDrawing11.vml" /><Relationship Id="rId1" Type="http://schemas.openxmlformats.org/officeDocument/2006/relationships/comments" Target="../comments11.xml" /></Relationships>
</file>

<file path=xl/worksheets/_rels/sheet18.xml.rels><?xml version="1.0" encoding="UTF-8" standalone="yes"?><Relationships xmlns="http://schemas.openxmlformats.org/package/2006/relationships"><Relationship Id="rId2" Type="http://schemas.microsoft.com/office/2017/10/relationships/threadedComment" Target="../threadedComments/threadedComment19.xml" /><Relationship Id="rId0" Type="http://schemas.openxmlformats.org/officeDocument/2006/relationships/vmlDrawing" Target="../drawings/vmlDrawing19.vml" /><Relationship Id="rId1" Type="http://schemas.openxmlformats.org/officeDocument/2006/relationships/comments" Target="../comments19.xml" /></Relationships>
</file>

<file path=xl/worksheets/_rels/sheet19.xml.rels><?xml version="1.0" encoding="UTF-8" standalone="yes"?><Relationships xmlns="http://schemas.openxmlformats.org/package/2006/relationships"><Relationship Id="rId0"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2" Type="http://schemas.microsoft.com/office/2017/10/relationships/threadedComment" Target="../threadedComments/threadedComment7.xml" /><Relationship Id="rId0" Type="http://schemas.openxmlformats.org/officeDocument/2006/relationships/vmlDrawing" Target="../drawings/vmlDrawing7.vml" /><Relationship Id="rId1" Type="http://schemas.openxmlformats.org/officeDocument/2006/relationships/comments" Target="../comments7.xml" /></Relationships>
</file>

<file path=xl/worksheets/_rels/sheet3.xml.rels><?xml version="1.0" encoding="UTF-8" standalone="yes"?><Relationships xmlns="http://schemas.openxmlformats.org/package/2006/relationships"><Relationship Id="rId2" Type="http://schemas.microsoft.com/office/2017/10/relationships/threadedComment" Target="../threadedComments/threadedComment8.xml" /><Relationship Id="rId0" Type="http://schemas.openxmlformats.org/officeDocument/2006/relationships/vmlDrawing" Target="../drawings/vmlDrawing8.vml" /><Relationship Id="rId1" Type="http://schemas.openxmlformats.org/officeDocument/2006/relationships/comments" Target="../comments8.xml" /></Relationships>
</file>

<file path=xl/worksheets/_rels/sheet35.xml.rels><?xml version="1.0" encoding="UTF-8" standalone="yes"?><Relationships xmlns="http://schemas.openxmlformats.org/package/2006/relationships"><Relationship Id="rId2" Type="http://schemas.microsoft.com/office/2017/10/relationships/threadedComment" Target="../threadedComments/threadedComment1.xml" /><Relationship Id="rId0" Type="http://schemas.openxmlformats.org/officeDocument/2006/relationships/vmlDrawing" Target="../drawings/vmlDrawing1.vml" /><Relationship Id="rId1" Type="http://schemas.openxmlformats.org/officeDocument/2006/relationships/comments" Target="../comments1.xml" /></Relationships>
</file>

<file path=xl/worksheets/_rels/sheet36.xml.rels><?xml version="1.0" encoding="UTF-8" standalone="yes"?><Relationships xmlns="http://schemas.openxmlformats.org/package/2006/relationships"><Relationship Id="rId2" Type="http://schemas.microsoft.com/office/2017/10/relationships/threadedComment" Target="../threadedComments/threadedComment2.xml" /><Relationship Id="rId0" Type="http://schemas.openxmlformats.org/officeDocument/2006/relationships/vmlDrawing" Target="../drawings/vmlDrawing2.vml" /><Relationship Id="rId1" Type="http://schemas.openxmlformats.org/officeDocument/2006/relationships/comments" Target="../comments2.xml" /></Relationships>
</file>

<file path=xl/worksheets/_rels/sheet37.xml.rels><?xml version="1.0" encoding="UTF-8" standalone="yes"?><Relationships xmlns="http://schemas.openxmlformats.org/package/2006/relationships"><Relationship Id="rId2" Type="http://schemas.microsoft.com/office/2017/10/relationships/threadedComment" Target="../threadedComments/threadedComment3.xml" /><Relationship Id="rId0" Type="http://schemas.openxmlformats.org/officeDocument/2006/relationships/vmlDrawing" Target="../drawings/vmlDrawing3.vml" /><Relationship Id="rId1" Type="http://schemas.openxmlformats.org/officeDocument/2006/relationships/comments" Target="../comments3.xml" /></Relationships>
</file>

<file path=xl/worksheets/_rels/sheet38.xml.rels><?xml version="1.0" encoding="UTF-8" standalone="yes"?><Relationships xmlns="http://schemas.openxmlformats.org/package/2006/relationships"><Relationship Id="rId0" Type="http://schemas.openxmlformats.org/officeDocument/2006/relationships/vmlDrawing" Target="../drawings/vmlDrawing4.vml" /><Relationship Id="rId2" Type="http://schemas.microsoft.com/office/2017/10/relationships/threadedComment" Target="../threadedComments/threadedComment4.xml" /><Relationship Id="rId1" Type="http://schemas.openxmlformats.org/officeDocument/2006/relationships/comments" Target="../comments4.xml" /></Relationships>
</file>

<file path=xl/worksheets/_rels/sheet39.xml.rels><?xml version="1.0" encoding="UTF-8" standalone="yes"?><Relationships xmlns="http://schemas.openxmlformats.org/package/2006/relationships"><Relationship Id="rId2" Type="http://schemas.microsoft.com/office/2017/10/relationships/threadedComment" Target="../threadedComments/threadedComment5.xml" /><Relationship Id="rId0" Type="http://schemas.openxmlformats.org/officeDocument/2006/relationships/vmlDrawing" Target="../drawings/vmlDrawing5.vml" /><Relationship Id="rId1" Type="http://schemas.openxmlformats.org/officeDocument/2006/relationships/comments" Target="../comments5.xml" /></Relationships>
</file>

<file path=xl/worksheets/_rels/sheet4.xml.rels><?xml version="1.0" encoding="UTF-8" standalone="yes"?><Relationships xmlns="http://schemas.openxmlformats.org/package/2006/relationships"><Relationship Id="rId2" Type="http://schemas.microsoft.com/office/2017/10/relationships/threadedComment" Target="../threadedComments/threadedComment9.xml" /><Relationship Id="rId0" Type="http://schemas.openxmlformats.org/officeDocument/2006/relationships/vmlDrawing" Target="../drawings/vmlDrawing9.vml" /><Relationship Id="rId1" Type="http://schemas.openxmlformats.org/officeDocument/2006/relationships/comments" Target="../comments9.xml" /></Relationships>
</file>

<file path=xl/worksheets/_rels/sheet40.xml.rels><?xml version="1.0" encoding="UTF-8" standalone="yes"?><Relationships xmlns="http://schemas.openxmlformats.org/package/2006/relationships"><Relationship Id="rId2" Type="http://schemas.microsoft.com/office/2017/10/relationships/threadedComment" Target="../threadedComments/threadedComment6.xml" /><Relationship Id="rId0" Type="http://schemas.openxmlformats.org/officeDocument/2006/relationships/vmlDrawing" Target="../drawings/vmlDrawing6.vml" /><Relationship Id="rId1" Type="http://schemas.openxmlformats.org/officeDocument/2006/relationships/comments" Target="../comments6.xml" /></Relationships>
</file>

<file path=xl/worksheets/_rels/sheet5.xml.rels><?xml version="1.0" encoding="UTF-8" standalone="yes"?><Relationships xmlns="http://schemas.openxmlformats.org/package/2006/relationships"><Relationship Id="rId2" Type="http://schemas.microsoft.com/office/2017/10/relationships/threadedComment" Target="../threadedComments/threadedComment10.xml" /><Relationship Id="rId0" Type="http://schemas.openxmlformats.org/officeDocument/2006/relationships/vmlDrawing" Target="../drawings/vmlDrawing10.vml" /><Relationship Id="rId1" Type="http://schemas.openxmlformats.org/officeDocument/2006/relationships/comments" Target="../comments10.xml" /></Relationships>
</file>

<file path=xl/worksheets/_rels/sheet7.xml.rels><?xml version="1.0" encoding="UTF-8" standalone="yes"?><Relationships xmlns="http://schemas.openxmlformats.org/package/2006/relationships"><Relationship Id="rId2" Type="http://schemas.microsoft.com/office/2017/10/relationships/threadedComment" Target="../threadedComments/threadedComment12.xml" /><Relationship Id="rId0" Type="http://schemas.openxmlformats.org/officeDocument/2006/relationships/vmlDrawing" Target="../drawings/vmlDrawing12.vml" /><Relationship Id="rId1" Type="http://schemas.openxmlformats.org/officeDocument/2006/relationships/comments" Target="../comments12.xml" /></Relationships>
</file>

<file path=xl/worksheets/_rels/sheet8.xml.rels><?xml version="1.0" encoding="UTF-8" standalone="yes"?><Relationships xmlns="http://schemas.openxmlformats.org/package/2006/relationships"><Relationship Id="rId2" Type="http://schemas.microsoft.com/office/2017/10/relationships/threadedComment" Target="../threadedComments/threadedComment13.xml" /><Relationship Id="rId0" Type="http://schemas.openxmlformats.org/officeDocument/2006/relationships/vmlDrawing" Target="../drawings/vmlDrawing13.vml" /><Relationship Id="rId1" Type="http://schemas.openxmlformats.org/officeDocument/2006/relationships/comments" Target="../comments13.xml" /></Relationships>
</file>

<file path=xl/worksheets/sheet1.xml><?xml version="1.0" encoding="utf-8"?>
<worksheet xmlns="http://schemas.openxmlformats.org/spreadsheetml/2006/main">
  <sheetPr/>
  <dimension ref="D20"/>
  <sheetViews>
    <sheetView showGridLines="true" topLeftCell="A1" zoomScaleSheetLayoutView="100" workbookViewId="0"/>
  </sheetViews>
  <sheetFormatPr defaultColWidth="8.66406" defaultRowHeight="15.75"/>
  <cols>
    <col min="1" max="1" width="13.75"/>
    <col min="2" max="2" width="58.375"/>
    <col min="3" max="3" width="37.125"/>
  </cols>
  <sheetData>
    <row r="2" spans="1:4" ht="20.4">
      <c r="A2" s="224" t="s">
        <v>502</v>
      </c>
      <c r="B2" s="224" t="s"/>
      <c r="C2" s="224" t="s">
        <v>503</v>
      </c>
      <c r="D2" s="224" t="s"/>
    </row>
    <row r="3" spans="1:4" ht="15.6">
      <c r="A3" s="225" t="s">
        <v>504</v>
      </c>
      <c r="B3" s="226" t="s">
        <v>3322</v>
      </c>
      <c r="C3" s="227" t="s">
        <v>505</v>
      </c>
      <c r="D3" s="227" t="s"/>
    </row>
    <row r="4" spans="1:4" ht="15.6">
      <c r="A4" s="225" t="s">
        <v>437</v>
      </c>
      <c r="B4" s="228" t="s">
        <v>3323</v>
      </c>
      <c r="C4" s="227" t="s"/>
      <c r="D4" s="227" t="s"/>
    </row>
    <row r="5" spans="1:4" ht="15.6">
      <c r="A5" s="225" t="s">
        <v>506</v>
      </c>
      <c r="B5" s="228" t="s">
        <v>3324</v>
      </c>
      <c r="C5" s="227" t="s"/>
      <c r="D5" s="227" t="s"/>
    </row>
    <row r="6" spans="1:4" ht="15.6">
      <c r="A6" s="225" t="s">
        <v>507</v>
      </c>
      <c r="B6" s="228" t="s">
        <v>3325</v>
      </c>
      <c r="C6" s="227" t="s"/>
      <c r="D6" s="227" t="s"/>
    </row>
    <row r="7" spans="1:4" ht="15.6">
      <c r="A7" s="225" t="s">
        <v>508</v>
      </c>
      <c r="B7" s="228" t="s">
        <v>3326</v>
      </c>
      <c r="C7" s="227" t="s"/>
      <c r="D7" s="227" t="s"/>
    </row>
    <row r="8" spans="1:4" ht="15.6">
      <c r="A8" s="225" t="s">
        <v>509</v>
      </c>
      <c r="B8" s="228" t="s">
        <v>3327</v>
      </c>
      <c r="C8" s="227" t="s"/>
      <c r="D8" s="227" t="s"/>
    </row>
    <row r="9" spans="1:4" ht="15.6">
      <c r="A9" s="225" t="s">
        <v>510</v>
      </c>
      <c r="B9" s="228" t="s">
        <v>3328</v>
      </c>
      <c r="C9" s="227" t="s"/>
      <c r="D9" s="227" t="s"/>
    </row>
    <row r="10" spans="1:4" ht="15.6">
      <c r="A10" s="225" t="s">
        <v>511</v>
      </c>
      <c r="B10" s="228" t="s">
        <v>3329</v>
      </c>
      <c r="C10" s="227" t="s"/>
      <c r="D10" s="227" t="s"/>
    </row>
    <row r="11" spans="1:4" ht="15.6">
      <c r="A11" s="225" t="s">
        <v>512</v>
      </c>
      <c r="B11" s="228" t="s">
        <v>3330</v>
      </c>
      <c r="C11" s="227" t="s"/>
      <c r="D11" s="227" t="s"/>
    </row>
    <row r="12" spans="1:4" ht="15.6">
      <c r="A12" s="225" t="s">
        <v>513</v>
      </c>
      <c r="B12" s="228" t="s">
        <v>3331</v>
      </c>
      <c r="C12" s="225" t="s"/>
      <c r="D12" s="225" t="s"/>
    </row>
    <row r="13" spans="1:4" ht="17.4">
      <c r="A13" s="225" t="s">
        <v>514</v>
      </c>
      <c r="B13" s="228" t="s">
        <v>3332</v>
      </c>
      <c r="C13" s="225" t="s">
        <v>515</v>
      </c>
      <c r="D13" s="229" t="s"/>
    </row>
    <row r="14" spans="1:4" ht="17.4">
      <c r="A14" s="225" t="s">
        <v>516</v>
      </c>
      <c r="B14" s="228" t="s">
        <v>3333</v>
      </c>
      <c r="C14" s="225" t="s">
        <v>517</v>
      </c>
      <c r="D14" s="230" t="s"/>
    </row>
    <row r="15" spans="1:4" ht="17.4">
      <c r="A15" s="225" t="s">
        <v>518</v>
      </c>
      <c r="B15" s="228" t="s">
        <v>3334</v>
      </c>
      <c r="C15" s="225" t="s">
        <v>519</v>
      </c>
      <c r="D15" s="231" t="s"/>
    </row>
    <row r="16" spans="1:4" ht="15.6">
      <c r="A16" s="225" t="s">
        <v>520</v>
      </c>
      <c r="B16" s="228" t="s">
        <v>3335</v>
      </c>
      <c r="C16" s="225" t="s"/>
      <c r="D16" s="225" t="s"/>
    </row>
    <row r="17" spans="1:4" ht="15.6">
      <c r="A17" s="225" t="s">
        <v>521</v>
      </c>
      <c r="B17" s="228" t="s">
        <v>3336</v>
      </c>
      <c r="C17" s="225" t="s"/>
      <c r="D17" s="225" t="s"/>
    </row>
    <row r="18" spans="1:4" ht="15.6">
      <c r="A18" s="225" t="s">
        <v>522</v>
      </c>
      <c r="B18" s="228" t="s">
        <v>3337</v>
      </c>
      <c r="C18" s="225" t="s"/>
      <c r="D18" s="225" t="s"/>
    </row>
    <row r="19" spans="1:4" ht="15.6">
      <c r="A19" s="225" t="s">
        <v>523</v>
      </c>
      <c r="B19" s="228" t="s">
        <v>3338</v>
      </c>
      <c r="C19" s="225" t="s"/>
      <c r="D19" s="225" t="s"/>
    </row>
    <row r="20" spans="1:2" ht="17.4">
      <c r="A20" s="232" t="s"/>
      <c r="B20" s="232" t="s"/>
    </row>
  </sheetData>
  <sheetProtection/>
  <mergeCells count="3">
    <mergeCell ref="A2:B2"/>
    <mergeCell ref="C2:D2"/>
    <mergeCell ref="C3:D11"/>
  </mergeCells>
  <hyperlinks>
    <hyperlink ref="B3" location="'评估表1固定资产投资估算表'!A1" display="固定资产投资估算表"/>
    <hyperlink ref="B4" location="'评估表2固定资产投资资产分类表'!A1" display="固定资产投资资产分类表"/>
    <hyperlink ref="B5" location="'评估表3投资计划与资金筹措表'!A1" display="投资计划与资金筹措表"/>
    <hyperlink ref="B6" location="'评估表4总成本费用表'!A1" display="总成本费用表"/>
    <hyperlink ref="B7" location="'评估表5损益及利润分配表'!A1" display="损益及利润分配表"/>
    <hyperlink ref="B8" location="'评估表6项目贷款偿还期计算表'!A1" display="项目贷款偿还期计算表"/>
    <hyperlink ref="B9" location="'评估表7项目现金流量表'!A1" display="项目现金流量表"/>
    <hyperlink ref="B10" location="'评估表8项目偿债备付率计算表'!A1" display="项目偿债备付率计算表"/>
    <hyperlink ref="B11" location="'评估表9平均债务与息税折旧摊销前盈利比率计算表'!A1" display="平均债务与息税折旧摊销前盈利比率计算表"/>
    <hyperlink ref="B12" location="'评估表10债务期内的债务偿付比率计算表'!A1" display="债务期内的债务偿付比率计算表"/>
    <hyperlink ref="B13" location="'辅助表1评估项目基础数据表'!A1" display="评估项目基础数据表"/>
    <hyperlink ref="B14" location="'辅助表2生产投入物估算表'!A1" display="生产投入物估算表"/>
    <hyperlink ref="B15" location="'辅助表3资产折旧及摊销估算表'!A1" display="资产折旧及摊销估算表"/>
    <hyperlink ref="B16" location="'辅助表4销售收入及税金估算表'!A1" display="销售收入及税金估算表"/>
    <hyperlink ref="B17" location="'辅助表6.1经济评估基础数据及效益指标表'!A1" display="经济评估基础数据及效益指标表"/>
    <hyperlink ref="B18" location="'辅助表6.2全部经济评价参数一览表'!A1" display="全部经济评价参数一览表"/>
    <hyperlink ref="B19" location="'辅助表7单因素敏感性分析表'!A1" display="单因素敏感性分析表"/>
  </hyperlinks>
  <pageMargins left="0.75" right="0.75" top="1" bottom="1" header="0.5" footer="0.5"/>
  <pageSetup orientation="portrait"/>
</worksheet>
</file>

<file path=xl/worksheets/sheet10.xml><?xml version="1.0" encoding="utf-8"?>
<worksheet xmlns="http://schemas.openxmlformats.org/spreadsheetml/2006/main">
  <sheetPr/>
  <dimension ref="AA50"/>
  <sheetViews>
    <sheetView showGridLines="false" showZeros="false" topLeftCell="A1" workbookViewId="0">
      <pane xSplit="3" ySplit="4" topLeftCell="D5" activePane="bottomRight" state="frozen"/>
    </sheetView>
  </sheetViews>
  <sheetFormatPr defaultColWidth="9" defaultRowHeight="12" customHeight="true"/>
  <cols>
    <col min="1" max="1" width="6.625" style="698"/>
    <col min="2" max="2" width="28.375" style="698"/>
    <col min="3" max="3" width="10.625" style="698"/>
    <col min="4" max="5" width="9" style="698" hidden="true"/>
    <col min="6" max="18" width="10.625" style="698"/>
    <col min="19" max="19" width="14.875" style="698"/>
    <col min="20" max="26" width="10.625" style="698"/>
  </cols>
  <sheetData>
    <row r="1" spans="1:25" ht="12" customHeight="true">
      <c r="A1" s="347" t="s"/>
      <c r="B1" s="348" t="s"/>
      <c r="C1" s="348" t="s"/>
      <c r="D1" s="348" t="s">
        <v>1036</v>
      </c>
      <c r="E1" s="348" t="s"/>
      <c r="F1" s="348" t="s"/>
      <c r="G1" s="348" t="s"/>
      <c r="H1" s="348" t="s"/>
      <c r="I1" s="348" t="s"/>
      <c r="J1" s="348" t="s"/>
      <c r="K1" s="348" t="s"/>
      <c r="L1" s="348" t="s"/>
      <c r="M1" s="348" t="s"/>
      <c r="N1" s="348" t="s"/>
      <c r="O1" s="348" t="s"/>
      <c r="P1" s="348" t="s"/>
      <c r="Q1" s="348" t="s"/>
      <c r="R1" s="348" t="s"/>
      <c r="S1" s="348" t="s"/>
      <c r="T1" s="348" t="s"/>
      <c r="U1" s="348" t="s"/>
      <c r="V1" s="348" t="s"/>
      <c r="W1" s="348" t="s"/>
      <c r="X1" s="348" t="s"/>
      <c r="Y1" s="348" t="s"/>
    </row>
    <row r="2" spans="1:25" ht="12" customHeight="true">
      <c r="A2" s="349" t="s">
        <v>1037</v>
      </c>
      <c r="C2" s="350" t="s"/>
      <c r="D2" s="350" t="s">
        <v>438</v>
      </c>
      <c r="E2" s="350" t="s"/>
      <c r="F2" s="350" t="s"/>
      <c r="G2" s="350" t="s"/>
      <c r="H2" s="350" t="s"/>
      <c r="I2" s="350" t="s"/>
      <c r="J2" s="350" t="s"/>
      <c r="K2" s="350" t="s"/>
      <c r="L2" s="350" t="s"/>
      <c r="M2" s="350" t="s"/>
      <c r="N2" s="350" t="s"/>
      <c r="O2" s="350" t="s"/>
      <c r="P2" s="350" t="s"/>
      <c r="Q2" s="350" t="s"/>
      <c r="R2" s="350" t="s"/>
      <c r="S2" s="350" t="s"/>
      <c r="T2" s="350" t="s"/>
      <c r="U2" s="350" t="s"/>
      <c r="V2" s="350" t="s"/>
      <c r="W2" s="350" t="s"/>
      <c r="X2" s="350" t="s"/>
      <c r="Y2" s="350" t="s"/>
    </row>
    <row r="3" spans="1:25" ht="12" customHeight="true">
      <c r="A3" s="294" t="s">
        <v>525</v>
      </c>
      <c r="B3" s="294" t="s">
        <v>738</v>
      </c>
      <c r="C3" s="294" t="s">
        <v>739</v>
      </c>
      <c r="D3" s="296" t="s">
        <v>620</v>
      </c>
      <c r="E3" s="296" t="s"/>
      <c r="F3" s="296" t="s">
        <v>621</v>
      </c>
      <c r="G3" s="296" t="s"/>
      <c r="H3" s="296" t="s"/>
      <c r="I3" s="296" t="s"/>
      <c r="J3" s="296" t="s"/>
      <c r="K3" s="296" t="s"/>
      <c r="L3" s="296" t="s"/>
      <c r="M3" s="296" t="s"/>
      <c r="N3" s="296" t="s"/>
      <c r="O3" s="296" t="s"/>
      <c r="P3" s="296" t="s"/>
      <c r="Q3" s="296" t="s"/>
      <c r="R3" s="296" t="s"/>
      <c r="S3" s="296" t="s"/>
      <c r="T3" s="296" t="s"/>
      <c r="U3" s="296" t="s"/>
      <c r="V3" s="296" t="s"/>
      <c r="W3" s="296" t="s"/>
      <c r="X3" s="296" t="s"/>
      <c r="Y3" s="296" t="s"/>
    </row>
    <row r="4" spans="1:25" ht="12" customHeight="true">
      <c r="A4" s="294" t="s"/>
      <c r="B4" s="294" t="s"/>
      <c r="C4" s="294" t="s"/>
      <c r="D4" s="294" t="s">
        <v>622</v>
      </c>
      <c r="E4" s="294" t="s">
        <v>623</v>
      </c>
      <c r="F4" s="294" t="s">
        <v>622</v>
      </c>
      <c r="G4" s="294" t="s">
        <v>623</v>
      </c>
      <c r="H4" s="294" t="s">
        <v>624</v>
      </c>
      <c r="I4" s="294" t="s">
        <v>625</v>
      </c>
      <c r="J4" s="294" t="s">
        <v>626</v>
      </c>
      <c r="K4" s="294" t="s">
        <v>627</v>
      </c>
      <c r="L4" s="294" t="s">
        <v>628</v>
      </c>
      <c r="M4" s="294" t="s">
        <v>629</v>
      </c>
      <c r="N4" s="294" t="s">
        <v>630</v>
      </c>
      <c r="O4" s="294" t="s">
        <v>631</v>
      </c>
      <c r="P4" s="294" t="s">
        <v>632</v>
      </c>
      <c r="Q4" s="294" t="s">
        <v>633</v>
      </c>
      <c r="R4" s="294" t="s">
        <v>634</v>
      </c>
      <c r="S4" s="294" t="s">
        <v>635</v>
      </c>
      <c r="T4" s="294" t="s">
        <v>636</v>
      </c>
      <c r="U4" s="294" t="s">
        <v>702</v>
      </c>
      <c r="V4" s="294" t="s">
        <v>703</v>
      </c>
      <c r="W4" s="294" t="s">
        <v>637</v>
      </c>
      <c r="X4" s="294" t="s">
        <v>638</v>
      </c>
      <c r="Y4" s="294" t="s">
        <v>639</v>
      </c>
    </row>
    <row r="5" spans="1:25" ht="12" customHeight="true">
      <c r="A5" s="294" t="s"/>
      <c r="B5" s="297" t="s">
        <v>740</v>
      </c>
      <c r="C5" s="371" t="s"/>
      <c r="D5" s="546">
        <f>=评估表4总成本费用表!D5</f>
        <v>0</v>
      </c>
      <c r="E5" s="546">
        <f>=评估表4总成本费用表!E5</f>
        <v>0</v>
      </c>
      <c r="F5" s="394">
        <f>=评估表4总成本费用表!F5</f>
        <v>0</v>
      </c>
      <c r="G5" s="394">
        <f>=评估表4总成本费用表!G5</f>
        <v>0</v>
      </c>
      <c r="H5" s="394">
        <f>=评估表4总成本费用表!H5</f>
        <v>0</v>
      </c>
      <c r="I5" s="394">
        <f>=评估表4总成本费用表!I5</f>
        <v>0</v>
      </c>
      <c r="J5" s="394">
        <f>=评估表4总成本费用表!J5</f>
        <v>0</v>
      </c>
      <c r="K5" s="394">
        <f>=评估表4总成本费用表!K5</f>
        <v>0.05</v>
      </c>
      <c r="L5" s="394">
        <f>=评估表4总成本费用表!L5</f>
        <v>0</v>
      </c>
      <c r="M5" s="394">
        <f>=评估表4总成本费用表!M5</f>
        <v>0.05</v>
      </c>
      <c r="N5" s="394">
        <f>=评估表4总成本费用表!N5</f>
        <v>0</v>
      </c>
      <c r="O5" s="394">
        <f>=评估表4总成本费用表!O5</f>
        <v>0</v>
      </c>
      <c r="P5" s="394">
        <f>=评估表4总成本费用表!P5</f>
        <v>0.05</v>
      </c>
      <c r="Q5" s="394">
        <f>=评估表4总成本费用表!Q5</f>
        <v>0</v>
      </c>
      <c r="R5" s="394">
        <f>=评估表4总成本费用表!R5</f>
        <v>0</v>
      </c>
      <c r="S5" s="394">
        <f>=评估表4总成本费用表!S5</f>
        <v>0</v>
      </c>
      <c r="T5" s="394">
        <f>=评估表4总成本费用表!T5</f>
        <v>0</v>
      </c>
      <c r="U5" s="394">
        <f>=评估表4总成本费用表!U5</f>
        <v>0</v>
      </c>
      <c r="V5" s="394">
        <f>=评估表4总成本费用表!V5</f>
        <v>0</v>
      </c>
      <c r="W5" s="394">
        <f>=评估表4总成本费用表!W5</f>
        <v>0</v>
      </c>
      <c r="X5" s="394">
        <f>=评估表4总成本费用表!X5</f>
        <v>0</v>
      </c>
      <c r="Y5" s="394">
        <f>=评估表4总成本费用表!Y5</f>
        <v>0</v>
      </c>
    </row>
    <row r="6" spans="1:26" ht="12" customHeight="true">
      <c r="A6" s="395" t="s">
        <v>51</v>
      </c>
      <c r="B6" s="358" t="s">
        <v>741</v>
      </c>
      <c r="C6" s="396" t="s"/>
      <c r="D6" s="546">
        <f>=评估表4总成本费用表!D6</f>
        <v>0</v>
      </c>
      <c r="E6" s="546">
        <f>=评估表4总成本费用表!E6</f>
        <v>0</v>
      </c>
      <c r="F6" s="394">
        <f>=评估表4总成本费用表!F6</f>
        <v>0.99</v>
      </c>
      <c r="G6" s="394">
        <f>=评估表4总成本费用表!G6</f>
        <v>0.976</v>
      </c>
      <c r="H6" s="394">
        <f>=评估表4总成本费用表!H6</f>
        <v>0.972</v>
      </c>
      <c r="I6" s="394">
        <f>=评估表4总成本费用表!I6</f>
        <v>0.968</v>
      </c>
      <c r="J6" s="394">
        <f>=评估表4总成本费用表!J6</f>
        <v>0.964</v>
      </c>
      <c r="K6" s="394">
        <f>=评估表4总成本费用表!K6</f>
        <v>0.96</v>
      </c>
      <c r="L6" s="394">
        <f>=评估表4总成本费用表!L6</f>
        <v>0.956</v>
      </c>
      <c r="M6" s="394">
        <f>=评估表4总成本费用表!M6</f>
        <v>0.952</v>
      </c>
      <c r="N6" s="394">
        <f>=评估表4总成本费用表!N6</f>
        <v>0.948</v>
      </c>
      <c r="O6" s="394">
        <f>=评估表4总成本费用表!O6</f>
        <v>0.944</v>
      </c>
      <c r="P6" s="394">
        <f>=评估表4总成本费用表!P6</f>
        <v>0.94</v>
      </c>
      <c r="Q6" s="394">
        <f>=评估表4总成本费用表!Q6</f>
        <v>0.936</v>
      </c>
      <c r="R6" s="394">
        <f>=评估表4总成本费用表!R6</f>
        <v>0</v>
      </c>
      <c r="S6" s="394">
        <f>=评估表4总成本费用表!S6</f>
        <v>0</v>
      </c>
      <c r="T6" s="394">
        <f>=评估表4总成本费用表!T6</f>
        <v>0</v>
      </c>
      <c r="U6" s="394">
        <f>=评估表4总成本费用表!U6</f>
        <v>0</v>
      </c>
      <c r="V6" s="394">
        <f>=评估表4总成本费用表!V6</f>
        <v>0</v>
      </c>
      <c r="W6" s="394">
        <f>=评估表4总成本费用表!W6</f>
        <v>0</v>
      </c>
      <c r="X6" s="394">
        <f>=评估表4总成本费用表!X6</f>
        <v>0</v>
      </c>
      <c r="Y6" s="394">
        <f>=评估表4总成本费用表!Y6</f>
        <v>0</v>
      </c>
      <c r="Z6" s="399" t="s">
        <v>644</v>
      </c>
    </row>
    <row r="7" spans="1:25" ht="12" hidden="true" customHeight="true">
      <c r="A7" s="395" t="s">
        <v>51</v>
      </c>
      <c r="B7" s="358" t="s">
        <v>742</v>
      </c>
      <c r="C7" s="396" t="s"/>
      <c r="D7" s="546">
        <f>=评估表4总成本费用表!D7</f>
        <v>0</v>
      </c>
      <c r="E7" s="546">
        <f>=评估表4总成本费用表!E7</f>
        <v>0</v>
      </c>
      <c r="F7" s="394">
        <f>=评估表4总成本费用表!F7</f>
        <v>0.92</v>
      </c>
      <c r="G7" s="394">
        <f>=评估表4总成本费用表!G7</f>
        <v>0.92</v>
      </c>
      <c r="H7" s="394">
        <f>=评估表4总成本费用表!H7</f>
        <v>0.92</v>
      </c>
      <c r="I7" s="394">
        <f>=评估表4总成本费用表!I7</f>
        <v>0.92</v>
      </c>
      <c r="J7" s="394">
        <f>=评估表4总成本费用表!J7</f>
        <v>0.92</v>
      </c>
      <c r="K7" s="394">
        <f>=评估表4总成本费用表!K7</f>
        <v>0.92</v>
      </c>
      <c r="L7" s="394">
        <f>=评估表4总成本费用表!L7</f>
        <v>0.92</v>
      </c>
      <c r="M7" s="394">
        <f>=评估表4总成本费用表!M7</f>
        <v>0.92</v>
      </c>
      <c r="N7" s="394">
        <f>=评估表4总成本费用表!N7</f>
        <v>0.92</v>
      </c>
      <c r="O7" s="394">
        <f>=评估表4总成本费用表!O7</f>
        <v>0.92</v>
      </c>
      <c r="P7" s="394">
        <f>=评估表4总成本费用表!P7</f>
        <v>0.92</v>
      </c>
      <c r="Q7" s="394">
        <f>=评估表4总成本费用表!Q7</f>
        <v>0.92</v>
      </c>
      <c r="R7" s="394">
        <f>=评估表4总成本费用表!R7</f>
        <v>0</v>
      </c>
      <c r="S7" s="394">
        <f>=评估表4总成本费用表!S7</f>
        <v>0</v>
      </c>
      <c r="T7" s="394">
        <f>=评估表4总成本费用表!T7</f>
        <v>0</v>
      </c>
      <c r="U7" s="394">
        <f>=评估表4总成本费用表!U7</f>
        <v>0</v>
      </c>
      <c r="V7" s="394">
        <f>=评估表4总成本费用表!V7</f>
        <v>0</v>
      </c>
      <c r="W7" s="394">
        <f>=评估表4总成本费用表!W7</f>
        <v>0</v>
      </c>
      <c r="X7" s="394">
        <f>=评估表4总成本费用表!X7</f>
        <v>0</v>
      </c>
      <c r="Y7" s="394">
        <f>=评估表4总成本费用表!Y7</f>
        <v>0</v>
      </c>
    </row>
    <row r="8" spans="1:25" ht="12" hidden="true" customHeight="true">
      <c r="A8" s="395" t="s">
        <v>51</v>
      </c>
      <c r="B8" s="358" t="s">
        <v>743</v>
      </c>
      <c r="C8" s="396" t="s"/>
      <c r="D8" s="546">
        <f>=评估表4总成本费用表!D8</f>
        <v>0</v>
      </c>
      <c r="E8" s="546">
        <f>=评估表4总成本费用表!E8</f>
        <v>0</v>
      </c>
      <c r="F8" s="394">
        <f>=评估表4总成本费用表!F8</f>
        <v>0</v>
      </c>
      <c r="G8" s="394">
        <f>=评估表4总成本费用表!G8</f>
        <v>0</v>
      </c>
      <c r="H8" s="394">
        <f>=评估表4总成本费用表!H8</f>
        <v>0</v>
      </c>
      <c r="I8" s="394">
        <f>=评估表4总成本费用表!I8</f>
        <v>0</v>
      </c>
      <c r="J8" s="394">
        <f>=评估表4总成本费用表!J8</f>
        <v>0</v>
      </c>
      <c r="K8" s="394">
        <f>=评估表4总成本费用表!K8</f>
        <v>0.03</v>
      </c>
      <c r="L8" s="394">
        <f>=评估表4总成本费用表!L8</f>
        <v>0</v>
      </c>
      <c r="M8" s="394">
        <f>=评估表4总成本费用表!M8</f>
        <v>0</v>
      </c>
      <c r="N8" s="394">
        <f>=评估表4总成本费用表!N8</f>
        <v>0</v>
      </c>
      <c r="O8" s="394">
        <f>=评估表4总成本费用表!O8</f>
        <v>0</v>
      </c>
      <c r="P8" s="394">
        <f>=评估表4总成本费用表!P8</f>
        <v>0.03</v>
      </c>
      <c r="Q8" s="394">
        <f>=评估表4总成本费用表!Q8</f>
        <v>0</v>
      </c>
      <c r="R8" s="394">
        <f>=评估表4总成本费用表!R8</f>
        <v>0</v>
      </c>
      <c r="S8" s="394">
        <f>=评估表4总成本费用表!S8</f>
        <v>0</v>
      </c>
      <c r="T8" s="394">
        <f>=评估表4总成本费用表!T8</f>
        <v>0</v>
      </c>
      <c r="U8" s="394">
        <f>=评估表4总成本费用表!U8</f>
        <v>0</v>
      </c>
      <c r="V8" s="394">
        <f>=评估表4总成本费用表!V8</f>
        <v>0</v>
      </c>
      <c r="W8" s="394">
        <f>=评估表4总成本费用表!W8</f>
        <v>0</v>
      </c>
      <c r="X8" s="394">
        <f>=评估表4总成本费用表!X8</f>
        <v>0</v>
      </c>
      <c r="Y8" s="394">
        <f>=评估表4总成本费用表!Y8</f>
        <v>0</v>
      </c>
    </row>
    <row r="9" spans="1:25" ht="12" hidden="true" customHeight="true">
      <c r="A9" s="395" t="s">
        <v>51</v>
      </c>
      <c r="B9" s="358" t="s">
        <v>744</v>
      </c>
      <c r="C9" s="396" t="s"/>
      <c r="D9" s="546">
        <f>=评估表4总成本费用表!D9</f>
        <v>0</v>
      </c>
      <c r="E9" s="546">
        <f>=评估表4总成本费用表!E9</f>
        <v>0</v>
      </c>
      <c r="F9" s="394">
        <f>=评估表4总成本费用表!F9</f>
        <v>0.5</v>
      </c>
      <c r="G9" s="394">
        <f>=评估表4总成本费用表!G9</f>
        <v>0.6</v>
      </c>
      <c r="H9" s="394">
        <f>=评估表4总成本费用表!H9</f>
        <v>0.7</v>
      </c>
      <c r="I9" s="394">
        <f>=评估表4总成本费用表!I9</f>
        <v>0.8</v>
      </c>
      <c r="J9" s="394">
        <f>=评估表4总成本费用表!J9</f>
        <v>0.9</v>
      </c>
      <c r="K9" s="394">
        <f>=评估表4总成本费用表!K9</f>
        <v>0.95</v>
      </c>
      <c r="L9" s="394">
        <f>=评估表4总成本费用表!L9</f>
        <v>0.95</v>
      </c>
      <c r="M9" s="394">
        <f>=评估表4总成本费用表!M9</f>
        <v>0.95</v>
      </c>
      <c r="N9" s="394">
        <f>=评估表4总成本费用表!N9</f>
        <v>0.95</v>
      </c>
      <c r="O9" s="394">
        <f>=评估表4总成本费用表!O9</f>
        <v>0.95</v>
      </c>
      <c r="P9" s="394">
        <f>=评估表4总成本费用表!P9</f>
        <v>0.95</v>
      </c>
      <c r="Q9" s="394">
        <f>=评估表4总成本费用表!Q9</f>
        <v>0.95</v>
      </c>
      <c r="R9" s="394">
        <f>=评估表4总成本费用表!R9</f>
        <v>0</v>
      </c>
      <c r="S9" s="394">
        <f>=评估表4总成本费用表!S9</f>
        <v>0</v>
      </c>
      <c r="T9" s="394">
        <f>=评估表4总成本费用表!T9</f>
        <v>0</v>
      </c>
      <c r="U9" s="394">
        <f>=评估表4总成本费用表!U9</f>
        <v>0</v>
      </c>
      <c r="V9" s="394">
        <f>=评估表4总成本费用表!V9</f>
        <v>0</v>
      </c>
      <c r="W9" s="394">
        <f>=评估表4总成本费用表!W9</f>
        <v>0</v>
      </c>
      <c r="X9" s="394">
        <f>=评估表4总成本费用表!X9</f>
        <v>0</v>
      </c>
      <c r="Y9" s="394">
        <f>=评估表4总成本费用表!Y9</f>
        <v>0</v>
      </c>
    </row>
    <row r="10" spans="1:25" ht="12" hidden="true" customHeight="true">
      <c r="A10" s="395" t="s">
        <v>51</v>
      </c>
      <c r="B10" s="358" t="s">
        <v>745</v>
      </c>
      <c r="C10" s="396" t="s"/>
      <c r="D10" s="546">
        <f>=评估表4总成本费用表!D10</f>
        <v>0</v>
      </c>
      <c r="E10" s="546">
        <f>=评估表4总成本费用表!E10</f>
        <v>0</v>
      </c>
      <c r="F10" s="394">
        <f>=评估表4总成本费用表!F10</f>
        <v>0</v>
      </c>
      <c r="G10" s="394">
        <f>=评估表4总成本费用表!G10</f>
        <v>0</v>
      </c>
      <c r="H10" s="394">
        <f>=评估表4总成本费用表!H10</f>
        <v>0</v>
      </c>
      <c r="I10" s="394">
        <f>=评估表4总成本费用表!I10</f>
        <v>0</v>
      </c>
      <c r="J10" s="394">
        <f>=评估表4总成本费用表!J10</f>
        <v>0</v>
      </c>
      <c r="K10" s="394">
        <f>=评估表4总成本费用表!K10</f>
        <v>0</v>
      </c>
      <c r="L10" s="394">
        <f>=评估表4总成本费用表!L10</f>
        <v>0</v>
      </c>
      <c r="M10" s="394">
        <f>=评估表4总成本费用表!M10</f>
        <v>0</v>
      </c>
      <c r="N10" s="394">
        <f>=评估表4总成本费用表!N10</f>
        <v>0</v>
      </c>
      <c r="O10" s="394">
        <f>=评估表4总成本费用表!O10</f>
        <v>0</v>
      </c>
      <c r="P10" s="394">
        <f>=评估表4总成本费用表!P10</f>
        <v>0</v>
      </c>
      <c r="Q10" s="394">
        <f>=评估表4总成本费用表!Q10</f>
        <v>0</v>
      </c>
      <c r="R10" s="394">
        <f>=评估表4总成本费用表!R10</f>
        <v>0</v>
      </c>
      <c r="S10" s="394">
        <f>=评估表4总成本费用表!S10</f>
        <v>0</v>
      </c>
      <c r="T10" s="394">
        <f>=评估表4总成本费用表!T10</f>
        <v>0</v>
      </c>
      <c r="U10" s="394">
        <f>=评估表4总成本费用表!U10</f>
        <v>0</v>
      </c>
      <c r="V10" s="394">
        <f>=评估表4总成本费用表!V10</f>
        <v>0</v>
      </c>
      <c r="W10" s="394">
        <f>=评估表4总成本费用表!W10</f>
        <v>0</v>
      </c>
      <c r="X10" s="394">
        <f>=评估表4总成本费用表!X10</f>
        <v>0</v>
      </c>
      <c r="Y10" s="394">
        <f>=评估表4总成本费用表!Y10</f>
        <v>0</v>
      </c>
    </row>
    <row r="11" spans="1:25" s="699" customFormat="true" ht="12" customHeight="true">
      <c r="A11" s="373" t="s">
        <v>442</v>
      </c>
      <c r="B11" s="415" t="s">
        <v>1038</v>
      </c>
      <c r="C11" s="376">
        <f>=SUM(D11:Y11)</f>
        <v>11668.3712261371</v>
      </c>
      <c r="D11" s="547">
        <f>=SUM(D17:D24)</f>
        <v>0</v>
      </c>
      <c r="E11" s="548">
        <f>=SUM(E17:E24)</f>
        <v>0</v>
      </c>
      <c r="F11" s="376">
        <f>=SUM(F17:F24)</f>
        <v>536.653129626803</v>
      </c>
      <c r="G11" s="376">
        <f>=SUM(G17:G24)</f>
        <v>1071.00820433197</v>
      </c>
      <c r="H11" s="376">
        <f>=SUM(H17:H24)</f>
        <v>1072.84307109126</v>
      </c>
      <c r="I11" s="376">
        <f>=SUM(I17:I24)</f>
        <v>1071.67780870136</v>
      </c>
      <c r="J11" s="376">
        <f>=SUM(J17:J24)</f>
        <v>1073.51241767887</v>
      </c>
      <c r="K11" s="376">
        <f>=SUM(K17:K24)</f>
        <v>1070.4769985383</v>
      </c>
      <c r="L11" s="376">
        <f>=SUM(L17:L24)</f>
        <v>1068.34451179214</v>
      </c>
      <c r="M11" s="376">
        <f>=SUM(M17:M24)</f>
        <v>1050.37254334133</v>
      </c>
      <c r="N11" s="376">
        <f>=SUM(N17:N24)</f>
        <v>917.122468343209</v>
      </c>
      <c r="O11" s="376">
        <f>=SUM(O17:O24)</f>
        <v>915.72382992061</v>
      </c>
      <c r="P11" s="376">
        <f>=SUM(P17:P24)</f>
        <v>911.017565921888</v>
      </c>
      <c r="Q11" s="376">
        <f>=SUM(Q17:Q24)</f>
        <v>909.618676849346</v>
      </c>
      <c r="R11" s="376">
        <f>=SUM(R17:R24)</f>
        <v>0</v>
      </c>
      <c r="S11" s="376">
        <f>=SUM(S17:S24)</f>
        <v>0</v>
      </c>
      <c r="T11" s="376">
        <f>=SUM(T17:T24)</f>
        <v>0</v>
      </c>
      <c r="U11" s="376">
        <f>=SUM(U17:U24)</f>
        <v>0</v>
      </c>
      <c r="V11" s="376">
        <f>=SUM(V17:V24)</f>
        <v>0</v>
      </c>
      <c r="W11" s="376">
        <f>=SUM(W17:W24)</f>
        <v>0</v>
      </c>
      <c r="X11" s="376">
        <f>=SUM(X17:X24)</f>
        <v>0</v>
      </c>
      <c r="Y11" s="376">
        <f>=SUM(Y17:Y24)</f>
        <v>0</v>
      </c>
    </row>
    <row r="12" spans="1:26" s="699" customFormat="true" ht="12" customHeight="true">
      <c r="A12" s="373">
        <v>1</v>
      </c>
      <c r="B12" s="415" t="s">
        <v>746</v>
      </c>
      <c r="C12" s="376">
        <f>=SUM(D12:Y12)</f>
        <v>14147.8208401637</v>
      </c>
      <c r="D12" s="547">
        <f>=评估表5损益及利润分配表!D11</f>
        <v>0</v>
      </c>
      <c r="E12" s="548">
        <f>=评估表5损益及利润分配表!E11</f>
        <v>0</v>
      </c>
      <c r="F12" s="376">
        <f>=评估表5损益及利润分配表!F11</f>
        <v>615.4450417656</v>
      </c>
      <c r="G12" s="376">
        <f>=评估表5损益及利润分配表!G11</f>
        <v>1228.66981164288</v>
      </c>
      <c r="H12" s="376">
        <f>=评估表5损益及利润分配表!H11</f>
        <v>1230.54259110336</v>
      </c>
      <c r="I12" s="376">
        <f>=评估表5损益及利润分配表!I11</f>
        <v>1232.41537056384</v>
      </c>
      <c r="J12" s="376">
        <f>=评估表5损益及利润分配表!J11</f>
        <v>1234.28815002432</v>
      </c>
      <c r="K12" s="376">
        <f>=评估表5损益及利润分配表!K11</f>
        <v>1234.4059294848</v>
      </c>
      <c r="L12" s="376">
        <f>=评估表5损益及利润分配表!L11</f>
        <v>1232.76870894528</v>
      </c>
      <c r="M12" s="376">
        <f>=评估表5损益及利润分配表!M11</f>
        <v>1231.13148840576</v>
      </c>
      <c r="N12" s="376">
        <f>=评估表5损益及利润分配表!N11</f>
        <v>1229.49426786624</v>
      </c>
      <c r="O12" s="376">
        <f>=评估表5损益及利润分配表!O11</f>
        <v>1227.85704732672</v>
      </c>
      <c r="P12" s="376">
        <f>=评估表5损益及利润分配表!P11</f>
        <v>1226.2198267872</v>
      </c>
      <c r="Q12" s="376">
        <f>=评估表5损益及利润分配表!Q11</f>
        <v>1224.58260624768</v>
      </c>
      <c r="R12" s="376">
        <f>=评估表5损益及利润分配表!R11</f>
        <v>0</v>
      </c>
      <c r="S12" s="376">
        <f>=评估表5损益及利润分配表!S11</f>
        <v>0</v>
      </c>
      <c r="T12" s="376">
        <f>=评估表5损益及利润分配表!T11</f>
        <v>0</v>
      </c>
      <c r="U12" s="376">
        <f>=评估表5损益及利润分配表!U11</f>
        <v>0</v>
      </c>
      <c r="V12" s="376">
        <f>=评估表5损益及利润分配表!V11</f>
        <v>0</v>
      </c>
      <c r="W12" s="376">
        <f>=评估表5损益及利润分配表!W11</f>
        <v>0</v>
      </c>
      <c r="X12" s="376">
        <f>=评估表5损益及利润分配表!X11</f>
        <v>0</v>
      </c>
      <c r="Y12" s="376">
        <f>=评估表5损益及利润分配表!Y11</f>
        <v>0</v>
      </c>
      <c r="Z12" s="399" t="s">
        <v>775</v>
      </c>
    </row>
    <row r="13" spans="1:26" s="699" customFormat="true" ht="12" customHeight="true">
      <c r="A13" s="373">
        <v>2</v>
      </c>
      <c r="B13" s="499" t="s">
        <v>659</v>
      </c>
      <c r="C13" s="376">
        <f>=SUM(D13:Y13)</f>
        <v>55.1969402555902</v>
      </c>
      <c r="D13" s="547">
        <f>=评估表5损益及利润分配表!D12</f>
        <v>0</v>
      </c>
      <c r="E13" s="548">
        <f>=评估表5损益及利润分配表!E12</f>
        <v>0</v>
      </c>
      <c r="F13" s="376">
        <f>=评估表5损益及利润分配表!F12</f>
        <v>0</v>
      </c>
      <c r="G13" s="376">
        <f>=评估表5损益及利润分配表!G12</f>
        <v>0</v>
      </c>
      <c r="H13" s="376">
        <f>=评估表5损益及利润分配表!H12</f>
        <v>0</v>
      </c>
      <c r="I13" s="376">
        <f>=评估表5损益及利润分配表!I12</f>
        <v>0</v>
      </c>
      <c r="J13" s="376">
        <f>=评估表5损益及利润分配表!J12</f>
        <v>0</v>
      </c>
      <c r="K13" s="376">
        <f>=评估表5损益及利润分配表!K12</f>
        <v>0</v>
      </c>
      <c r="L13" s="376">
        <f>=评估表5损益及利润分配表!L12</f>
        <v>0</v>
      </c>
      <c r="M13" s="376">
        <f>=评估表5损益及利润分配表!M12</f>
        <v>1.48785405540685</v>
      </c>
      <c r="N13" s="376">
        <f>=评估表5损益及利润分配表!N12</f>
        <v>13.4555244708606</v>
      </c>
      <c r="O13" s="376">
        <f>=评估表5损益及利润分配表!O12</f>
        <v>13.4366891903174</v>
      </c>
      <c r="P13" s="376">
        <f>=评估表5损益及利润分配表!P12</f>
        <v>13.4178539097743</v>
      </c>
      <c r="Q13" s="376">
        <f>=评估表5损益及利润分配表!Q12</f>
        <v>13.3990186292311</v>
      </c>
      <c r="R13" s="376">
        <f>=评估表5损益及利润分配表!R12</f>
        <v>0</v>
      </c>
      <c r="S13" s="376">
        <f>=评估表5损益及利润分配表!S12</f>
        <v>0</v>
      </c>
      <c r="T13" s="376">
        <f>=评估表5损益及利润分配表!T12</f>
        <v>0</v>
      </c>
      <c r="U13" s="376">
        <f>=评估表5损益及利润分配表!U12</f>
        <v>0</v>
      </c>
      <c r="V13" s="376">
        <f>=评估表5损益及利润分配表!V12</f>
        <v>0</v>
      </c>
      <c r="W13" s="376">
        <f>=评估表5损益及利润分配表!W12</f>
        <v>0</v>
      </c>
      <c r="X13" s="376">
        <f>=评估表5损益及利润分配表!X12</f>
        <v>0</v>
      </c>
      <c r="Y13" s="376">
        <f>=评估表5损益及利润分配表!Y12</f>
        <v>0</v>
      </c>
      <c r="Z13" s="399" t="s">
        <v>775</v>
      </c>
    </row>
    <row r="14" spans="1:26" s="699" customFormat="true" ht="12" customHeight="true">
      <c r="A14" s="373">
        <v>3</v>
      </c>
      <c r="B14" s="415" t="s">
        <v>652</v>
      </c>
      <c r="C14" s="376">
        <f>=SUM(D14:Y14)</f>
        <v>551.969402555902</v>
      </c>
      <c r="D14" s="547">
        <f>=评估表5损益及利润分配表!D13</f>
        <v>0</v>
      </c>
      <c r="E14" s="548">
        <f>=评估表5损益及利润分配表!E13</f>
        <v>0</v>
      </c>
      <c r="F14" s="376">
        <f>=评估表5损益及利润分配表!F13</f>
        <v>0</v>
      </c>
      <c r="G14" s="376">
        <f>=评估表5损益及利润分配表!G13</f>
        <v>0</v>
      </c>
      <c r="H14" s="376">
        <f>=评估表5损益及利润分配表!H13</f>
        <v>0</v>
      </c>
      <c r="I14" s="376">
        <f>=评估表5损益及利润分配表!I13</f>
        <v>0</v>
      </c>
      <c r="J14" s="376">
        <f>=评估表5损益及利润分配表!J13</f>
        <v>0</v>
      </c>
      <c r="K14" s="376">
        <f>=评估表5损益及利润分配表!K13</f>
        <v>0</v>
      </c>
      <c r="L14" s="376">
        <f>=评估表5损益及利润分配表!L13</f>
        <v>0</v>
      </c>
      <c r="M14" s="376">
        <f>=评估表5损益及利润分配表!M13</f>
        <v>14.8785405540685</v>
      </c>
      <c r="N14" s="376">
        <f>=评估表5损益及利润分配表!N13</f>
        <v>134.555244708606</v>
      </c>
      <c r="O14" s="376">
        <f>=评估表5损益及利润分配表!O13</f>
        <v>134.366891903174</v>
      </c>
      <c r="P14" s="376">
        <f>=评估表5损益及利润分配表!P13</f>
        <v>134.178539097743</v>
      </c>
      <c r="Q14" s="376">
        <f>=评估表5损益及利润分配表!Q13</f>
        <v>133.990186292311</v>
      </c>
      <c r="R14" s="376">
        <f>=评估表5损益及利润分配表!R13</f>
        <v>0</v>
      </c>
      <c r="S14" s="376">
        <f>=评估表5损益及利润分配表!S13</f>
        <v>0</v>
      </c>
      <c r="T14" s="376">
        <f>=评估表5损益及利润分配表!T13</f>
        <v>0</v>
      </c>
      <c r="U14" s="376">
        <f>=评估表5损益及利润分配表!U13</f>
        <v>0</v>
      </c>
      <c r="V14" s="376">
        <f>=评估表5损益及利润分配表!V13</f>
        <v>0</v>
      </c>
      <c r="W14" s="376">
        <f>=评估表5损益及利润分配表!W13</f>
        <v>0</v>
      </c>
      <c r="X14" s="376">
        <f>=评估表5损益及利润分配表!X13</f>
        <v>0</v>
      </c>
      <c r="Y14" s="376">
        <f>=评估表5损益及利润分配表!Y13</f>
        <v>0</v>
      </c>
      <c r="Z14" s="399" t="s">
        <v>775</v>
      </c>
    </row>
    <row r="15" spans="1:26" s="699" customFormat="true" ht="12" customHeight="true">
      <c r="A15" s="373">
        <v>4</v>
      </c>
      <c r="B15" s="262" t="s">
        <v>748</v>
      </c>
      <c r="C15" s="376">
        <f>=SUM(D15:Y15)</f>
        <v>10813.3378669797</v>
      </c>
      <c r="D15" s="547">
        <f>=评估表5损益及利润分配表!D14</f>
        <v>0</v>
      </c>
      <c r="E15" s="548">
        <f>=评估表5损益及利润分配表!E14</f>
        <v>0</v>
      </c>
      <c r="F15" s="376">
        <f>=评估表5损益及利润分配表!F14</f>
        <v>418.712805591448</v>
      </c>
      <c r="G15" s="376">
        <f>=评估表5损益及利润分配表!G14</f>
        <v>823.598795496203</v>
      </c>
      <c r="H15" s="376">
        <f>=评估表5损益及利润分配表!H14</f>
        <v>795.531369792352</v>
      </c>
      <c r="I15" s="376">
        <f>=评估表5损益及利润分配表!I14</f>
        <v>769.700148902929</v>
      </c>
      <c r="J15" s="376">
        <f>=评估表5损益及利润分配表!J14</f>
        <v>740.162189077177</v>
      </c>
      <c r="K15" s="376">
        <f>=评估表5损益及利润分配表!K14</f>
        <v>712.937812356605</v>
      </c>
      <c r="L15" s="376">
        <f>=评估表5损益及利润分配表!L14</f>
        <v>682.357868126668</v>
      </c>
      <c r="M15" s="376">
        <f>=评估表5损益及利润分配表!M14</f>
        <v>650.512537396945</v>
      </c>
      <c r="N15" s="376">
        <f>=评估表5损益及利润分配表!N14</f>
        <v>618.314161880971</v>
      </c>
      <c r="O15" s="376">
        <f>=评估表5损益及利润分配表!O14</f>
        <v>588.695050793373</v>
      </c>
      <c r="P15" s="376">
        <f>=评估表5损益及利润分配表!P14</f>
        <v>561.66432094055</v>
      </c>
      <c r="Q15" s="376">
        <f>=评估表5损益及利润分配表!Q14</f>
        <v>532.416511382093</v>
      </c>
      <c r="R15" s="376">
        <f>=评估表5损益及利润分配表!R14</f>
        <v>364.841786905301</v>
      </c>
      <c r="S15" s="376">
        <f>=评估表5损益及利润分配表!S14</f>
        <v>364.841786905301</v>
      </c>
      <c r="T15" s="376">
        <f>=评估表5损益及利润分配表!T14</f>
        <v>364.841786905301</v>
      </c>
      <c r="U15" s="376">
        <f>=评估表5损益及利润分配表!U14</f>
        <v>364.841786905301</v>
      </c>
      <c r="V15" s="376">
        <f>=评估表5损益及利润分配表!V14</f>
        <v>364.841786905301</v>
      </c>
      <c r="W15" s="376">
        <f>=评估表5损益及利润分配表!W14</f>
        <v>364.841786905301</v>
      </c>
      <c r="X15" s="376">
        <f>=评估表5损益及利润分配表!X14</f>
        <v>364.841786905301</v>
      </c>
      <c r="Y15" s="376">
        <f>=评估表5损益及利润分配表!Y14</f>
        <v>364.841786905301</v>
      </c>
      <c r="Z15" s="399" t="s">
        <v>775</v>
      </c>
    </row>
    <row r="16" spans="1:26" s="699" customFormat="true" ht="12" customHeight="true">
      <c r="A16" s="373">
        <v>5</v>
      </c>
      <c r="B16" s="499" t="s">
        <v>749</v>
      </c>
      <c r="C16" s="547" t="s"/>
      <c r="D16" s="547">
        <f>=评估表5损益及利润分配表!D15</f>
        <v>0</v>
      </c>
      <c r="E16" s="548">
        <f>=评估表5损益及利润分配表!E15</f>
        <v>0</v>
      </c>
      <c r="F16" s="376">
        <f>=评估表5损益及利润分配表!F15</f>
        <v>0</v>
      </c>
      <c r="G16" s="376">
        <f>=评估表5损益及利润分配表!G15</f>
        <v>0</v>
      </c>
      <c r="H16" s="376">
        <f>=评估表5损益及利润分配表!H15</f>
        <v>0</v>
      </c>
      <c r="I16" s="376">
        <f>=评估表5损益及利润分配表!I15</f>
        <v>0</v>
      </c>
      <c r="J16" s="376">
        <f>=评估表5损益及利润分配表!J15</f>
        <v>0</v>
      </c>
      <c r="K16" s="376">
        <f>=评估表5损益及利润分配表!K15</f>
        <v>0</v>
      </c>
      <c r="L16" s="376">
        <f>=评估表5损益及利润分配表!L15</f>
        <v>0</v>
      </c>
      <c r="M16" s="376">
        <f>=评估表5损益及利润分配表!M15</f>
        <v>0</v>
      </c>
      <c r="N16" s="376">
        <f>=评估表5损益及利润分配表!N15</f>
        <v>0</v>
      </c>
      <c r="O16" s="376">
        <f>=评估表5损益及利润分配表!O15</f>
        <v>0</v>
      </c>
      <c r="P16" s="376">
        <f>=评估表5损益及利润分配表!P15</f>
        <v>0</v>
      </c>
      <c r="Q16" s="376">
        <f>=评估表5损益及利润分配表!Q15</f>
        <v>0</v>
      </c>
      <c r="R16" s="376">
        <f>=评估表5损益及利润分配表!R15</f>
        <v>0</v>
      </c>
      <c r="S16" s="376">
        <f>=评估表5损益及利润分配表!S15</f>
        <v>0</v>
      </c>
      <c r="T16" s="376">
        <f>=评估表5损益及利润分配表!T15</f>
        <v>0</v>
      </c>
      <c r="U16" s="376">
        <f>=评估表5损益及利润分配表!U15</f>
        <v>0</v>
      </c>
      <c r="V16" s="376">
        <f>=评估表5损益及利润分配表!V15</f>
        <v>0</v>
      </c>
      <c r="W16" s="376">
        <f>=评估表5损益及利润分配表!W15</f>
        <v>0</v>
      </c>
      <c r="X16" s="376">
        <f>=评估表5损益及利润分配表!X15</f>
        <v>0</v>
      </c>
      <c r="Y16" s="376">
        <f>=评估表5损益及利润分配表!Y15</f>
        <v>0</v>
      </c>
      <c r="Z16" s="399" t="s">
        <v>775</v>
      </c>
    </row>
    <row r="17" spans="1:26" s="699" customFormat="true" ht="12" customHeight="true">
      <c r="A17" s="373">
        <v>6</v>
      </c>
      <c r="B17" s="415" t="s">
        <v>776</v>
      </c>
      <c r="C17" s="376">
        <f>=SUM(D17:Y17)</f>
        <v>2727.31663037247</v>
      </c>
      <c r="D17" s="547">
        <f>=评估表5损益及利润分配表!D16</f>
        <v>0</v>
      </c>
      <c r="E17" s="548">
        <f>=评估表5损益及利润分配表!E16</f>
        <v>0</v>
      </c>
      <c r="F17" s="376">
        <f>=评估表5损益及利润分配表!F16</f>
        <v>196.732236174153</v>
      </c>
      <c r="G17" s="376">
        <f>=评估表5损益及利润分配表!G16</f>
        <v>405.071016146677</v>
      </c>
      <c r="H17" s="376">
        <f>=评估表5损益及利润分配表!H16</f>
        <v>435.011221311008</v>
      </c>
      <c r="I17" s="376">
        <f>=评估表5损益及利润分配表!I16</f>
        <v>462.715221660911</v>
      </c>
      <c r="J17" s="376">
        <f>=评估表5损益及利润分配表!J16</f>
        <v>494.125960947143</v>
      </c>
      <c r="K17" s="376">
        <f>=评估表5损益及利润分配表!K16</f>
        <v>521.468117128196</v>
      </c>
      <c r="L17" s="376">
        <f>=评估表5损益及利润分配表!L16</f>
        <v>550.410840818612</v>
      </c>
      <c r="M17" s="376">
        <f>=评估表5损益及利润分配表!M16</f>
        <v>564.25255639934</v>
      </c>
      <c r="N17" s="376">
        <f>=评估表5损益及利润分配表!N16</f>
        <v>463.169336805802</v>
      </c>
      <c r="O17" s="376">
        <f>=评估表5损益及利润分配表!O16</f>
        <v>491.358415439856</v>
      </c>
      <c r="P17" s="376">
        <f>=评估表5损益及利润分配表!P16</f>
        <v>516.959112839133</v>
      </c>
      <c r="Q17" s="376">
        <f>=评估表5损益及利润分配表!Q16</f>
        <v>544.776889944045</v>
      </c>
      <c r="R17" s="376">
        <f>=评估表5损益及利润分配表!R16</f>
        <v>-364.841786905301</v>
      </c>
      <c r="S17" s="376">
        <f>=评估表5损益及利润分配表!S16</f>
        <v>-364.841786905301</v>
      </c>
      <c r="T17" s="376">
        <f>=评估表5损益及利润分配表!T16</f>
        <v>-364.841786905301</v>
      </c>
      <c r="U17" s="376">
        <f>=评估表5损益及利润分配表!U16</f>
        <v>-364.841786905301</v>
      </c>
      <c r="V17" s="376">
        <f>=评估表5损益及利润分配表!V16</f>
        <v>-364.841786905301</v>
      </c>
      <c r="W17" s="376">
        <f>=评估表5损益及利润分配表!W16</f>
        <v>-364.841786905301</v>
      </c>
      <c r="X17" s="376">
        <f>=评估表5损益及利润分配表!X16</f>
        <v>-364.841786905301</v>
      </c>
      <c r="Y17" s="376">
        <f>=评估表5损益及利润分配表!Y16</f>
        <v>-364.841786905301</v>
      </c>
      <c r="Z17" s="399" t="s">
        <v>775</v>
      </c>
    </row>
    <row r="18" spans="1:26" s="699" customFormat="true" ht="12" customHeight="true">
      <c r="A18" s="373">
        <v>7</v>
      </c>
      <c r="B18" s="415" t="s">
        <v>779</v>
      </c>
      <c r="C18" s="376">
        <f>=SUM(D18:Y18)</f>
        <v>7114.41484465337</v>
      </c>
      <c r="D18" s="547">
        <f>=评估表4总成本费用表!D25</f>
        <v>0</v>
      </c>
      <c r="E18" s="548">
        <f>=评估表4总成本费用表!E25</f>
        <v>0</v>
      </c>
      <c r="F18" s="376">
        <f>=评估表4总成本费用表!F25</f>
        <v>182.42089345265</v>
      </c>
      <c r="G18" s="376">
        <f>=评估表4总成本费用表!G25</f>
        <v>364.841786905301</v>
      </c>
      <c r="H18" s="376">
        <f>=评估表4总成本费用表!H25</f>
        <v>364.841786905301</v>
      </c>
      <c r="I18" s="376">
        <f>=评估表4总成本费用表!I25</f>
        <v>364.841786905301</v>
      </c>
      <c r="J18" s="376">
        <f>=评估表4总成本费用表!J25</f>
        <v>364.841786905301</v>
      </c>
      <c r="K18" s="376">
        <f>=评估表4总成本费用表!K25</f>
        <v>364.841786905301</v>
      </c>
      <c r="L18" s="376">
        <f>=评估表4总成本费用表!L25</f>
        <v>364.841786905301</v>
      </c>
      <c r="M18" s="376">
        <f>=评估表4总成本费用表!M25</f>
        <v>364.841786905301</v>
      </c>
      <c r="N18" s="376">
        <f>=评估表4总成本费用表!N25</f>
        <v>364.841786905301</v>
      </c>
      <c r="O18" s="376">
        <f>=评估表4总成本费用表!O25</f>
        <v>364.841786905301</v>
      </c>
      <c r="P18" s="376">
        <f>=评估表4总成本费用表!P25</f>
        <v>364.841786905301</v>
      </c>
      <c r="Q18" s="376">
        <f>=评估表4总成本费用表!Q25</f>
        <v>364.841786905301</v>
      </c>
      <c r="R18" s="376">
        <f>=评估表4总成本费用表!R25</f>
        <v>364.841786905301</v>
      </c>
      <c r="S18" s="376">
        <f>=评估表4总成本费用表!S25</f>
        <v>364.841786905301</v>
      </c>
      <c r="T18" s="376">
        <f>=评估表4总成本费用表!T25</f>
        <v>364.841786905301</v>
      </c>
      <c r="U18" s="376">
        <f>=评估表4总成本费用表!U25</f>
        <v>364.841786905301</v>
      </c>
      <c r="V18" s="376">
        <f>=评估表4总成本费用表!V25</f>
        <v>364.841786905301</v>
      </c>
      <c r="W18" s="376">
        <f>=评估表4总成本费用表!W25</f>
        <v>364.841786905301</v>
      </c>
      <c r="X18" s="376">
        <f>=评估表4总成本费用表!X25</f>
        <v>364.841786905301</v>
      </c>
      <c r="Y18" s="376">
        <f>=评估表4总成本费用表!Y25</f>
        <v>364.841786905301</v>
      </c>
      <c r="Z18" s="399" t="s">
        <v>644</v>
      </c>
    </row>
    <row r="19" spans="1:26" s="699" customFormat="true" ht="12" customHeight="true">
      <c r="A19" s="373">
        <v>8</v>
      </c>
      <c r="B19" s="402" t="s">
        <v>780</v>
      </c>
      <c r="C19" s="376">
        <f>=SUM(D19:Y19)</f>
        <v>0</v>
      </c>
      <c r="D19" s="547">
        <f>=评估表4总成本费用表!D42</f>
        <v>0</v>
      </c>
      <c r="E19" s="548">
        <f>=评估表4总成本费用表!E42</f>
        <v>0</v>
      </c>
      <c r="F19" s="376">
        <f>=评估表4总成本费用表!F42</f>
        <v>0</v>
      </c>
      <c r="G19" s="376">
        <f>=评估表4总成本费用表!G42</f>
        <v>0</v>
      </c>
      <c r="H19" s="376">
        <f>=评估表4总成本费用表!H42</f>
        <v>0</v>
      </c>
      <c r="I19" s="376">
        <f>=评估表4总成本费用表!I42</f>
        <v>0</v>
      </c>
      <c r="J19" s="376">
        <f>=评估表4总成本费用表!J42</f>
        <v>0</v>
      </c>
      <c r="K19" s="376">
        <f>=评估表4总成本费用表!K42</f>
        <v>0</v>
      </c>
      <c r="L19" s="376">
        <f>=评估表4总成本费用表!L42</f>
        <v>0</v>
      </c>
      <c r="M19" s="376">
        <f>=评估表4总成本费用表!M42</f>
        <v>0</v>
      </c>
      <c r="N19" s="376">
        <f>=评估表4总成本费用表!N42</f>
        <v>0</v>
      </c>
      <c r="O19" s="376">
        <f>=评估表4总成本费用表!O42</f>
        <v>0</v>
      </c>
      <c r="P19" s="376">
        <f>=评估表4总成本费用表!P42</f>
        <v>0</v>
      </c>
      <c r="Q19" s="376">
        <f>=评估表4总成本费用表!Q42</f>
        <v>0</v>
      </c>
      <c r="R19" s="376">
        <f>=评估表4总成本费用表!R42</f>
        <v>0</v>
      </c>
      <c r="S19" s="376">
        <f>=评估表4总成本费用表!S42</f>
        <v>0</v>
      </c>
      <c r="T19" s="376">
        <f>=评估表4总成本费用表!T42</f>
        <v>0</v>
      </c>
      <c r="U19" s="376">
        <f>=评估表4总成本费用表!U42</f>
        <v>0</v>
      </c>
      <c r="V19" s="376">
        <f>=评估表4总成本费用表!V42</f>
        <v>0</v>
      </c>
      <c r="W19" s="376">
        <f>=评估表4总成本费用表!W42</f>
        <v>0</v>
      </c>
      <c r="X19" s="376">
        <f>=评估表4总成本费用表!X42</f>
        <v>0</v>
      </c>
      <c r="Y19" s="376">
        <f>=评估表4总成本费用表!Y42</f>
        <v>0</v>
      </c>
      <c r="Z19" s="399" t="s">
        <v>644</v>
      </c>
    </row>
    <row r="20" spans="1:26" s="699" customFormat="true" ht="12" customHeight="true">
      <c r="A20" s="373">
        <v>9</v>
      </c>
      <c r="B20" s="402" t="s">
        <v>781</v>
      </c>
      <c r="C20" s="376">
        <f>=SUM(D20:Y20)</f>
        <v>0</v>
      </c>
      <c r="D20" s="547">
        <f>=评估表4总成本费用表!D45</f>
        <v>0</v>
      </c>
      <c r="E20" s="548">
        <f>=评估表4总成本费用表!E45</f>
        <v>0</v>
      </c>
      <c r="F20" s="376">
        <f>=评估表4总成本费用表!F45</f>
        <v>0</v>
      </c>
      <c r="G20" s="376">
        <f>=评估表4总成本费用表!G45</f>
        <v>0</v>
      </c>
      <c r="H20" s="376">
        <f>=评估表4总成本费用表!H45</f>
        <v>0</v>
      </c>
      <c r="I20" s="376">
        <f>=评估表4总成本费用表!I45</f>
        <v>0</v>
      </c>
      <c r="J20" s="376">
        <f>=评估表4总成本费用表!J45</f>
        <v>0</v>
      </c>
      <c r="K20" s="376">
        <f>=评估表4总成本费用表!K45</f>
        <v>0</v>
      </c>
      <c r="L20" s="376">
        <f>=评估表4总成本费用表!L45</f>
        <v>0</v>
      </c>
      <c r="M20" s="376">
        <f>=评估表4总成本费用表!M45</f>
        <v>0</v>
      </c>
      <c r="N20" s="376">
        <f>=评估表4总成本费用表!N45</f>
        <v>0</v>
      </c>
      <c r="O20" s="376">
        <f>=评估表4总成本费用表!O45</f>
        <v>0</v>
      </c>
      <c r="P20" s="376">
        <f>=评估表4总成本费用表!P45</f>
        <v>0</v>
      </c>
      <c r="Q20" s="376">
        <f>=评估表4总成本费用表!Q45</f>
        <v>0</v>
      </c>
      <c r="R20" s="376">
        <f>=评估表4总成本费用表!R45</f>
        <v>0</v>
      </c>
      <c r="S20" s="376">
        <f>=评估表4总成本费用表!S45</f>
        <v>0</v>
      </c>
      <c r="T20" s="376">
        <f>=评估表4总成本费用表!T45</f>
        <v>0</v>
      </c>
      <c r="U20" s="376">
        <f>=评估表4总成本费用表!U45</f>
        <v>0</v>
      </c>
      <c r="V20" s="376">
        <f>=评估表4总成本费用表!V45</f>
        <v>0</v>
      </c>
      <c r="W20" s="376">
        <f>=评估表4总成本费用表!W45</f>
        <v>0</v>
      </c>
      <c r="X20" s="376">
        <f>=评估表4总成本费用表!X45</f>
        <v>0</v>
      </c>
      <c r="Y20" s="376">
        <f>=评估表4总成本费用表!Y45</f>
        <v>0</v>
      </c>
      <c r="Z20" s="399" t="s">
        <v>644</v>
      </c>
    </row>
    <row r="21" spans="1:26" s="699" customFormat="true" ht="12" customHeight="true">
      <c r="A21" s="373">
        <v>10</v>
      </c>
      <c r="B21" s="402" t="s">
        <v>782</v>
      </c>
      <c r="C21" s="376">
        <f>=SUM(D21:Y21)</f>
        <v>0</v>
      </c>
      <c r="D21" s="547">
        <f>=评估表4总成本费用表!D50</f>
        <v>0</v>
      </c>
      <c r="E21" s="548">
        <f>=评估表4总成本费用表!E50</f>
        <v>0</v>
      </c>
      <c r="F21" s="376">
        <f>=评估表4总成本费用表!F50</f>
        <v>0</v>
      </c>
      <c r="G21" s="376">
        <f>=评估表4总成本费用表!G50</f>
        <v>0</v>
      </c>
      <c r="H21" s="376">
        <f>=评估表4总成本费用表!H50</f>
        <v>0</v>
      </c>
      <c r="I21" s="376">
        <f>=评估表4总成本费用表!I50</f>
        <v>0</v>
      </c>
      <c r="J21" s="376">
        <f>=评估表4总成本费用表!J50</f>
        <v>0</v>
      </c>
      <c r="K21" s="376">
        <f>=评估表4总成本费用表!K50</f>
        <v>0</v>
      </c>
      <c r="L21" s="376">
        <f>=评估表4总成本费用表!L50</f>
        <v>0</v>
      </c>
      <c r="M21" s="376">
        <f>=评估表4总成本费用表!M50</f>
        <v>0</v>
      </c>
      <c r="N21" s="376">
        <f>=评估表4总成本费用表!N50</f>
        <v>0</v>
      </c>
      <c r="O21" s="376">
        <f>=评估表4总成本费用表!O50</f>
        <v>0</v>
      </c>
      <c r="P21" s="376">
        <f>=评估表4总成本费用表!P50</f>
        <v>0</v>
      </c>
      <c r="Q21" s="376">
        <f>=评估表4总成本费用表!Q50</f>
        <v>0</v>
      </c>
      <c r="R21" s="376">
        <f>=评估表4总成本费用表!R50</f>
        <v>0</v>
      </c>
      <c r="S21" s="376">
        <f>=评估表4总成本费用表!S50</f>
        <v>0</v>
      </c>
      <c r="T21" s="376">
        <f>=评估表4总成本费用表!T50</f>
        <v>0</v>
      </c>
      <c r="U21" s="376">
        <f>=评估表4总成本费用表!U50</f>
        <v>0</v>
      </c>
      <c r="V21" s="376">
        <f>=评估表4总成本费用表!V50</f>
        <v>0</v>
      </c>
      <c r="W21" s="376">
        <f>=评估表4总成本费用表!W50</f>
        <v>0</v>
      </c>
      <c r="X21" s="376">
        <f>=评估表4总成本费用表!X50</f>
        <v>0</v>
      </c>
      <c r="Y21" s="376">
        <f>=评估表4总成本费用表!Y50</f>
        <v>0</v>
      </c>
      <c r="Z21" s="399" t="s">
        <v>644</v>
      </c>
    </row>
    <row r="22" spans="1:26" s="699" customFormat="true" ht="12" customHeight="true">
      <c r="A22" s="373">
        <v>11</v>
      </c>
      <c r="B22" s="402" t="s">
        <v>783</v>
      </c>
      <c r="C22" s="376">
        <f>=SUM(D22:Y22)</f>
        <v>1826.63975111125</v>
      </c>
      <c r="D22" s="547">
        <f>=评估表4总成本费用表!D51</f>
        <v>0</v>
      </c>
      <c r="E22" s="547">
        <f>=评估表4总成本费用表!E51</f>
        <v>0</v>
      </c>
      <c r="F22" s="376">
        <f>=评估表4总成本费用表!F51</f>
        <v>157.5</v>
      </c>
      <c r="G22" s="376">
        <f>=评估表4总成本费用表!G51</f>
        <v>301.09540127999</v>
      </c>
      <c r="H22" s="376">
        <f>=评估表4总成本费用表!H51</f>
        <v>272.990062874956</v>
      </c>
      <c r="I22" s="376">
        <f>=评估表4总成本费用表!I51</f>
        <v>244.120800135153</v>
      </c>
      <c r="J22" s="376">
        <f>=评估表4总成本费用表!J51</f>
        <v>214.544669826423</v>
      </c>
      <c r="K22" s="376">
        <f>=评估表4总成本费用表!K51</f>
        <v>184.167094504804</v>
      </c>
      <c r="L22" s="376">
        <f>=评估表4总成本费用表!L51</f>
        <v>153.091884068226</v>
      </c>
      <c r="M22" s="376">
        <f>=评估表4总成本费用表!M51</f>
        <v>121.278200036687</v>
      </c>
      <c r="N22" s="376">
        <f>=评估表4总成本费用表!N51</f>
        <v>89.1113446321059</v>
      </c>
      <c r="O22" s="376">
        <f>=评估表4总成本费用表!O51</f>
        <v>59.5236275754536</v>
      </c>
      <c r="P22" s="376">
        <f>=评估表4总成本费用表!P51</f>
        <v>29.2166661774535</v>
      </c>
      <c r="Q22" s="376">
        <f>=评估表4总成本费用表!Q51</f>
        <v>0</v>
      </c>
      <c r="R22" s="376">
        <f>=评估表4总成本费用表!R51</f>
        <v>0</v>
      </c>
      <c r="S22" s="376">
        <f>=评估表4总成本费用表!S51</f>
        <v>0</v>
      </c>
      <c r="T22" s="376">
        <f>=评估表4总成本费用表!T51</f>
        <v>0</v>
      </c>
      <c r="U22" s="376">
        <f>=评估表4总成本费用表!U51</f>
        <v>0</v>
      </c>
      <c r="V22" s="376">
        <f>=评估表4总成本费用表!V51</f>
        <v>0</v>
      </c>
      <c r="W22" s="376">
        <f>=评估表4总成本费用表!W51</f>
        <v>0</v>
      </c>
      <c r="X22" s="376">
        <f>=评估表4总成本费用表!X51</f>
        <v>0</v>
      </c>
      <c r="Y22" s="376">
        <f>=评估表4总成本费用表!Y51</f>
        <v>0</v>
      </c>
      <c r="Z22" s="399" t="s">
        <v>644</v>
      </c>
    </row>
    <row r="23" spans="1:26" s="699" customFormat="true" ht="12" customHeight="true">
      <c r="A23" s="373">
        <v>12</v>
      </c>
      <c r="B23" s="373" t="s">
        <v>784</v>
      </c>
      <c r="C23" s="376">
        <f>=SUM(D23:Y23)</f>
        <v>0</v>
      </c>
      <c r="D23" s="547">
        <f>=评估表4总成本费用表!D52</f>
        <v>0</v>
      </c>
      <c r="E23" s="547">
        <f>=评估表4总成本费用表!E52</f>
        <v>0</v>
      </c>
      <c r="F23" s="376">
        <f>=评估表4总成本费用表!F52</f>
        <v>0</v>
      </c>
      <c r="G23" s="376">
        <f>=评估表4总成本费用表!G52</f>
        <v>0</v>
      </c>
      <c r="H23" s="376">
        <f>=评估表4总成本费用表!H52</f>
        <v>0</v>
      </c>
      <c r="I23" s="376">
        <f>=评估表4总成本费用表!I52</f>
        <v>0</v>
      </c>
      <c r="J23" s="376">
        <f>=评估表4总成本费用表!J52</f>
        <v>0</v>
      </c>
      <c r="K23" s="376">
        <f>=评估表4总成本费用表!K52</f>
        <v>0</v>
      </c>
      <c r="L23" s="376">
        <f>=评估表4总成本费用表!L52</f>
        <v>0</v>
      </c>
      <c r="M23" s="376">
        <f>=评估表4总成本费用表!M52</f>
        <v>0</v>
      </c>
      <c r="N23" s="376">
        <f>=评估表4总成本费用表!N52</f>
        <v>0</v>
      </c>
      <c r="O23" s="376">
        <f>=评估表4总成本费用表!O52</f>
        <v>0</v>
      </c>
      <c r="P23" s="376">
        <f>=评估表4总成本费用表!P52</f>
        <v>0</v>
      </c>
      <c r="Q23" s="376">
        <f>=评估表4总成本费用表!Q52</f>
        <v>0</v>
      </c>
      <c r="R23" s="376">
        <f>=评估表4总成本费用表!R52</f>
        <v>0</v>
      </c>
      <c r="S23" s="376">
        <f>=评估表4总成本费用表!S52</f>
        <v>0</v>
      </c>
      <c r="T23" s="376">
        <f>=评估表4总成本费用表!T52</f>
        <v>0</v>
      </c>
      <c r="U23" s="376">
        <f>=评估表4总成本费用表!U52</f>
        <v>0</v>
      </c>
      <c r="V23" s="376">
        <f>=评估表4总成本费用表!V52</f>
        <v>0</v>
      </c>
      <c r="W23" s="376">
        <f>=评估表4总成本费用表!W52</f>
        <v>0</v>
      </c>
      <c r="X23" s="376">
        <f>=评估表4总成本费用表!X52</f>
        <v>0</v>
      </c>
      <c r="Y23" s="376">
        <f>=评估表4总成本费用表!Y52</f>
        <v>0</v>
      </c>
      <c r="Z23" s="399" t="s">
        <v>644</v>
      </c>
    </row>
    <row r="24" spans="1:26" s="699" customFormat="true" ht="12" customHeight="true">
      <c r="A24" s="373">
        <v>13</v>
      </c>
      <c r="B24" s="373" t="s">
        <v>785</v>
      </c>
      <c r="C24" s="376">
        <f>=SUM(D24:Y24)</f>
        <v>0</v>
      </c>
      <c r="D24" s="547">
        <f>=评估表4总成本费用表!D53</f>
        <v>0</v>
      </c>
      <c r="E24" s="547">
        <f>=评估表4总成本费用表!E53</f>
        <v>0</v>
      </c>
      <c r="F24" s="376">
        <f>=评估表4总成本费用表!F53</f>
        <v>0</v>
      </c>
      <c r="G24" s="376">
        <f>=评估表4总成本费用表!G53</f>
        <v>0</v>
      </c>
      <c r="H24" s="376">
        <f>=评估表4总成本费用表!H53</f>
        <v>0</v>
      </c>
      <c r="I24" s="376">
        <f>=评估表4总成本费用表!I53</f>
        <v>0</v>
      </c>
      <c r="J24" s="376">
        <f>=评估表4总成本费用表!J53</f>
        <v>0</v>
      </c>
      <c r="K24" s="376">
        <f>=评估表4总成本费用表!K53</f>
        <v>0</v>
      </c>
      <c r="L24" s="376">
        <f>=评估表4总成本费用表!L53</f>
        <v>0</v>
      </c>
      <c r="M24" s="376">
        <f>=评估表4总成本费用表!M53</f>
        <v>0</v>
      </c>
      <c r="N24" s="376">
        <f>=评估表4总成本费用表!N53</f>
        <v>0</v>
      </c>
      <c r="O24" s="376">
        <f>=评估表4总成本费用表!O53</f>
        <v>0</v>
      </c>
      <c r="P24" s="376">
        <f>=评估表4总成本费用表!P53</f>
        <v>0</v>
      </c>
      <c r="Q24" s="376">
        <f>=评估表4总成本费用表!Q53</f>
        <v>0</v>
      </c>
      <c r="R24" s="376">
        <f>=评估表4总成本费用表!R53</f>
        <v>0</v>
      </c>
      <c r="S24" s="376">
        <f>=评估表4总成本费用表!S53</f>
        <v>0</v>
      </c>
      <c r="T24" s="376">
        <f>=评估表4总成本费用表!T53</f>
        <v>0</v>
      </c>
      <c r="U24" s="376">
        <f>=评估表4总成本费用表!U53</f>
        <v>0</v>
      </c>
      <c r="V24" s="376">
        <f>=评估表4总成本费用表!V53</f>
        <v>0</v>
      </c>
      <c r="W24" s="376">
        <f>=评估表4总成本费用表!W53</f>
        <v>0</v>
      </c>
      <c r="X24" s="376">
        <f>=评估表4总成本费用表!X53</f>
        <v>0</v>
      </c>
      <c r="Y24" s="376">
        <f>=评估表4总成本费用表!Y53</f>
        <v>0</v>
      </c>
      <c r="Z24" s="399" t="s">
        <v>644</v>
      </c>
    </row>
    <row r="25" spans="1:25" s="699" customFormat="true" ht="12" customHeight="true">
      <c r="A25" s="373" t="s">
        <v>460</v>
      </c>
      <c r="B25" s="402" t="s">
        <v>1039</v>
      </c>
      <c r="C25" s="376">
        <f>=SUM(D25:Y25)</f>
        <v>8826.63975111125</v>
      </c>
      <c r="D25" s="547">
        <f>=SUM(D26:D27)</f>
        <v>0</v>
      </c>
      <c r="E25" s="547">
        <f>=SUM(E26:E27)</f>
        <v>0</v>
      </c>
      <c r="F25" s="376">
        <f>=SUM(F26:F27)</f>
        <v>466.49108266688</v>
      </c>
      <c r="G25" s="376">
        <f>=SUM(G26:G27)</f>
        <v>925.658476947427</v>
      </c>
      <c r="H25" s="376">
        <f>=SUM(H26:H27)</f>
        <v>914.529234870568</v>
      </c>
      <c r="I25" s="376">
        <f>=SUM(I26:I27)</f>
        <v>901.36814032916</v>
      </c>
      <c r="J25" s="376">
        <f>=SUM(J26:J27)</f>
        <v>889.601899195724</v>
      </c>
      <c r="K25" s="376">
        <f>=SUM(K26:K27)</f>
        <v>874.727326428762</v>
      </c>
      <c r="L25" s="376">
        <f>=SUM(L26:L27)</f>
        <v>860.06264032465</v>
      </c>
      <c r="M25" s="376">
        <f>=SUM(M26:M27)</f>
        <v>836.097209027384</v>
      </c>
      <c r="N25" s="376">
        <f>=SUM(N26:N27)</f>
        <v>746.616168113267</v>
      </c>
      <c r="O25" s="376">
        <f>=SUM(O26:O27)</f>
        <v>733.011658642123</v>
      </c>
      <c r="P25" s="376">
        <f>=SUM(P26:P27)</f>
        <v>678.47591456531</v>
      </c>
      <c r="Q25" s="376">
        <f>=SUM(Q26:Q27)</f>
        <v>0</v>
      </c>
      <c r="R25" s="376">
        <f>=SUM(R26:R27)</f>
        <v>0</v>
      </c>
      <c r="S25" s="376">
        <f>=SUM(S26:S27)</f>
        <v>0</v>
      </c>
      <c r="T25" s="376">
        <f>=SUM(T26:T27)</f>
        <v>0</v>
      </c>
      <c r="U25" s="376">
        <f>=SUM(U26:U27)</f>
        <v>0</v>
      </c>
      <c r="V25" s="376">
        <f>=SUM(V26:V27)</f>
        <v>0</v>
      </c>
      <c r="W25" s="376">
        <f>=SUM(W26:W27)</f>
        <v>0</v>
      </c>
      <c r="X25" s="376">
        <f>=SUM(X26:X27)</f>
        <v>0</v>
      </c>
      <c r="Y25" s="376">
        <f>=SUM(Y26:Y27)</f>
        <v>0</v>
      </c>
    </row>
    <row r="26" spans="1:26" s="699" customFormat="true" ht="12" customHeight="true">
      <c r="A26" s="413">
        <v>1</v>
      </c>
      <c r="B26" s="402" t="s">
        <v>787</v>
      </c>
      <c r="C26" s="376">
        <f>=SUM(D26:Y26)</f>
        <v>7000</v>
      </c>
      <c r="D26" s="547">
        <f>=评估表6项目贷款偿还期计算表!E11</f>
        <v>0</v>
      </c>
      <c r="E26" s="547">
        <f>=评估表6项目贷款偿还期计算表!F11</f>
        <v>0</v>
      </c>
      <c r="F26" s="376">
        <f>=评估表6项目贷款偿还期计算表!G11</f>
        <v>308.99108266688</v>
      </c>
      <c r="G26" s="376">
        <f>=评估表6项目贷款偿还期计算表!H11</f>
        <v>624.563075667437</v>
      </c>
      <c r="H26" s="376">
        <f>=评估表6项目贷款偿还期计算表!I11</f>
        <v>641.539171995612</v>
      </c>
      <c r="I26" s="376">
        <f>=评估表6项目贷款偿还期计算表!J11</f>
        <v>657.247340194007</v>
      </c>
      <c r="J26" s="376">
        <f>=评估表6项目贷款偿还期计算表!K11</f>
        <v>675.057229369301</v>
      </c>
      <c r="K26" s="376">
        <f>=评估表6项目贷款偿还期计算表!L11</f>
        <v>690.560231923958</v>
      </c>
      <c r="L26" s="376">
        <f>=评估表6项目贷款偿还期计算表!M11</f>
        <v>706.970756256424</v>
      </c>
      <c r="M26" s="376">
        <f>=评估表6项目贷款偿还期计算表!N11</f>
        <v>714.819008990697</v>
      </c>
      <c r="N26" s="376">
        <f>=评估表6项目贷款偿还期计算表!O11</f>
        <v>657.504823481161</v>
      </c>
      <c r="O26" s="376">
        <f>=评估表6项目贷款偿还期计算表!P11</f>
        <v>673.488031066669</v>
      </c>
      <c r="P26" s="376">
        <f>=评估表6项目贷款偿还期计算表!Q11</f>
        <v>649.259248387856</v>
      </c>
      <c r="Q26" s="376">
        <f>=评估表6项目贷款偿还期计算表!R11</f>
        <v>0</v>
      </c>
      <c r="R26" s="376">
        <f>=评估表6项目贷款偿还期计算表!S11</f>
        <v>0</v>
      </c>
      <c r="S26" s="376">
        <f>=评估表6项目贷款偿还期计算表!T11</f>
        <v>0</v>
      </c>
      <c r="T26" s="376">
        <f>=评估表6项目贷款偿还期计算表!U11</f>
        <v>0</v>
      </c>
      <c r="U26" s="376">
        <f>=评估表6项目贷款偿还期计算表!V11</f>
        <v>0</v>
      </c>
      <c r="V26" s="376">
        <f>=评估表6项目贷款偿还期计算表!W11</f>
        <v>0</v>
      </c>
      <c r="W26" s="376">
        <f>=评估表6项目贷款偿还期计算表!X11</f>
        <v>0</v>
      </c>
      <c r="X26" s="376">
        <f>=评估表6项目贷款偿还期计算表!Y11</f>
        <v>0</v>
      </c>
      <c r="Y26" s="376">
        <f>=评估表6项目贷款偿还期计算表!Z11</f>
        <v>0</v>
      </c>
      <c r="Z26" s="399" t="s">
        <v>590</v>
      </c>
    </row>
    <row r="27" spans="1:25" s="703" customFormat="true" ht="12" customHeight="true">
      <c r="A27" s="416">
        <v>2</v>
      </c>
      <c r="B27" s="417" t="s">
        <v>788</v>
      </c>
      <c r="C27" s="376">
        <f>=SUM(D27:Y27)</f>
        <v>1826.63975111125</v>
      </c>
      <c r="D27" s="549">
        <f>=SUM(D28:D31)</f>
        <v>0</v>
      </c>
      <c r="E27" s="549">
        <f>=SUM(E28:E31)</f>
        <v>0</v>
      </c>
      <c r="F27" s="418">
        <f>=SUM(F28:F31)</f>
        <v>157.5</v>
      </c>
      <c r="G27" s="418">
        <f>=SUM(G28:G31)</f>
        <v>301.09540127999</v>
      </c>
      <c r="H27" s="418">
        <f>=SUM(H28:H31)</f>
        <v>272.990062874956</v>
      </c>
      <c r="I27" s="418">
        <f>=SUM(I28:I31)</f>
        <v>244.120800135153</v>
      </c>
      <c r="J27" s="418">
        <f>=SUM(J28:J31)</f>
        <v>214.544669826423</v>
      </c>
      <c r="K27" s="418">
        <f>=SUM(K28:K31)</f>
        <v>184.167094504804</v>
      </c>
      <c r="L27" s="418">
        <f>=SUM(L28:L31)</f>
        <v>153.091884068226</v>
      </c>
      <c r="M27" s="418">
        <f>=SUM(M28:M31)</f>
        <v>121.278200036687</v>
      </c>
      <c r="N27" s="418">
        <f>=SUM(N28:N31)</f>
        <v>89.1113446321059</v>
      </c>
      <c r="O27" s="418">
        <f>=SUM(O28:O31)</f>
        <v>59.5236275754536</v>
      </c>
      <c r="P27" s="418">
        <f>=SUM(P28:P31)</f>
        <v>29.2166661774535</v>
      </c>
      <c r="Q27" s="418">
        <f>=SUM(Q28:Q31)</f>
        <v>0</v>
      </c>
      <c r="R27" s="418">
        <f>=SUM(R28:R31)</f>
        <v>0</v>
      </c>
      <c r="S27" s="418">
        <f>=SUM(S28:S31)</f>
        <v>0</v>
      </c>
      <c r="T27" s="418">
        <f>=SUM(T28:T31)</f>
        <v>0</v>
      </c>
      <c r="U27" s="418">
        <f>=SUM(U28:U31)</f>
        <v>0</v>
      </c>
      <c r="V27" s="418">
        <f>=SUM(V28:V31)</f>
        <v>0</v>
      </c>
      <c r="W27" s="418">
        <f>=SUM(W28:W31)</f>
        <v>0</v>
      </c>
      <c r="X27" s="418">
        <f>=SUM(X28:X31)</f>
        <v>0</v>
      </c>
      <c r="Y27" s="418">
        <f>=SUM(Y28:Y31)</f>
        <v>0</v>
      </c>
    </row>
    <row r="28" spans="1:26" s="699" customFormat="true" ht="12" customHeight="true">
      <c r="A28" s="416">
        <v>3</v>
      </c>
      <c r="B28" s="419" t="s">
        <v>782</v>
      </c>
      <c r="C28" s="376">
        <f>=SUM(D28:Y28)</f>
        <v>0</v>
      </c>
      <c r="D28" s="550">
        <f>=评估表4总成本费用表!D50</f>
        <v>0</v>
      </c>
      <c r="E28" s="550">
        <f>=评估表4总成本费用表!E50</f>
        <v>0</v>
      </c>
      <c r="F28" s="420">
        <f>=评估表4总成本费用表!F50</f>
        <v>0</v>
      </c>
      <c r="G28" s="420">
        <f>=评估表4总成本费用表!G50</f>
        <v>0</v>
      </c>
      <c r="H28" s="420">
        <f>=评估表4总成本费用表!H50</f>
        <v>0</v>
      </c>
      <c r="I28" s="420">
        <f>=评估表4总成本费用表!I50</f>
        <v>0</v>
      </c>
      <c r="J28" s="420">
        <f>=评估表4总成本费用表!J50</f>
        <v>0</v>
      </c>
      <c r="K28" s="420">
        <f>=评估表4总成本费用表!K50</f>
        <v>0</v>
      </c>
      <c r="L28" s="420">
        <f>=评估表4总成本费用表!L50</f>
        <v>0</v>
      </c>
      <c r="M28" s="420">
        <f>=评估表4总成本费用表!M50</f>
        <v>0</v>
      </c>
      <c r="N28" s="420">
        <f>=评估表4总成本费用表!N50</f>
        <v>0</v>
      </c>
      <c r="O28" s="420">
        <f>=评估表4总成本费用表!O50</f>
        <v>0</v>
      </c>
      <c r="P28" s="420">
        <f>=评估表4总成本费用表!P50</f>
        <v>0</v>
      </c>
      <c r="Q28" s="420">
        <f>=评估表4总成本费用表!Q50</f>
        <v>0</v>
      </c>
      <c r="R28" s="420">
        <f>=评估表4总成本费用表!R50</f>
        <v>0</v>
      </c>
      <c r="S28" s="420">
        <f>=评估表4总成本费用表!S50</f>
        <v>0</v>
      </c>
      <c r="T28" s="420">
        <f>=评估表4总成本费用表!T50</f>
        <v>0</v>
      </c>
      <c r="U28" s="420">
        <f>=评估表4总成本费用表!U50</f>
        <v>0</v>
      </c>
      <c r="V28" s="420">
        <f>=评估表4总成本费用表!V50</f>
        <v>0</v>
      </c>
      <c r="W28" s="420">
        <f>=评估表4总成本费用表!W50</f>
        <v>0</v>
      </c>
      <c r="X28" s="420">
        <f>=评估表4总成本费用表!X50</f>
        <v>0</v>
      </c>
      <c r="Y28" s="420">
        <f>=评估表4总成本费用表!Y50</f>
        <v>0</v>
      </c>
      <c r="Z28" s="399" t="s">
        <v>644</v>
      </c>
    </row>
    <row r="29" spans="1:26" s="699" customFormat="true" ht="12" customHeight="true">
      <c r="A29" s="416">
        <v>4</v>
      </c>
      <c r="B29" s="419" t="s">
        <v>783</v>
      </c>
      <c r="C29" s="376">
        <f>=SUM(D29:Y29)</f>
        <v>1826.63975111125</v>
      </c>
      <c r="D29" s="550">
        <f>=评估表4总成本费用表!D51</f>
        <v>0</v>
      </c>
      <c r="E29" s="550">
        <f>=评估表4总成本费用表!E51</f>
        <v>0</v>
      </c>
      <c r="F29" s="420">
        <f>=评估表4总成本费用表!F51</f>
        <v>157.5</v>
      </c>
      <c r="G29" s="420">
        <f>=评估表4总成本费用表!G51</f>
        <v>301.09540127999</v>
      </c>
      <c r="H29" s="420">
        <f>=评估表4总成本费用表!H51</f>
        <v>272.990062874956</v>
      </c>
      <c r="I29" s="420">
        <f>=评估表4总成本费用表!I51</f>
        <v>244.120800135153</v>
      </c>
      <c r="J29" s="420">
        <f>=评估表4总成本费用表!J51</f>
        <v>214.544669826423</v>
      </c>
      <c r="K29" s="420">
        <f>=评估表4总成本费用表!K51</f>
        <v>184.167094504804</v>
      </c>
      <c r="L29" s="420">
        <f>=评估表4总成本费用表!L51</f>
        <v>153.091884068226</v>
      </c>
      <c r="M29" s="420">
        <f>=评估表4总成本费用表!M51</f>
        <v>121.278200036687</v>
      </c>
      <c r="N29" s="420">
        <f>=评估表4总成本费用表!N51</f>
        <v>89.1113446321059</v>
      </c>
      <c r="O29" s="420">
        <f>=评估表4总成本费用表!O51</f>
        <v>59.5236275754536</v>
      </c>
      <c r="P29" s="420">
        <f>=评估表4总成本费用表!P51</f>
        <v>29.2166661774535</v>
      </c>
      <c r="Q29" s="420">
        <f>=评估表4总成本费用表!Q51</f>
        <v>0</v>
      </c>
      <c r="R29" s="420">
        <f>=评估表4总成本费用表!R51</f>
        <v>0</v>
      </c>
      <c r="S29" s="420">
        <f>=评估表4总成本费用表!S51</f>
        <v>0</v>
      </c>
      <c r="T29" s="420">
        <f>=评估表4总成本费用表!T51</f>
        <v>0</v>
      </c>
      <c r="U29" s="420">
        <f>=评估表4总成本费用表!U51</f>
        <v>0</v>
      </c>
      <c r="V29" s="420">
        <f>=评估表4总成本费用表!V51</f>
        <v>0</v>
      </c>
      <c r="W29" s="420">
        <f>=评估表4总成本费用表!W51</f>
        <v>0</v>
      </c>
      <c r="X29" s="420">
        <f>=评估表4总成本费用表!X51</f>
        <v>0</v>
      </c>
      <c r="Y29" s="420">
        <f>=评估表4总成本费用表!Y51</f>
        <v>0</v>
      </c>
      <c r="Z29" s="399" t="s">
        <v>644</v>
      </c>
    </row>
    <row r="30" spans="1:26" s="699" customFormat="true" ht="12" customHeight="true">
      <c r="A30" s="421">
        <v>5</v>
      </c>
      <c r="B30" s="373" t="s">
        <v>784</v>
      </c>
      <c r="C30" s="376">
        <f>=SUM(D30:Y30)</f>
        <v>0</v>
      </c>
      <c r="D30" s="550">
        <f>=评估表4总成本费用表!D52</f>
        <v>0</v>
      </c>
      <c r="E30" s="550">
        <f>=评估表4总成本费用表!E52</f>
        <v>0</v>
      </c>
      <c r="F30" s="420">
        <f>=评估表4总成本费用表!F52</f>
        <v>0</v>
      </c>
      <c r="G30" s="420">
        <f>=评估表4总成本费用表!G52</f>
        <v>0</v>
      </c>
      <c r="H30" s="420">
        <f>=评估表4总成本费用表!H52</f>
        <v>0</v>
      </c>
      <c r="I30" s="420">
        <f>=评估表4总成本费用表!I52</f>
        <v>0</v>
      </c>
      <c r="J30" s="420">
        <f>=评估表4总成本费用表!J52</f>
        <v>0</v>
      </c>
      <c r="K30" s="420">
        <f>=评估表4总成本费用表!K52</f>
        <v>0</v>
      </c>
      <c r="L30" s="420">
        <f>=评估表4总成本费用表!L52</f>
        <v>0</v>
      </c>
      <c r="M30" s="420">
        <f>=评估表4总成本费用表!M52</f>
        <v>0</v>
      </c>
      <c r="N30" s="420">
        <f>=评估表4总成本费用表!N52</f>
        <v>0</v>
      </c>
      <c r="O30" s="420">
        <f>=评估表4总成本费用表!O52</f>
        <v>0</v>
      </c>
      <c r="P30" s="420">
        <f>=评估表4总成本费用表!P52</f>
        <v>0</v>
      </c>
      <c r="Q30" s="420">
        <f>=评估表4总成本费用表!Q52</f>
        <v>0</v>
      </c>
      <c r="R30" s="420">
        <f>=评估表4总成本费用表!R52</f>
        <v>0</v>
      </c>
      <c r="S30" s="420">
        <f>=评估表4总成本费用表!S52</f>
        <v>0</v>
      </c>
      <c r="T30" s="420">
        <f>=评估表4总成本费用表!T52</f>
        <v>0</v>
      </c>
      <c r="U30" s="420">
        <f>=评估表4总成本费用表!U52</f>
        <v>0</v>
      </c>
      <c r="V30" s="420">
        <f>=评估表4总成本费用表!V52</f>
        <v>0</v>
      </c>
      <c r="W30" s="420">
        <f>=评估表4总成本费用表!W52</f>
        <v>0</v>
      </c>
      <c r="X30" s="420">
        <f>=评估表4总成本费用表!X52</f>
        <v>0</v>
      </c>
      <c r="Y30" s="420">
        <f>=评估表4总成本费用表!Y52</f>
        <v>0</v>
      </c>
      <c r="Z30" s="399" t="s">
        <v>644</v>
      </c>
    </row>
    <row r="31" spans="1:26" s="699" customFormat="true" ht="12" customHeight="true">
      <c r="A31" s="421">
        <v>6</v>
      </c>
      <c r="B31" s="373" t="s">
        <v>785</v>
      </c>
      <c r="C31" s="376">
        <f>=SUM(D31:Y31)</f>
        <v>0</v>
      </c>
      <c r="D31" s="550">
        <f>=评估表4总成本费用表!D53</f>
        <v>0</v>
      </c>
      <c r="E31" s="550">
        <f>=评估表4总成本费用表!E53</f>
        <v>0</v>
      </c>
      <c r="F31" s="420">
        <f>=评估表4总成本费用表!F53</f>
        <v>0</v>
      </c>
      <c r="G31" s="420">
        <f>=评估表4总成本费用表!G53</f>
        <v>0</v>
      </c>
      <c r="H31" s="420">
        <f>=评估表4总成本费用表!H53</f>
        <v>0</v>
      </c>
      <c r="I31" s="420">
        <f>=评估表4总成本费用表!I53</f>
        <v>0</v>
      </c>
      <c r="J31" s="420">
        <f>=评估表4总成本费用表!J53</f>
        <v>0</v>
      </c>
      <c r="K31" s="420">
        <f>=评估表4总成本费用表!K53</f>
        <v>0</v>
      </c>
      <c r="L31" s="420">
        <f>=评估表4总成本费用表!L53</f>
        <v>0</v>
      </c>
      <c r="M31" s="420">
        <f>=评估表4总成本费用表!M53</f>
        <v>0</v>
      </c>
      <c r="N31" s="420">
        <f>=评估表4总成本费用表!N53</f>
        <v>0</v>
      </c>
      <c r="O31" s="420">
        <f>=评估表4总成本费用表!O53</f>
        <v>0</v>
      </c>
      <c r="P31" s="420">
        <f>=评估表4总成本费用表!P53</f>
        <v>0</v>
      </c>
      <c r="Q31" s="420">
        <f>=评估表4总成本费用表!Q53</f>
        <v>0</v>
      </c>
      <c r="R31" s="420">
        <f>=评估表4总成本费用表!R53</f>
        <v>0</v>
      </c>
      <c r="S31" s="420">
        <f>=评估表4总成本费用表!S53</f>
        <v>0</v>
      </c>
      <c r="T31" s="420">
        <f>=评估表4总成本费用表!T53</f>
        <v>0</v>
      </c>
      <c r="U31" s="420">
        <f>=评估表4总成本费用表!U53</f>
        <v>0</v>
      </c>
      <c r="V31" s="420">
        <f>=评估表4总成本费用表!V53</f>
        <v>0</v>
      </c>
      <c r="W31" s="420">
        <f>=评估表4总成本费用表!W53</f>
        <v>0</v>
      </c>
      <c r="X31" s="420">
        <f>=评估表4总成本费用表!X53</f>
        <v>0</v>
      </c>
      <c r="Y31" s="420">
        <f>=评估表4总成本费用表!Y53</f>
        <v>0</v>
      </c>
      <c r="Z31" s="399" t="s">
        <v>644</v>
      </c>
    </row>
    <row r="32" spans="1:26" s="699" customFormat="true" ht="12" customHeight="true">
      <c r="A32" s="373" t="s">
        <v>469</v>
      </c>
      <c r="B32" s="415" t="s">
        <v>1040</v>
      </c>
      <c r="C32" s="401" t="s"/>
      <c r="D32" s="547" t="s">
        <f>=IF(D11&lt;=0," ",D25/D11)</f>
        <v>51</v>
      </c>
      <c r="E32" s="547" t="s">
        <f>=IF(E11&lt;=0," ",E25/E11)</f>
        <v>51</v>
      </c>
      <c r="F32" s="376">
        <f>=IF(F11&lt;=0," ",F25/F11)</f>
        <v>0.86925996870881</v>
      </c>
      <c r="G32" s="376">
        <f>=IF(G11&lt;=0," ",G25/G11)</f>
        <v>0.864287008449948</v>
      </c>
      <c r="H32" s="376">
        <f>=IF(H11&lt;=0," ",H25/H11)</f>
        <v>0.852435234484328</v>
      </c>
      <c r="I32" s="376">
        <f>=IF(I11&lt;=0," ",I25/I11)</f>
        <v>0.841081277423686</v>
      </c>
      <c r="J32" s="376">
        <f>=IF(J11&lt;=0," ",J25/J11)</f>
        <v>0.828683380411387</v>
      </c>
      <c r="K32" s="376">
        <f>=IF(K11&lt;=0," ",K25/K11)</f>
        <v>0.817137899855085</v>
      </c>
      <c r="L32" s="376">
        <f>=IF(L11&lt;=0," ",L25/L11)</f>
        <v>0.80504240985139</v>
      </c>
      <c r="M32" s="376">
        <f>=IF(M11&lt;=0," ",M25/M11)</f>
        <v>0.796000632659042</v>
      </c>
      <c r="N32" s="376">
        <f>=IF(N11&lt;=0," ",N25/N11)</f>
        <v>0.814085570776645</v>
      </c>
      <c r="O32" s="376">
        <f>=IF(O11&lt;=0," ",O25/O11)</f>
        <v>0.80047240739129</v>
      </c>
      <c r="P32" s="376">
        <f>=IF(P11&lt;=0," ",P25/P11)</f>
        <v>0.744745150856382</v>
      </c>
      <c r="Q32" s="376">
        <f>=IF(Q11&lt;=0," ",Q25/Q11)</f>
        <v>0</v>
      </c>
      <c r="R32" s="376" t="s">
        <f>=IF(R11&lt;=0," ",R25/R11)</f>
        <v>51</v>
      </c>
      <c r="S32" s="376" t="s">
        <f>=IF(S11&lt;=0," ",S25/S11)</f>
        <v>51</v>
      </c>
      <c r="T32" s="376" t="s">
        <f>=IF(T11&lt;=0," ",T25/T11)</f>
        <v>51</v>
      </c>
      <c r="U32" s="376" t="s">
        <f>=IF(U11&lt;=0," ",U25/U11)</f>
        <v>51</v>
      </c>
      <c r="V32" s="376" t="s">
        <f>=IF(V11&lt;=0," ",V25/V11)</f>
        <v>51</v>
      </c>
      <c r="W32" s="376" t="s">
        <f>=IF(W11&lt;=0," ",W25/W11)</f>
        <v>51</v>
      </c>
      <c r="X32" s="376" t="s">
        <f>=IF(X11&lt;=0," ",X25/X11)</f>
        <v>51</v>
      </c>
      <c r="Y32" s="376" t="s">
        <f>=IF(Y11&lt;=0," ",Y25/Y11)</f>
        <v>51</v>
      </c>
      <c r="Z32" s="399" t="s">
        <v>1041</v>
      </c>
    </row>
    <row r="33" spans="1:26" s="699" customFormat="true" ht="12" customHeight="true">
      <c r="A33" s="373" t="s"/>
      <c r="B33" s="551" t="s">
        <v>569</v>
      </c>
      <c r="C33" s="519">
        <f>=AVERAGE(D32:Y32)</f>
        <v>0.752769245072333</v>
      </c>
      <c r="D33" s="552" t="s"/>
      <c r="E33" s="552" t="s"/>
      <c r="F33" s="401" t="s"/>
      <c r="G33" s="401" t="s"/>
      <c r="H33" s="401" t="s"/>
      <c r="I33" s="401" t="s"/>
      <c r="J33" s="401" t="s"/>
      <c r="K33" s="401" t="s"/>
      <c r="L33" s="401" t="s"/>
      <c r="M33" s="401" t="s"/>
      <c r="N33" s="401" t="s"/>
      <c r="O33" s="401" t="s"/>
      <c r="P33" s="401" t="s"/>
      <c r="Q33" s="401" t="s"/>
      <c r="R33" s="401" t="s"/>
      <c r="S33" s="401" t="s"/>
      <c r="T33" s="401" t="s"/>
      <c r="U33" s="401" t="s"/>
      <c r="V33" s="401" t="s"/>
      <c r="W33" s="401" t="s"/>
      <c r="X33" s="401" t="s"/>
      <c r="Y33" s="401" t="s"/>
      <c r="Z33" s="399" t="s">
        <v>1042</v>
      </c>
    </row>
    <row r="34" spans="1:25" s="699" customFormat="true" ht="12" customHeight="true">
      <c r="A34" s="553" t="s"/>
      <c r="B34" s="554" t="s"/>
      <c r="C34" s="555" t="s"/>
      <c r="D34" s="555" t="s"/>
      <c r="E34" s="555" t="s"/>
      <c r="F34" s="555" t="s"/>
      <c r="G34" s="555" t="s"/>
      <c r="H34" s="555" t="s"/>
      <c r="I34" s="555" t="s"/>
      <c r="J34" s="555" t="s"/>
      <c r="K34" s="555" t="s"/>
      <c r="L34" s="555" t="s"/>
      <c r="M34" s="555" t="s"/>
      <c r="N34" s="555" t="s"/>
      <c r="O34" s="555" t="s"/>
      <c r="P34" s="555" t="s"/>
      <c r="Q34" s="555" t="s"/>
      <c r="R34" s="555" t="s"/>
      <c r="S34" s="555" t="s"/>
      <c r="T34" s="555" t="s"/>
      <c r="U34" s="555" t="s"/>
      <c r="V34" s="555" t="s"/>
      <c r="W34" s="555" t="s"/>
      <c r="X34" s="555" t="s"/>
      <c r="Y34" s="555" t="s"/>
    </row>
    <row r="35" spans="1:25" s="699" customFormat="true" ht="12" customHeight="true">
      <c r="A35" s="553" t="s"/>
      <c r="B35" s="554" t="s"/>
      <c r="C35" s="555" t="s"/>
      <c r="D35" s="555" t="s"/>
      <c r="E35" s="555" t="s"/>
      <c r="F35" s="555" t="s"/>
      <c r="G35" s="555" t="s"/>
      <c r="H35" s="555" t="s"/>
      <c r="I35" s="555" t="s"/>
      <c r="J35" s="555" t="s"/>
      <c r="K35" s="555" t="s"/>
      <c r="L35" s="555" t="s"/>
      <c r="M35" s="555" t="s"/>
      <c r="N35" s="555" t="s"/>
      <c r="O35" s="555" t="s"/>
      <c r="P35" s="555" t="s"/>
      <c r="Q35" s="555" t="s"/>
      <c r="R35" s="555" t="s"/>
      <c r="S35" s="555" t="s"/>
      <c r="T35" s="555" t="s"/>
      <c r="U35" s="555" t="s"/>
      <c r="V35" s="555" t="s"/>
      <c r="W35" s="555" t="s"/>
      <c r="X35" s="555" t="s"/>
      <c r="Y35" s="555" t="s"/>
    </row>
    <row r="36" spans="1:25" s="699" customFormat="true" ht="12" customHeight="true">
      <c r="A36" s="553" t="s"/>
      <c r="B36" s="554" t="s"/>
      <c r="C36" s="555" t="s"/>
      <c r="D36" s="555" t="s"/>
      <c r="E36" s="555" t="s"/>
      <c r="F36" s="555" t="s"/>
      <c r="G36" s="555" t="s"/>
      <c r="H36" s="555" t="s"/>
      <c r="I36" s="555" t="s"/>
      <c r="J36" s="555" t="s"/>
      <c r="K36" s="555" t="s"/>
      <c r="L36" s="555" t="s"/>
      <c r="M36" s="555" t="s"/>
      <c r="N36" s="555" t="s"/>
      <c r="O36" s="555" t="s"/>
      <c r="P36" s="555" t="s"/>
      <c r="Q36" s="555" t="s"/>
      <c r="R36" s="555" t="s"/>
      <c r="S36" s="555" t="s"/>
      <c r="T36" s="555" t="s"/>
      <c r="U36" s="555" t="s"/>
      <c r="V36" s="555" t="s"/>
      <c r="W36" s="555" t="s"/>
      <c r="X36" s="555" t="s"/>
      <c r="Y36" s="555" t="s"/>
    </row>
    <row r="37" spans="1:25" s="699" customFormat="true" ht="12" customHeight="true">
      <c r="A37" s="553" t="s"/>
      <c r="B37" s="554" t="s"/>
      <c r="C37" s="555" t="s"/>
      <c r="D37" s="555" t="s"/>
      <c r="E37" s="555" t="s"/>
      <c r="F37" s="555" t="s"/>
      <c r="G37" s="555" t="s"/>
      <c r="H37" s="555" t="s"/>
      <c r="I37" s="555" t="s"/>
      <c r="J37" s="555" t="s"/>
      <c r="K37" s="555" t="s"/>
      <c r="L37" s="555" t="s"/>
      <c r="M37" s="555" t="s"/>
      <c r="N37" s="555" t="s"/>
      <c r="O37" s="555" t="s"/>
      <c r="P37" s="555" t="s"/>
      <c r="Q37" s="555" t="s"/>
      <c r="R37" s="555" t="s"/>
      <c r="S37" s="555" t="s"/>
      <c r="T37" s="555" t="s"/>
      <c r="U37" s="555" t="s"/>
      <c r="V37" s="555" t="s"/>
      <c r="W37" s="555" t="s"/>
      <c r="X37" s="555" t="s"/>
      <c r="Y37" s="555" t="s"/>
    </row>
    <row r="38" spans="1:25" s="699" customFormat="true" ht="12" customHeight="true">
      <c r="A38" s="553" t="s"/>
      <c r="B38" s="554" t="s"/>
      <c r="C38" s="555" t="s"/>
      <c r="D38" s="555" t="s"/>
      <c r="E38" s="555" t="s"/>
      <c r="F38" s="555" t="s"/>
      <c r="G38" s="555" t="s"/>
      <c r="H38" s="555" t="s"/>
      <c r="I38" s="555" t="s"/>
      <c r="J38" s="555" t="s"/>
      <c r="K38" s="555" t="s"/>
      <c r="L38" s="555" t="s"/>
      <c r="M38" s="555" t="s"/>
      <c r="N38" s="555" t="s"/>
      <c r="O38" s="555" t="s"/>
      <c r="P38" s="555" t="s"/>
      <c r="Q38" s="555" t="s"/>
      <c r="R38" s="555" t="s"/>
      <c r="S38" s="555" t="s"/>
      <c r="T38" s="555" t="s"/>
      <c r="U38" s="555" t="s"/>
      <c r="V38" s="555" t="s"/>
      <c r="W38" s="555" t="s"/>
      <c r="X38" s="555" t="s"/>
      <c r="Y38" s="555" t="s"/>
    </row>
    <row r="39" spans="1:25" s="699" customFormat="true" ht="12" customHeight="true">
      <c r="A39" s="553" t="s"/>
      <c r="B39" s="554" t="s"/>
      <c r="C39" s="555" t="s"/>
      <c r="D39" s="555" t="s"/>
      <c r="E39" s="555" t="s"/>
      <c r="F39" s="555" t="s"/>
      <c r="G39" s="555" t="s"/>
      <c r="H39" s="555" t="s"/>
      <c r="I39" s="555" t="s"/>
      <c r="J39" s="555" t="s"/>
      <c r="K39" s="555" t="s"/>
      <c r="L39" s="555" t="s"/>
      <c r="M39" s="555" t="s"/>
      <c r="N39" s="555" t="s"/>
      <c r="O39" s="555" t="s"/>
      <c r="P39" s="555" t="s"/>
      <c r="Q39" s="555" t="s"/>
      <c r="R39" s="555" t="s"/>
      <c r="S39" s="555" t="s"/>
      <c r="T39" s="555" t="s"/>
      <c r="U39" s="555" t="s"/>
      <c r="V39" s="555" t="s"/>
      <c r="W39" s="555" t="s"/>
      <c r="X39" s="555" t="s"/>
      <c r="Y39" s="555" t="s"/>
    </row>
    <row r="40" spans="1:25" s="703" customFormat="true" ht="12" customHeight="true">
      <c r="A40" s="556" t="s"/>
      <c r="B40" s="556" t="s"/>
      <c r="C40" s="556" t="s"/>
      <c r="D40" s="556" t="s"/>
      <c r="E40" s="556" t="s"/>
      <c r="F40" s="556" t="s"/>
      <c r="G40" s="556" t="s"/>
      <c r="H40" s="556" t="s"/>
      <c r="I40" s="556" t="s"/>
      <c r="J40" s="556" t="s"/>
      <c r="K40" s="556" t="s"/>
      <c r="L40" s="556" t="s"/>
      <c r="M40" s="556" t="s"/>
      <c r="N40" s="556" t="s"/>
      <c r="O40" s="556" t="s"/>
      <c r="P40" s="556" t="s"/>
      <c r="Q40" s="556" t="s"/>
      <c r="R40" s="556" t="s"/>
      <c r="S40" s="556" t="s"/>
      <c r="T40" s="556" t="s"/>
      <c r="U40" s="556" t="s"/>
      <c r="V40" s="556" t="s"/>
      <c r="W40" s="556" t="s"/>
      <c r="X40" s="556" t="s"/>
      <c r="Y40" s="556" t="s"/>
    </row>
    <row r="41" spans="1:25" s="699" customFormat="true" ht="12" customHeight="true">
      <c r="A41" s="557" t="s"/>
      <c r="B41" s="557" t="s"/>
      <c r="C41" s="557" t="s"/>
      <c r="D41" s="557" t="s"/>
      <c r="E41" s="557" t="s"/>
      <c r="F41" s="557" t="s"/>
      <c r="G41" s="557" t="s"/>
      <c r="H41" s="557" t="s"/>
      <c r="I41" s="557" t="s"/>
      <c r="J41" s="557" t="s"/>
      <c r="K41" s="557" t="s"/>
      <c r="L41" s="557" t="s"/>
      <c r="M41" s="557" t="s"/>
      <c r="N41" s="557" t="s"/>
      <c r="O41" s="557" t="s"/>
      <c r="P41" s="557" t="s"/>
      <c r="Q41" s="557" t="s"/>
      <c r="R41" s="557" t="s"/>
      <c r="S41" s="557" t="s"/>
      <c r="T41" s="557" t="s"/>
      <c r="U41" s="557" t="s"/>
      <c r="V41" s="557" t="s"/>
      <c r="W41" s="557" t="s"/>
      <c r="X41" s="557" t="s"/>
      <c r="Y41" s="557" t="s"/>
    </row>
    <row r="42" spans="1:26" s="699" customFormat="true" ht="12" customHeight="true"/>
    <row r="43" spans="1:26" s="699" customFormat="true" ht="12" customHeight="true"/>
    <row r="44" spans="1:26" s="699" customFormat="true" ht="12" customHeight="true"/>
    <row r="45" spans="1:26" s="699" customFormat="true" ht="12" customHeight="true"/>
    <row r="46" spans="1:26" s="699" customFormat="true" ht="12" customHeight="true"/>
    <row r="47" spans="1:26" s="699" customFormat="true" ht="12" customHeight="true"/>
    <row r="48" spans="1:26" s="699" customFormat="true" ht="12" customHeight="true"/>
    <row r="49" spans="1:26" s="699" customFormat="true" ht="12" customHeight="true"/>
    <row r="50" spans="1:26" s="699" customFormat="true" ht="12" customHeight="true"/>
  </sheetData>
  <sheetProtection/>
  <mergeCells count="3">
    <mergeCell ref="A3:A4"/>
    <mergeCell ref="B3:B4"/>
    <mergeCell ref="C3:C4"/>
  </mergeCells>
  <pageMargins left="0.75" right="0.75" top="1" bottom="1" header="0.5" footer="0.5"/>
  <pageSetup paperSize="9" orientation="landscape" blackAndWhite="true" horizontalDpi="300" verticalDpi="300"/>
  <headerFooter alignWithMargins="false"/>
</worksheet>
</file>

<file path=xl/worksheets/sheet11.xml><?xml version="1.0" encoding="utf-8"?>
<worksheet xmlns:r="http://schemas.openxmlformats.org/officeDocument/2006/relationships" xmlns="http://schemas.openxmlformats.org/spreadsheetml/2006/main">
  <sheetPr/>
  <dimension ref="AA36"/>
  <sheetViews>
    <sheetView showGridLines="false" showZeros="false" topLeftCell="A1" workbookViewId="0">
      <pane xSplit="3" ySplit="4" topLeftCell="D5" activePane="bottomRight" state="frozen"/>
    </sheetView>
  </sheetViews>
  <sheetFormatPr defaultColWidth="9" defaultRowHeight="12" customHeight="true"/>
  <cols>
    <col min="1" max="1" width="6.625" style="698"/>
    <col min="2" max="2" width="36.125" style="698"/>
    <col min="3" max="3" width="18.5" style="698"/>
    <col min="4" max="26" width="10.625" style="698"/>
  </cols>
  <sheetData>
    <row r="1" spans="1:25" ht="12" customHeight="true">
      <c r="A1" s="347" t="s"/>
      <c r="B1" s="348" t="s"/>
      <c r="C1" s="348" t="s"/>
      <c r="D1" s="348" t="s">
        <v>859</v>
      </c>
      <c r="E1" s="348" t="s"/>
      <c r="F1" s="348" t="s"/>
      <c r="G1" s="348" t="s"/>
      <c r="H1" s="348" t="s"/>
      <c r="I1" s="348" t="s"/>
      <c r="J1" s="348" t="s"/>
      <c r="K1" s="348" t="s"/>
      <c r="L1" s="348" t="s"/>
      <c r="M1" s="348" t="s"/>
      <c r="N1" s="348" t="s"/>
      <c r="O1" s="348" t="s"/>
      <c r="P1" s="348" t="s"/>
      <c r="Q1" s="348" t="s"/>
      <c r="R1" s="348" t="s"/>
      <c r="S1" s="348" t="s"/>
      <c r="T1" s="348" t="s"/>
      <c r="U1" s="348" t="s"/>
      <c r="V1" s="348" t="s"/>
      <c r="W1" s="348" t="s"/>
      <c r="X1" s="348" t="s"/>
      <c r="Y1" s="348" t="s"/>
    </row>
    <row r="2" spans="1:25" ht="12" customHeight="true">
      <c r="A2" s="349" t="s">
        <v>860</v>
      </c>
      <c r="C2" s="350" t="s"/>
      <c r="D2" s="350" t="s">
        <v>438</v>
      </c>
      <c r="E2" s="350" t="s"/>
      <c r="F2" s="350" t="s"/>
      <c r="G2" s="350" t="s"/>
      <c r="H2" s="350" t="s"/>
      <c r="I2" s="350" t="s"/>
      <c r="J2" s="350" t="s"/>
      <c r="K2" s="350" t="s"/>
      <c r="L2" s="350" t="s"/>
      <c r="M2" s="350" t="s"/>
      <c r="N2" s="350" t="s"/>
      <c r="O2" s="350" t="s"/>
      <c r="P2" s="350" t="s"/>
      <c r="Q2" s="350" t="s"/>
      <c r="R2" s="350" t="s"/>
      <c r="S2" s="350" t="s"/>
      <c r="T2" s="350" t="s"/>
      <c r="U2" s="350" t="s"/>
      <c r="V2" s="350" t="s"/>
      <c r="W2" s="350" t="s"/>
      <c r="X2" s="350" t="s"/>
      <c r="Y2" s="350" t="s"/>
    </row>
    <row r="3" spans="1:25" ht="12" customHeight="true">
      <c r="A3" s="294" t="s">
        <v>525</v>
      </c>
      <c r="B3" s="294" t="s">
        <v>738</v>
      </c>
      <c r="C3" s="294" t="s">
        <v>739</v>
      </c>
      <c r="D3" s="296" t="s">
        <v>620</v>
      </c>
      <c r="E3" s="296" t="s"/>
      <c r="F3" s="296" t="s">
        <v>621</v>
      </c>
      <c r="G3" s="296" t="s"/>
      <c r="H3" s="296" t="s"/>
      <c r="I3" s="296" t="s"/>
      <c r="J3" s="296" t="s"/>
      <c r="K3" s="296" t="s"/>
      <c r="L3" s="296" t="s"/>
      <c r="M3" s="296" t="s"/>
      <c r="N3" s="296" t="s"/>
      <c r="O3" s="296" t="s"/>
      <c r="P3" s="296" t="s"/>
      <c r="Q3" s="296" t="s"/>
      <c r="R3" s="296" t="s"/>
      <c r="S3" s="296" t="s"/>
      <c r="T3" s="296" t="s"/>
      <c r="U3" s="296" t="s"/>
      <c r="V3" s="296" t="s"/>
      <c r="W3" s="296" t="s"/>
      <c r="X3" s="296" t="s"/>
      <c r="Y3" s="296" t="s"/>
    </row>
    <row r="4" spans="1:25" ht="12" customHeight="true">
      <c r="A4" s="294" t="s"/>
      <c r="B4" s="294" t="s"/>
      <c r="C4" s="294" t="s"/>
      <c r="D4" s="294" t="s">
        <v>622</v>
      </c>
      <c r="E4" s="294" t="s">
        <v>623</v>
      </c>
      <c r="F4" s="294" t="s">
        <v>622</v>
      </c>
      <c r="G4" s="294" t="s">
        <v>623</v>
      </c>
      <c r="H4" s="294" t="s">
        <v>624</v>
      </c>
      <c r="I4" s="294" t="s">
        <v>625</v>
      </c>
      <c r="J4" s="294" t="s">
        <v>626</v>
      </c>
      <c r="K4" s="294" t="s">
        <v>627</v>
      </c>
      <c r="L4" s="294" t="s">
        <v>628</v>
      </c>
      <c r="M4" s="294" t="s">
        <v>629</v>
      </c>
      <c r="N4" s="294" t="s">
        <v>630</v>
      </c>
      <c r="O4" s="294" t="s">
        <v>631</v>
      </c>
      <c r="P4" s="294" t="s">
        <v>632</v>
      </c>
      <c r="Q4" s="294" t="s">
        <v>633</v>
      </c>
      <c r="R4" s="294" t="s">
        <v>634</v>
      </c>
      <c r="S4" s="294" t="s">
        <v>635</v>
      </c>
      <c r="T4" s="294" t="s">
        <v>636</v>
      </c>
      <c r="U4" s="294" t="s">
        <v>702</v>
      </c>
      <c r="V4" s="294" t="s">
        <v>703</v>
      </c>
      <c r="W4" s="294" t="s">
        <v>637</v>
      </c>
      <c r="X4" s="294" t="s">
        <v>638</v>
      </c>
      <c r="Y4" s="294" t="s">
        <v>639</v>
      </c>
    </row>
    <row r="5" spans="1:25" ht="12" customHeight="true">
      <c r="A5" s="409" t="s"/>
      <c r="B5" s="297" t="s">
        <v>740</v>
      </c>
      <c r="C5" s="371" t="s"/>
      <c r="D5" s="394">
        <f>=评估表4总成本费用表!D5</f>
        <v>0</v>
      </c>
      <c r="E5" s="394">
        <f>=评估表4总成本费用表!E5</f>
        <v>0</v>
      </c>
      <c r="F5" s="394">
        <f>=评估表4总成本费用表!F5</f>
        <v>0</v>
      </c>
      <c r="G5" s="394">
        <f>=评估表4总成本费用表!G5</f>
        <v>0</v>
      </c>
      <c r="H5" s="394">
        <f>=评估表4总成本费用表!H5</f>
        <v>0</v>
      </c>
      <c r="I5" s="394">
        <f>=评估表4总成本费用表!I5</f>
        <v>0</v>
      </c>
      <c r="J5" s="394">
        <f>=评估表4总成本费用表!J5</f>
        <v>0</v>
      </c>
      <c r="K5" s="394">
        <f>=评估表4总成本费用表!K5</f>
        <v>0.05</v>
      </c>
      <c r="L5" s="394">
        <f>=评估表4总成本费用表!L5</f>
        <v>0</v>
      </c>
      <c r="M5" s="394">
        <f>=评估表4总成本费用表!M5</f>
        <v>0.05</v>
      </c>
      <c r="N5" s="394">
        <f>=评估表4总成本费用表!N5</f>
        <v>0</v>
      </c>
      <c r="O5" s="394">
        <f>=评估表4总成本费用表!O5</f>
        <v>0</v>
      </c>
      <c r="P5" s="394">
        <f>=评估表4总成本费用表!P5</f>
        <v>0.05</v>
      </c>
      <c r="Q5" s="394">
        <f>=评估表4总成本费用表!Q5</f>
        <v>0</v>
      </c>
      <c r="R5" s="394">
        <f>=评估表4总成本费用表!R5</f>
        <v>0</v>
      </c>
      <c r="S5" s="394">
        <f>=评估表4总成本费用表!S5</f>
        <v>0</v>
      </c>
      <c r="T5" s="394">
        <f>=评估表4总成本费用表!T5</f>
        <v>0</v>
      </c>
      <c r="U5" s="394">
        <f>=评估表4总成本费用表!U5</f>
        <v>0</v>
      </c>
      <c r="V5" s="394">
        <f>=评估表4总成本费用表!V5</f>
        <v>0</v>
      </c>
      <c r="W5" s="394">
        <f>=评估表4总成本费用表!W5</f>
        <v>0</v>
      </c>
      <c r="X5" s="394">
        <f>=评估表4总成本费用表!X5</f>
        <v>0</v>
      </c>
      <c r="Y5" s="394">
        <f>=评估表4总成本费用表!Y5</f>
        <v>0</v>
      </c>
    </row>
    <row r="6" spans="1:26" ht="12" customHeight="true">
      <c r="A6" s="409" t="s">
        <v>51</v>
      </c>
      <c r="B6" s="358" t="s">
        <v>741</v>
      </c>
      <c r="C6" s="396" t="s"/>
      <c r="D6" s="394">
        <f>=评估表4总成本费用表!D6</f>
        <v>0</v>
      </c>
      <c r="E6" s="394">
        <f>=评估表4总成本费用表!E6</f>
        <v>0</v>
      </c>
      <c r="F6" s="394">
        <f>=评估表4总成本费用表!F6</f>
        <v>0.99</v>
      </c>
      <c r="G6" s="394">
        <f>=评估表4总成本费用表!G6</f>
        <v>0.976</v>
      </c>
      <c r="H6" s="394">
        <f>=评估表4总成本费用表!H6</f>
        <v>0.972</v>
      </c>
      <c r="I6" s="394">
        <f>=评估表4总成本费用表!I6</f>
        <v>0.968</v>
      </c>
      <c r="J6" s="394">
        <f>=评估表4总成本费用表!J6</f>
        <v>0.964</v>
      </c>
      <c r="K6" s="394">
        <f>=评估表4总成本费用表!K6</f>
        <v>0.96</v>
      </c>
      <c r="L6" s="394">
        <f>=评估表4总成本费用表!L6</f>
        <v>0.956</v>
      </c>
      <c r="M6" s="394">
        <f>=评估表4总成本费用表!M6</f>
        <v>0.952</v>
      </c>
      <c r="N6" s="394">
        <f>=评估表4总成本费用表!N6</f>
        <v>0.948</v>
      </c>
      <c r="O6" s="394">
        <f>=评估表4总成本费用表!O6</f>
        <v>0.944</v>
      </c>
      <c r="P6" s="394">
        <f>=评估表4总成本费用表!P6</f>
        <v>0.94</v>
      </c>
      <c r="Q6" s="394">
        <f>=评估表4总成本费用表!Q6</f>
        <v>0.936</v>
      </c>
      <c r="R6" s="394">
        <f>=评估表4总成本费用表!R6</f>
        <v>0</v>
      </c>
      <c r="S6" s="394">
        <f>=评估表4总成本费用表!S6</f>
        <v>0</v>
      </c>
      <c r="T6" s="394">
        <f>=评估表4总成本费用表!T6</f>
        <v>0</v>
      </c>
      <c r="U6" s="394">
        <f>=评估表4总成本费用表!U6</f>
        <v>0</v>
      </c>
      <c r="V6" s="394">
        <f>=评估表4总成本费用表!V6</f>
        <v>0</v>
      </c>
      <c r="W6" s="394">
        <f>=评估表4总成本费用表!W6</f>
        <v>0</v>
      </c>
      <c r="X6" s="394">
        <f>=评估表4总成本费用表!X6</f>
        <v>0</v>
      </c>
      <c r="Y6" s="394">
        <f>=评估表4总成本费用表!Y6</f>
        <v>0</v>
      </c>
      <c r="Z6" s="399" t="s">
        <v>644</v>
      </c>
    </row>
    <row r="7" spans="1:25" ht="12" customHeight="true">
      <c r="A7" s="409" t="s">
        <v>51</v>
      </c>
      <c r="B7" s="358" t="s">
        <v>742</v>
      </c>
      <c r="C7" s="396" t="s"/>
      <c r="D7" s="394">
        <f>=评估表4总成本费用表!D7</f>
        <v>0</v>
      </c>
      <c r="E7" s="394">
        <f>=评估表4总成本费用表!E7</f>
        <v>0</v>
      </c>
      <c r="F7" s="394">
        <f>=评估表4总成本费用表!F7</f>
        <v>0.92</v>
      </c>
      <c r="G7" s="394">
        <f>=评估表4总成本费用表!G7</f>
        <v>0.92</v>
      </c>
      <c r="H7" s="394">
        <f>=评估表4总成本费用表!H7</f>
        <v>0.92</v>
      </c>
      <c r="I7" s="394">
        <f>=评估表4总成本费用表!I7</f>
        <v>0.92</v>
      </c>
      <c r="J7" s="394">
        <f>=评估表4总成本费用表!J7</f>
        <v>0.92</v>
      </c>
      <c r="K7" s="394">
        <f>=评估表4总成本费用表!K7</f>
        <v>0.92</v>
      </c>
      <c r="L7" s="394">
        <f>=评估表4总成本费用表!L7</f>
        <v>0.92</v>
      </c>
      <c r="M7" s="394">
        <f>=评估表4总成本费用表!M7</f>
        <v>0.92</v>
      </c>
      <c r="N7" s="394">
        <f>=评估表4总成本费用表!N7</f>
        <v>0.92</v>
      </c>
      <c r="O7" s="394">
        <f>=评估表4总成本费用表!O7</f>
        <v>0.92</v>
      </c>
      <c r="P7" s="394">
        <f>=评估表4总成本费用表!P7</f>
        <v>0.92</v>
      </c>
      <c r="Q7" s="394">
        <f>=评估表4总成本费用表!Q7</f>
        <v>0.92</v>
      </c>
      <c r="R7" s="394">
        <f>=评估表4总成本费用表!R7</f>
        <v>0</v>
      </c>
      <c r="S7" s="394">
        <f>=评估表4总成本费用表!S7</f>
        <v>0</v>
      </c>
      <c r="T7" s="394">
        <f>=评估表4总成本费用表!T7</f>
        <v>0</v>
      </c>
      <c r="U7" s="394">
        <f>=评估表4总成本费用表!U7</f>
        <v>0</v>
      </c>
      <c r="V7" s="394">
        <f>=评估表4总成本费用表!V7</f>
        <v>0</v>
      </c>
      <c r="W7" s="394">
        <f>=评估表4总成本费用表!W7</f>
        <v>0</v>
      </c>
      <c r="X7" s="394">
        <f>=评估表4总成本费用表!X7</f>
        <v>0</v>
      </c>
      <c r="Y7" s="394">
        <f>=评估表4总成本费用表!Y7</f>
        <v>0</v>
      </c>
    </row>
    <row r="8" spans="1:25" ht="12" customHeight="true">
      <c r="A8" s="409" t="s">
        <v>51</v>
      </c>
      <c r="B8" s="358" t="s">
        <v>743</v>
      </c>
      <c r="C8" s="396" t="s"/>
      <c r="D8" s="394">
        <f>=评估表4总成本费用表!D8</f>
        <v>0</v>
      </c>
      <c r="E8" s="394">
        <f>=评估表4总成本费用表!E8</f>
        <v>0</v>
      </c>
      <c r="F8" s="394">
        <f>=评估表4总成本费用表!F8</f>
        <v>0</v>
      </c>
      <c r="G8" s="394">
        <f>=评估表4总成本费用表!G8</f>
        <v>0</v>
      </c>
      <c r="H8" s="394">
        <f>=评估表4总成本费用表!H8</f>
        <v>0</v>
      </c>
      <c r="I8" s="394">
        <f>=评估表4总成本费用表!I8</f>
        <v>0</v>
      </c>
      <c r="J8" s="394">
        <f>=评估表4总成本费用表!J8</f>
        <v>0</v>
      </c>
      <c r="K8" s="394">
        <f>=评估表4总成本费用表!K8</f>
        <v>0.03</v>
      </c>
      <c r="L8" s="394">
        <f>=评估表4总成本费用表!L8</f>
        <v>0</v>
      </c>
      <c r="M8" s="394">
        <f>=评估表4总成本费用表!M8</f>
        <v>0</v>
      </c>
      <c r="N8" s="394">
        <f>=评估表4总成本费用表!N8</f>
        <v>0</v>
      </c>
      <c r="O8" s="394">
        <f>=评估表4总成本费用表!O8</f>
        <v>0</v>
      </c>
      <c r="P8" s="394">
        <f>=评估表4总成本费用表!P8</f>
        <v>0.03</v>
      </c>
      <c r="Q8" s="394">
        <f>=评估表4总成本费用表!Q8</f>
        <v>0</v>
      </c>
      <c r="R8" s="394">
        <f>=评估表4总成本费用表!R8</f>
        <v>0</v>
      </c>
      <c r="S8" s="394">
        <f>=评估表4总成本费用表!S8</f>
        <v>0</v>
      </c>
      <c r="T8" s="394">
        <f>=评估表4总成本费用表!T8</f>
        <v>0</v>
      </c>
      <c r="U8" s="394">
        <f>=评估表4总成本费用表!U8</f>
        <v>0</v>
      </c>
      <c r="V8" s="394">
        <f>=评估表4总成本费用表!V8</f>
        <v>0</v>
      </c>
      <c r="W8" s="394">
        <f>=评估表4总成本费用表!W8</f>
        <v>0</v>
      </c>
      <c r="X8" s="394">
        <f>=评估表4总成本费用表!X8</f>
        <v>0</v>
      </c>
      <c r="Y8" s="394">
        <f>=评估表4总成本费用表!Y8</f>
        <v>0</v>
      </c>
    </row>
    <row r="9" spans="1:25" ht="12" customHeight="true">
      <c r="A9" s="409" t="s">
        <v>51</v>
      </c>
      <c r="B9" s="358" t="s">
        <v>744</v>
      </c>
      <c r="C9" s="396" t="s"/>
      <c r="D9" s="394">
        <f>=评估表4总成本费用表!D9</f>
        <v>0</v>
      </c>
      <c r="E9" s="394">
        <f>=评估表4总成本费用表!E9</f>
        <v>0</v>
      </c>
      <c r="F9" s="394">
        <f>=评估表4总成本费用表!F9</f>
        <v>0.5</v>
      </c>
      <c r="G9" s="394">
        <f>=评估表4总成本费用表!G9</f>
        <v>0.6</v>
      </c>
      <c r="H9" s="394">
        <f>=评估表4总成本费用表!H9</f>
        <v>0.7</v>
      </c>
      <c r="I9" s="394">
        <f>=评估表4总成本费用表!I9</f>
        <v>0.8</v>
      </c>
      <c r="J9" s="394">
        <f>=评估表4总成本费用表!J9</f>
        <v>0.9</v>
      </c>
      <c r="K9" s="394">
        <f>=评估表4总成本费用表!K9</f>
        <v>0.95</v>
      </c>
      <c r="L9" s="394">
        <f>=评估表4总成本费用表!L9</f>
        <v>0.95</v>
      </c>
      <c r="M9" s="394">
        <f>=评估表4总成本费用表!M9</f>
        <v>0.95</v>
      </c>
      <c r="N9" s="394">
        <f>=评估表4总成本费用表!N9</f>
        <v>0.95</v>
      </c>
      <c r="O9" s="394">
        <f>=评估表4总成本费用表!O9</f>
        <v>0.95</v>
      </c>
      <c r="P9" s="394">
        <f>=评估表4总成本费用表!P9</f>
        <v>0.95</v>
      </c>
      <c r="Q9" s="394">
        <f>=评估表4总成本费用表!Q9</f>
        <v>0.95</v>
      </c>
      <c r="R9" s="394">
        <f>=评估表4总成本费用表!R9</f>
        <v>0</v>
      </c>
      <c r="S9" s="394">
        <f>=评估表4总成本费用表!S9</f>
        <v>0</v>
      </c>
      <c r="T9" s="394">
        <f>=评估表4总成本费用表!T9</f>
        <v>0</v>
      </c>
      <c r="U9" s="394">
        <f>=评估表4总成本费用表!U9</f>
        <v>0</v>
      </c>
      <c r="V9" s="394">
        <f>=评估表4总成本费用表!V9</f>
        <v>0</v>
      </c>
      <c r="W9" s="394">
        <f>=评估表4总成本费用表!W9</f>
        <v>0</v>
      </c>
      <c r="X9" s="394">
        <f>=评估表4总成本费用表!X9</f>
        <v>0</v>
      </c>
      <c r="Y9" s="394">
        <f>=评估表4总成本费用表!Y9</f>
        <v>0</v>
      </c>
    </row>
    <row r="10" spans="1:25" ht="12" customHeight="true">
      <c r="A10" s="409" t="s">
        <v>51</v>
      </c>
      <c r="B10" s="358" t="s">
        <v>745</v>
      </c>
      <c r="C10" s="396" t="s"/>
      <c r="D10" s="394">
        <f>=评估表4总成本费用表!D10</f>
        <v>0</v>
      </c>
      <c r="E10" s="394">
        <f>=评估表4总成本费用表!E10</f>
        <v>0</v>
      </c>
      <c r="F10" s="394">
        <f>=评估表4总成本费用表!F10</f>
        <v>0</v>
      </c>
      <c r="G10" s="394">
        <f>=评估表4总成本费用表!G10</f>
        <v>0</v>
      </c>
      <c r="H10" s="394">
        <f>=评估表4总成本费用表!H10</f>
        <v>0</v>
      </c>
      <c r="I10" s="394">
        <f>=评估表4总成本费用表!I10</f>
        <v>0</v>
      </c>
      <c r="J10" s="394">
        <f>=评估表4总成本费用表!J10</f>
        <v>0</v>
      </c>
      <c r="K10" s="394">
        <f>=评估表4总成本费用表!K10</f>
        <v>0</v>
      </c>
      <c r="L10" s="394">
        <f>=评估表4总成本费用表!L10</f>
        <v>0</v>
      </c>
      <c r="M10" s="394">
        <f>=评估表4总成本费用表!M10</f>
        <v>0</v>
      </c>
      <c r="N10" s="394">
        <f>=评估表4总成本费用表!N10</f>
        <v>0</v>
      </c>
      <c r="O10" s="394">
        <f>=评估表4总成本费用表!O10</f>
        <v>0</v>
      </c>
      <c r="P10" s="394">
        <f>=评估表4总成本费用表!P10</f>
        <v>0</v>
      </c>
      <c r="Q10" s="394">
        <f>=评估表4总成本费用表!Q10</f>
        <v>0</v>
      </c>
      <c r="R10" s="394">
        <f>=评估表4总成本费用表!R10</f>
        <v>0</v>
      </c>
      <c r="S10" s="394">
        <f>=评估表4总成本费用表!S10</f>
        <v>0</v>
      </c>
      <c r="T10" s="394">
        <f>=评估表4总成本费用表!T10</f>
        <v>0</v>
      </c>
      <c r="U10" s="394">
        <f>=评估表4总成本费用表!U10</f>
        <v>0</v>
      </c>
      <c r="V10" s="394">
        <f>=评估表4总成本费用表!V10</f>
        <v>0</v>
      </c>
      <c r="W10" s="394">
        <f>=评估表4总成本费用表!W10</f>
        <v>0</v>
      </c>
      <c r="X10" s="394">
        <f>=评估表4总成本费用表!X10</f>
        <v>0</v>
      </c>
      <c r="Y10" s="394">
        <f>=评估表4总成本费用表!Y10</f>
        <v>0</v>
      </c>
    </row>
    <row r="11" spans="1:25" ht="12" customHeight="true">
      <c r="A11" s="409" t="s">
        <v>442</v>
      </c>
      <c r="B11" s="358" t="s">
        <v>774</v>
      </c>
      <c r="C11" s="376">
        <f>=SUM(D11:Y11)</f>
        <v>10256.8584947334</v>
      </c>
      <c r="D11" s="412">
        <f>=SUM(D22:D29)</f>
        <v>0</v>
      </c>
      <c r="E11" s="412">
        <f>=SUM(E22:E29)</f>
        <v>0</v>
      </c>
      <c r="F11" s="412">
        <f>=SUM(F22:F29)</f>
        <v>487.470070583265</v>
      </c>
      <c r="G11" s="412">
        <f>=SUM(G22:G29)</f>
        <v>969.740450295299</v>
      </c>
      <c r="H11" s="412">
        <f>=SUM(H22:H29)</f>
        <v>964.090265763513</v>
      </c>
      <c r="I11" s="412">
        <f>=SUM(I22:I29)</f>
        <v>955.999003286137</v>
      </c>
      <c r="J11" s="412">
        <f>=SUM(J22:J29)</f>
        <v>949.980927442081</v>
      </c>
      <c r="K11" s="412">
        <f>=SUM(K22:K29)</f>
        <v>940.109969256252</v>
      </c>
      <c r="L11" s="412">
        <f>=SUM(L22:L29)</f>
        <v>930.741801587486</v>
      </c>
      <c r="M11" s="412">
        <f>=SUM(M22:M29)</f>
        <v>909.309404241493</v>
      </c>
      <c r="N11" s="412">
        <f>=SUM(N22:N29)</f>
        <v>801.330134141759</v>
      </c>
      <c r="O11" s="412">
        <f>=SUM(O22:O29)</f>
        <v>792.884226060646</v>
      </c>
      <c r="P11" s="412">
        <f>=SUM(P22:P29)</f>
        <v>781.777787712104</v>
      </c>
      <c r="Q11" s="412">
        <f>=SUM(Q22:Q29)</f>
        <v>773.424454363335</v>
      </c>
      <c r="R11" s="412">
        <f>=SUM(R22:R29)</f>
        <v>0</v>
      </c>
      <c r="S11" s="412">
        <f>=SUM(S22:S29)</f>
        <v>0</v>
      </c>
      <c r="T11" s="412">
        <f>=SUM(T22:T29)</f>
        <v>0</v>
      </c>
      <c r="U11" s="412">
        <f>=SUM(U22:U29)</f>
        <v>0</v>
      </c>
      <c r="V11" s="412">
        <f>=SUM(V22:V29)</f>
        <v>0</v>
      </c>
      <c r="W11" s="412">
        <f>=SUM(W22:W29)</f>
        <v>0</v>
      </c>
      <c r="X11" s="412">
        <f>=SUM(X22:X29)</f>
        <v>0</v>
      </c>
      <c r="Y11" s="412">
        <f>=SUM(Y22:Y29)</f>
        <v>0</v>
      </c>
    </row>
    <row r="12" spans="1:26" s="699" customFormat="true" ht="12" customHeight="true">
      <c r="A12" s="413">
        <v>1</v>
      </c>
      <c r="B12" s="398" t="s">
        <v>746</v>
      </c>
      <c r="C12" s="376">
        <f>=SUM(D12:Y12)</f>
        <v>14147.8208401637</v>
      </c>
      <c r="D12" s="376">
        <f>=评估表5损益及利润分配表!D11</f>
        <v>0</v>
      </c>
      <c r="E12" s="376">
        <f>=评估表5损益及利润分配表!E11</f>
        <v>0</v>
      </c>
      <c r="F12" s="376">
        <f>=评估表5损益及利润分配表!F11</f>
        <v>615.4450417656</v>
      </c>
      <c r="G12" s="376">
        <f>=评估表5损益及利润分配表!G11</f>
        <v>1228.66981164288</v>
      </c>
      <c r="H12" s="376">
        <f>=评估表5损益及利润分配表!H11</f>
        <v>1230.54259110336</v>
      </c>
      <c r="I12" s="376">
        <f>=评估表5损益及利润分配表!I11</f>
        <v>1232.41537056384</v>
      </c>
      <c r="J12" s="376">
        <f>=评估表5损益及利润分配表!J11</f>
        <v>1234.28815002432</v>
      </c>
      <c r="K12" s="376">
        <f>=评估表5损益及利润分配表!K11</f>
        <v>1234.4059294848</v>
      </c>
      <c r="L12" s="376">
        <f>=评估表5损益及利润分配表!L11</f>
        <v>1232.76870894528</v>
      </c>
      <c r="M12" s="376">
        <f>=评估表5损益及利润分配表!M11</f>
        <v>1231.13148840576</v>
      </c>
      <c r="N12" s="376">
        <f>=评估表5损益及利润分配表!N11</f>
        <v>1229.49426786624</v>
      </c>
      <c r="O12" s="376">
        <f>=评估表5损益及利润分配表!O11</f>
        <v>1227.85704732672</v>
      </c>
      <c r="P12" s="376">
        <f>=评估表5损益及利润分配表!P11</f>
        <v>1226.2198267872</v>
      </c>
      <c r="Q12" s="376">
        <f>=评估表5损益及利润分配表!Q11</f>
        <v>1224.58260624768</v>
      </c>
      <c r="R12" s="376">
        <f>=评估表5损益及利润分配表!R11</f>
        <v>0</v>
      </c>
      <c r="S12" s="376">
        <f>=评估表5损益及利润分配表!S11</f>
        <v>0</v>
      </c>
      <c r="T12" s="376">
        <f>=评估表5损益及利润分配表!T11</f>
        <v>0</v>
      </c>
      <c r="U12" s="376">
        <f>=评估表5损益及利润分配表!U11</f>
        <v>0</v>
      </c>
      <c r="V12" s="376">
        <f>=评估表5损益及利润分配表!V11</f>
        <v>0</v>
      </c>
      <c r="W12" s="376">
        <f>=评估表5损益及利润分配表!W11</f>
        <v>0</v>
      </c>
      <c r="X12" s="376">
        <f>=评估表5损益及利润分配表!X11</f>
        <v>0</v>
      </c>
      <c r="Y12" s="376">
        <f>=评估表5损益及利润分配表!Y11</f>
        <v>0</v>
      </c>
      <c r="Z12" s="399" t="s">
        <v>775</v>
      </c>
    </row>
    <row r="13" spans="1:26" s="699" customFormat="true" ht="12" customHeight="true">
      <c r="A13" s="413">
        <v>2</v>
      </c>
      <c r="B13" s="398" t="s">
        <v>659</v>
      </c>
      <c r="C13" s="376">
        <f>=SUM(D13:Y13)</f>
        <v>55.1969402555902</v>
      </c>
      <c r="D13" s="376">
        <f>=评估表5损益及利润分配表!D12</f>
        <v>0</v>
      </c>
      <c r="E13" s="376">
        <f>=评估表5损益及利润分配表!E12</f>
        <v>0</v>
      </c>
      <c r="F13" s="376">
        <f>=评估表5损益及利润分配表!F12</f>
        <v>0</v>
      </c>
      <c r="G13" s="376">
        <f>=评估表5损益及利润分配表!G12</f>
        <v>0</v>
      </c>
      <c r="H13" s="376">
        <f>=评估表5损益及利润分配表!H12</f>
        <v>0</v>
      </c>
      <c r="I13" s="376">
        <f>=评估表5损益及利润分配表!I12</f>
        <v>0</v>
      </c>
      <c r="J13" s="376">
        <f>=评估表5损益及利润分配表!J12</f>
        <v>0</v>
      </c>
      <c r="K13" s="376">
        <f>=评估表5损益及利润分配表!K12</f>
        <v>0</v>
      </c>
      <c r="L13" s="376">
        <f>=评估表5损益及利润分配表!L12</f>
        <v>0</v>
      </c>
      <c r="M13" s="376">
        <f>=评估表5损益及利润分配表!M12</f>
        <v>1.48785405540685</v>
      </c>
      <c r="N13" s="376">
        <f>=评估表5损益及利润分配表!N12</f>
        <v>13.4555244708606</v>
      </c>
      <c r="O13" s="376">
        <f>=评估表5损益及利润分配表!O12</f>
        <v>13.4366891903174</v>
      </c>
      <c r="P13" s="376">
        <f>=评估表5损益及利润分配表!P12</f>
        <v>13.4178539097743</v>
      </c>
      <c r="Q13" s="376">
        <f>=评估表5损益及利润分配表!Q12</f>
        <v>13.3990186292311</v>
      </c>
      <c r="R13" s="376">
        <f>=评估表5损益及利润分配表!R12</f>
        <v>0</v>
      </c>
      <c r="S13" s="376">
        <f>=评估表5损益及利润分配表!S12</f>
        <v>0</v>
      </c>
      <c r="T13" s="376">
        <f>=评估表5损益及利润分配表!T12</f>
        <v>0</v>
      </c>
      <c r="U13" s="376">
        <f>=评估表5损益及利润分配表!U12</f>
        <v>0</v>
      </c>
      <c r="V13" s="376">
        <f>=评估表5损益及利润分配表!V12</f>
        <v>0</v>
      </c>
      <c r="W13" s="376">
        <f>=评估表5损益及利润分配表!W12</f>
        <v>0</v>
      </c>
      <c r="X13" s="376">
        <f>=评估表5损益及利润分配表!X12</f>
        <v>0</v>
      </c>
      <c r="Y13" s="376">
        <f>=评估表5损益及利润分配表!Y12</f>
        <v>0</v>
      </c>
      <c r="Z13" s="399" t="s">
        <v>775</v>
      </c>
    </row>
    <row r="14" spans="1:26" s="699" customFormat="true" ht="12" customHeight="true">
      <c r="A14" s="413">
        <v>3</v>
      </c>
      <c r="B14" s="398" t="s">
        <v>652</v>
      </c>
      <c r="C14" s="376">
        <f>=SUM(D14:Y14)</f>
        <v>551.969402555902</v>
      </c>
      <c r="D14" s="376">
        <f>=评估表5损益及利润分配表!D13</f>
        <v>0</v>
      </c>
      <c r="E14" s="376">
        <f>=评估表5损益及利润分配表!E13</f>
        <v>0</v>
      </c>
      <c r="F14" s="376">
        <f>=评估表5损益及利润分配表!F13</f>
        <v>0</v>
      </c>
      <c r="G14" s="376">
        <f>=评估表5损益及利润分配表!G13</f>
        <v>0</v>
      </c>
      <c r="H14" s="376">
        <f>=评估表5损益及利润分配表!H13</f>
        <v>0</v>
      </c>
      <c r="I14" s="376">
        <f>=评估表5损益及利润分配表!I13</f>
        <v>0</v>
      </c>
      <c r="J14" s="376">
        <f>=评估表5损益及利润分配表!J13</f>
        <v>0</v>
      </c>
      <c r="K14" s="376">
        <f>=评估表5损益及利润分配表!K13</f>
        <v>0</v>
      </c>
      <c r="L14" s="376">
        <f>=评估表5损益及利润分配表!L13</f>
        <v>0</v>
      </c>
      <c r="M14" s="376">
        <f>=评估表5损益及利润分配表!M13</f>
        <v>14.8785405540685</v>
      </c>
      <c r="N14" s="376">
        <f>=评估表5损益及利润分配表!N13</f>
        <v>134.555244708606</v>
      </c>
      <c r="O14" s="376">
        <f>=评估表5损益及利润分配表!O13</f>
        <v>134.366891903174</v>
      </c>
      <c r="P14" s="376">
        <f>=评估表5损益及利润分配表!P13</f>
        <v>134.178539097743</v>
      </c>
      <c r="Q14" s="376">
        <f>=评估表5损益及利润分配表!Q13</f>
        <v>133.990186292311</v>
      </c>
      <c r="R14" s="376">
        <f>=评估表5损益及利润分配表!R13</f>
        <v>0</v>
      </c>
      <c r="S14" s="376">
        <f>=评估表5损益及利润分配表!S13</f>
        <v>0</v>
      </c>
      <c r="T14" s="376">
        <f>=评估表5损益及利润分配表!T13</f>
        <v>0</v>
      </c>
      <c r="U14" s="376">
        <f>=评估表5损益及利润分配表!U13</f>
        <v>0</v>
      </c>
      <c r="V14" s="376">
        <f>=评估表5损益及利润分配表!V13</f>
        <v>0</v>
      </c>
      <c r="W14" s="376">
        <f>=评估表5损益及利润分配表!W13</f>
        <v>0</v>
      </c>
      <c r="X14" s="376">
        <f>=评估表5损益及利润分配表!X13</f>
        <v>0</v>
      </c>
      <c r="Y14" s="376">
        <f>=评估表5损益及利润分配表!Y13</f>
        <v>0</v>
      </c>
      <c r="Z14" s="399" t="s">
        <v>775</v>
      </c>
    </row>
    <row r="15" spans="1:26" s="699" customFormat="true" ht="12" customHeight="true">
      <c r="A15" s="413">
        <v>4</v>
      </c>
      <c r="B15" s="398" t="s">
        <v>748</v>
      </c>
      <c r="C15" s="376">
        <f>=SUM(D15:Y15)</f>
        <v>10813.3378669797</v>
      </c>
      <c r="D15" s="376">
        <f>=评估表5损益及利润分配表!D14</f>
        <v>0</v>
      </c>
      <c r="E15" s="376">
        <f>=评估表5损益及利润分配表!E14</f>
        <v>0</v>
      </c>
      <c r="F15" s="376">
        <f>=评估表5损益及利润分配表!F14</f>
        <v>418.712805591448</v>
      </c>
      <c r="G15" s="376">
        <f>=评估表5损益及利润分配表!G14</f>
        <v>823.598795496203</v>
      </c>
      <c r="H15" s="376">
        <f>=评估表5损益及利润分配表!H14</f>
        <v>795.531369792352</v>
      </c>
      <c r="I15" s="376">
        <f>=评估表5损益及利润分配表!I14</f>
        <v>769.700148902929</v>
      </c>
      <c r="J15" s="376">
        <f>=评估表5损益及利润分配表!J14</f>
        <v>740.162189077177</v>
      </c>
      <c r="K15" s="376">
        <f>=评估表5损益及利润分配表!K14</f>
        <v>712.937812356605</v>
      </c>
      <c r="L15" s="376">
        <f>=评估表5损益及利润分配表!L14</f>
        <v>682.357868126668</v>
      </c>
      <c r="M15" s="376">
        <f>=评估表5损益及利润分配表!M14</f>
        <v>650.512537396945</v>
      </c>
      <c r="N15" s="376">
        <f>=评估表5损益及利润分配表!N14</f>
        <v>618.314161880971</v>
      </c>
      <c r="O15" s="376">
        <f>=评估表5损益及利润分配表!O14</f>
        <v>588.695050793373</v>
      </c>
      <c r="P15" s="376">
        <f>=评估表5损益及利润分配表!P14</f>
        <v>561.66432094055</v>
      </c>
      <c r="Q15" s="376">
        <f>=评估表5损益及利润分配表!Q14</f>
        <v>532.416511382093</v>
      </c>
      <c r="R15" s="376">
        <f>=评估表5损益及利润分配表!R14</f>
        <v>364.841786905301</v>
      </c>
      <c r="S15" s="376">
        <f>=评估表5损益及利润分配表!S14</f>
        <v>364.841786905301</v>
      </c>
      <c r="T15" s="376">
        <f>=评估表5损益及利润分配表!T14</f>
        <v>364.841786905301</v>
      </c>
      <c r="U15" s="376">
        <f>=评估表5损益及利润分配表!U14</f>
        <v>364.841786905301</v>
      </c>
      <c r="V15" s="376">
        <f>=评估表5损益及利润分配表!V14</f>
        <v>364.841786905301</v>
      </c>
      <c r="W15" s="376">
        <f>=评估表5损益及利润分配表!W14</f>
        <v>364.841786905301</v>
      </c>
      <c r="X15" s="376">
        <f>=评估表5损益及利润分配表!X14</f>
        <v>364.841786905301</v>
      </c>
      <c r="Y15" s="376">
        <f>=评估表5损益及利润分配表!Y14</f>
        <v>364.841786905301</v>
      </c>
      <c r="Z15" s="399" t="s">
        <v>775</v>
      </c>
    </row>
    <row r="16" spans="1:26" s="699" customFormat="true" ht="12" customHeight="true">
      <c r="A16" s="413">
        <v>5</v>
      </c>
      <c r="B16" s="398" t="s">
        <v>749</v>
      </c>
      <c r="C16" s="376">
        <f>=SUM(D16:Y16)</f>
        <v>0</v>
      </c>
      <c r="D16" s="376">
        <f>=评估表5损益及利润分配表!D15</f>
        <v>0</v>
      </c>
      <c r="E16" s="376">
        <f>=评估表5损益及利润分配表!E15</f>
        <v>0</v>
      </c>
      <c r="F16" s="376">
        <f>=评估表5损益及利润分配表!F15</f>
        <v>0</v>
      </c>
      <c r="G16" s="376">
        <f>=评估表5损益及利润分配表!G15</f>
        <v>0</v>
      </c>
      <c r="H16" s="376">
        <f>=评估表5损益及利润分配表!H15</f>
        <v>0</v>
      </c>
      <c r="I16" s="376">
        <f>=评估表5损益及利润分配表!I15</f>
        <v>0</v>
      </c>
      <c r="J16" s="376">
        <f>=评估表5损益及利润分配表!J15</f>
        <v>0</v>
      </c>
      <c r="K16" s="376">
        <f>=评估表5损益及利润分配表!K15</f>
        <v>0</v>
      </c>
      <c r="L16" s="376">
        <f>=评估表5损益及利润分配表!L15</f>
        <v>0</v>
      </c>
      <c r="M16" s="376">
        <f>=评估表5损益及利润分配表!M15</f>
        <v>0</v>
      </c>
      <c r="N16" s="376">
        <f>=评估表5损益及利润分配表!N15</f>
        <v>0</v>
      </c>
      <c r="O16" s="376">
        <f>=评估表5损益及利润分配表!O15</f>
        <v>0</v>
      </c>
      <c r="P16" s="376">
        <f>=评估表5损益及利润分配表!P15</f>
        <v>0</v>
      </c>
      <c r="Q16" s="376">
        <f>=评估表5损益及利润分配表!Q15</f>
        <v>0</v>
      </c>
      <c r="R16" s="376">
        <f>=评估表5损益及利润分配表!R15</f>
        <v>0</v>
      </c>
      <c r="S16" s="376">
        <f>=评估表5损益及利润分配表!S15</f>
        <v>0</v>
      </c>
      <c r="T16" s="376">
        <f>=评估表5损益及利润分配表!T15</f>
        <v>0</v>
      </c>
      <c r="U16" s="376">
        <f>=评估表5损益及利润分配表!U15</f>
        <v>0</v>
      </c>
      <c r="V16" s="376">
        <f>=评估表5损益及利润分配表!V15</f>
        <v>0</v>
      </c>
      <c r="W16" s="376">
        <f>=评估表5损益及利润分配表!W15</f>
        <v>0</v>
      </c>
      <c r="X16" s="376">
        <f>=评估表5损益及利润分配表!X15</f>
        <v>0</v>
      </c>
      <c r="Y16" s="376">
        <f>=评估表5损益及利润分配表!Y15</f>
        <v>0</v>
      </c>
      <c r="Z16" s="399" t="s">
        <v>775</v>
      </c>
    </row>
    <row r="17" spans="1:26" s="699" customFormat="true" ht="12" customHeight="true">
      <c r="A17" s="413">
        <v>6</v>
      </c>
      <c r="B17" s="398" t="s">
        <v>776</v>
      </c>
      <c r="C17" s="376">
        <f>=SUM(D17:Y17)</f>
        <v>2727.31663037247</v>
      </c>
      <c r="D17" s="376">
        <f>=评估表5损益及利润分配表!D16</f>
        <v>0</v>
      </c>
      <c r="E17" s="376">
        <f>=评估表5损益及利润分配表!E16</f>
        <v>0</v>
      </c>
      <c r="F17" s="376">
        <f>=评估表5损益及利润分配表!F16</f>
        <v>196.732236174153</v>
      </c>
      <c r="G17" s="376">
        <f>=评估表5损益及利润分配表!G16</f>
        <v>405.071016146677</v>
      </c>
      <c r="H17" s="376">
        <f>=评估表5损益及利润分配表!H16</f>
        <v>435.011221311008</v>
      </c>
      <c r="I17" s="376">
        <f>=评估表5损益及利润分配表!I16</f>
        <v>462.715221660911</v>
      </c>
      <c r="J17" s="376">
        <f>=评估表5损益及利润分配表!J16</f>
        <v>494.125960947143</v>
      </c>
      <c r="K17" s="376">
        <f>=评估表5损益及利润分配表!K16</f>
        <v>521.468117128196</v>
      </c>
      <c r="L17" s="376">
        <f>=评估表5损益及利润分配表!L16</f>
        <v>550.410840818612</v>
      </c>
      <c r="M17" s="376">
        <f>=评估表5损益及利润分配表!M16</f>
        <v>564.25255639934</v>
      </c>
      <c r="N17" s="376">
        <f>=评估表5损益及利润分配表!N16</f>
        <v>463.169336805802</v>
      </c>
      <c r="O17" s="376">
        <f>=评估表5损益及利润分配表!O16</f>
        <v>491.358415439856</v>
      </c>
      <c r="P17" s="376">
        <f>=评估表5损益及利润分配表!P16</f>
        <v>516.959112839133</v>
      </c>
      <c r="Q17" s="376">
        <f>=评估表5损益及利润分配表!Q16</f>
        <v>544.776889944045</v>
      </c>
      <c r="R17" s="376">
        <f>=评估表5损益及利润分配表!R16</f>
        <v>-364.841786905301</v>
      </c>
      <c r="S17" s="376">
        <f>=评估表5损益及利润分配表!S16</f>
        <v>-364.841786905301</v>
      </c>
      <c r="T17" s="376">
        <f>=评估表5损益及利润分配表!T16</f>
        <v>-364.841786905301</v>
      </c>
      <c r="U17" s="376">
        <f>=评估表5损益及利润分配表!U16</f>
        <v>-364.841786905301</v>
      </c>
      <c r="V17" s="376">
        <f>=评估表5损益及利润分配表!V16</f>
        <v>-364.841786905301</v>
      </c>
      <c r="W17" s="376">
        <f>=评估表5损益及利润分配表!W16</f>
        <v>-364.841786905301</v>
      </c>
      <c r="X17" s="376">
        <f>=评估表5损益及利润分配表!X16</f>
        <v>-364.841786905301</v>
      </c>
      <c r="Y17" s="376">
        <f>=评估表5损益及利润分配表!Y16</f>
        <v>-364.841786905301</v>
      </c>
      <c r="Z17" s="399" t="s">
        <v>775</v>
      </c>
    </row>
    <row r="18" spans="1:26" s="699" customFormat="true" ht="12" customHeight="true">
      <c r="A18" s="413">
        <v>7</v>
      </c>
      <c r="B18" s="398" t="s">
        <v>751</v>
      </c>
      <c r="C18" s="376">
        <f>=SUM(D18:Y18)</f>
        <v>0</v>
      </c>
      <c r="D18" s="376">
        <f>=评估表5损益及利润分配表!D17</f>
        <v>0</v>
      </c>
      <c r="E18" s="376">
        <f>=评估表5损益及利润分配表!E17</f>
        <v>0</v>
      </c>
      <c r="F18" s="376">
        <f>=评估表5损益及利润分配表!F17</f>
        <v>0</v>
      </c>
      <c r="G18" s="376">
        <f>=评估表5损益及利润分配表!G17</f>
        <v>0</v>
      </c>
      <c r="H18" s="376">
        <f>=评估表5损益及利润分配表!H17</f>
        <v>0</v>
      </c>
      <c r="I18" s="376">
        <f>=评估表5损益及利润分配表!I17</f>
        <v>0</v>
      </c>
      <c r="J18" s="376">
        <f>=评估表5损益及利润分配表!J17</f>
        <v>0</v>
      </c>
      <c r="K18" s="376">
        <f>=评估表5损益及利润分配表!K17</f>
        <v>0</v>
      </c>
      <c r="L18" s="376">
        <f>=评估表5损益及利润分配表!L17</f>
        <v>0</v>
      </c>
      <c r="M18" s="376">
        <f>=评估表5损益及利润分配表!M17</f>
        <v>0</v>
      </c>
      <c r="N18" s="376">
        <f>=评估表5损益及利润分配表!N17</f>
        <v>0</v>
      </c>
      <c r="O18" s="376">
        <f>=评估表5损益及利润分配表!O17</f>
        <v>0</v>
      </c>
      <c r="P18" s="376">
        <f>=评估表5损益及利润分配表!P17</f>
        <v>0</v>
      </c>
      <c r="Q18" s="376">
        <f>=评估表5损益及利润分配表!Q17</f>
        <v>0</v>
      </c>
      <c r="R18" s="376">
        <f>=评估表5损益及利润分配表!R17</f>
        <v>0</v>
      </c>
      <c r="S18" s="376">
        <f>=评估表5损益及利润分配表!S17</f>
        <v>0</v>
      </c>
      <c r="T18" s="376">
        <f>=评估表5损益及利润分配表!T17</f>
        <v>0</v>
      </c>
      <c r="U18" s="376">
        <f>=评估表5损益及利润分配表!U17</f>
        <v>0</v>
      </c>
      <c r="V18" s="376">
        <f>=评估表5损益及利润分配表!V17</f>
        <v>0</v>
      </c>
      <c r="W18" s="376">
        <f>=评估表5损益及利润分配表!W17</f>
        <v>0</v>
      </c>
      <c r="X18" s="376">
        <f>=评估表5损益及利润分配表!X17</f>
        <v>0</v>
      </c>
      <c r="Y18" s="376">
        <f>=评估表5损益及利润分配表!Y17</f>
        <v>0</v>
      </c>
      <c r="Z18" s="399" t="s">
        <v>775</v>
      </c>
    </row>
    <row r="19" spans="1:26" s="699" customFormat="true" ht="12" customHeight="true">
      <c r="A19" s="413">
        <v>8</v>
      </c>
      <c r="B19" s="398" t="s">
        <v>777</v>
      </c>
      <c r="C19" s="376">
        <f>=SUM(D19:Y19)</f>
        <v>5646.05092561487</v>
      </c>
      <c r="D19" s="376">
        <f>=评估表5损益及利润分配表!D18</f>
        <v>0</v>
      </c>
      <c r="E19" s="376">
        <f>=评估表5损益及利润分配表!E18</f>
        <v>0</v>
      </c>
      <c r="F19" s="376">
        <f>=评估表5损益及利润分配表!F18</f>
        <v>196.732236174153</v>
      </c>
      <c r="G19" s="376">
        <f>=评估表5损益及利润分配表!G18</f>
        <v>405.071016146677</v>
      </c>
      <c r="H19" s="376">
        <f>=评估表5损益及利润分配表!H18</f>
        <v>435.011221311008</v>
      </c>
      <c r="I19" s="376">
        <f>=评估表5损益及利润分配表!I18</f>
        <v>462.715221660911</v>
      </c>
      <c r="J19" s="376">
        <f>=评估表5损益及利润分配表!J18</f>
        <v>494.125960947143</v>
      </c>
      <c r="K19" s="376">
        <f>=评估表5损益及利润分配表!K18</f>
        <v>521.468117128196</v>
      </c>
      <c r="L19" s="376">
        <f>=评估表5损益及利润分配表!L18</f>
        <v>550.410840818612</v>
      </c>
      <c r="M19" s="376">
        <f>=评估表5损益及利润分配表!M18</f>
        <v>564.25255639934</v>
      </c>
      <c r="N19" s="376">
        <f>=评估表5损益及利润分配表!N18</f>
        <v>463.169336805802</v>
      </c>
      <c r="O19" s="376">
        <f>=评估表5损益及利润分配表!O18</f>
        <v>491.358415439856</v>
      </c>
      <c r="P19" s="376">
        <f>=评估表5损益及利润分配表!P18</f>
        <v>516.959112839133</v>
      </c>
      <c r="Q19" s="376">
        <f>=评估表5损益及利润分配表!Q18</f>
        <v>544.776889944045</v>
      </c>
      <c r="R19" s="376">
        <f>=评估表5损益及利润分配表!R18</f>
        <v>0</v>
      </c>
      <c r="S19" s="376">
        <f>=评估表5损益及利润分配表!S18</f>
        <v>0</v>
      </c>
      <c r="T19" s="376">
        <f>=评估表5损益及利润分配表!T18</f>
        <v>0</v>
      </c>
      <c r="U19" s="376">
        <f>=评估表5损益及利润分配表!U18</f>
        <v>0</v>
      </c>
      <c r="V19" s="376">
        <f>=评估表5损益及利润分配表!V18</f>
        <v>0</v>
      </c>
      <c r="W19" s="376">
        <f>=评估表5损益及利润分配表!W18</f>
        <v>0</v>
      </c>
      <c r="X19" s="376">
        <f>=评估表5损益及利润分配表!X18</f>
        <v>0</v>
      </c>
      <c r="Y19" s="376">
        <f>=评估表5损益及利润分配表!Y18</f>
        <v>0</v>
      </c>
      <c r="Z19" s="399" t="s">
        <v>775</v>
      </c>
    </row>
    <row r="20" spans="1:26" s="699" customFormat="true" ht="12" customHeight="true">
      <c r="A20" s="413" t="s"/>
      <c r="B20" s="398" t="s">
        <v>753</v>
      </c>
      <c r="C20" s="401" t="s"/>
      <c r="D20" s="414">
        <f>=辅助表1评估项目基础数据表!$F$7</f>
        <v>0.25</v>
      </c>
      <c r="E20" s="414">
        <f>=辅助表1评估项目基础数据表!$F$7</f>
        <v>0.25</v>
      </c>
      <c r="F20" s="414">
        <f>=辅助表1评估项目基础数据表!$F$7</f>
        <v>0.25</v>
      </c>
      <c r="G20" s="414">
        <f>=辅助表1评估项目基础数据表!$F$7</f>
        <v>0.25</v>
      </c>
      <c r="H20" s="414">
        <f>=辅助表1评估项目基础数据表!$F$7</f>
        <v>0.25</v>
      </c>
      <c r="I20" s="414">
        <f>=辅助表1评估项目基础数据表!$F$7</f>
        <v>0.25</v>
      </c>
      <c r="J20" s="414">
        <f>=辅助表1评估项目基础数据表!$F$7</f>
        <v>0.25</v>
      </c>
      <c r="K20" s="414">
        <f>=辅助表1评估项目基础数据表!$F$7</f>
        <v>0.25</v>
      </c>
      <c r="L20" s="414">
        <f>=辅助表1评估项目基础数据表!$F$7</f>
        <v>0.25</v>
      </c>
      <c r="M20" s="414">
        <f>=辅助表1评估项目基础数据表!$F$7</f>
        <v>0.25</v>
      </c>
      <c r="N20" s="414">
        <f>=辅助表1评估项目基础数据表!$F$7</f>
        <v>0.25</v>
      </c>
      <c r="O20" s="414">
        <f>=辅助表1评估项目基础数据表!$F$7</f>
        <v>0.25</v>
      </c>
      <c r="P20" s="414">
        <f>=辅助表1评估项目基础数据表!$F$7</f>
        <v>0.25</v>
      </c>
      <c r="Q20" s="414">
        <f>=辅助表1评估项目基础数据表!$F$7</f>
        <v>0.25</v>
      </c>
      <c r="R20" s="414">
        <f>=辅助表1评估项目基础数据表!$F$7</f>
        <v>0.25</v>
      </c>
      <c r="S20" s="414">
        <f>=辅助表1评估项目基础数据表!$F$7</f>
        <v>0.25</v>
      </c>
      <c r="T20" s="414">
        <f>=辅助表1评估项目基础数据表!$F$7</f>
        <v>0.25</v>
      </c>
      <c r="U20" s="414">
        <f>=辅助表1评估项目基础数据表!$F$7</f>
        <v>0.25</v>
      </c>
      <c r="V20" s="414">
        <f>=辅助表1评估项目基础数据表!$F$7</f>
        <v>0.25</v>
      </c>
      <c r="W20" s="414">
        <f>=辅助表1评估项目基础数据表!$F$7</f>
        <v>0.25</v>
      </c>
      <c r="X20" s="414">
        <f>=辅助表1评估项目基础数据表!$F$7</f>
        <v>0.25</v>
      </c>
      <c r="Y20" s="414">
        <f>=辅助表1评估项目基础数据表!$F$7</f>
        <v>0.25</v>
      </c>
      <c r="Z20" s="399" t="s">
        <v>585</v>
      </c>
    </row>
    <row r="21" spans="1:26" s="699" customFormat="true" ht="12" customHeight="true">
      <c r="A21" s="413">
        <v>9</v>
      </c>
      <c r="B21" s="402" t="s">
        <v>754</v>
      </c>
      <c r="C21" s="376">
        <f>=SUM(D21:Y21)</f>
        <v>1411.51273140372</v>
      </c>
      <c r="D21" s="376">
        <f>=评估表5损益及利润分配表!D20</f>
        <v>0</v>
      </c>
      <c r="E21" s="376">
        <f>=评估表5损益及利润分配表!E20</f>
        <v>0</v>
      </c>
      <c r="F21" s="376">
        <f>=评估表5损益及利润分配表!F20</f>
        <v>49.1830590435381</v>
      </c>
      <c r="G21" s="376">
        <f>=评估表5损益及利润分配表!G20</f>
        <v>101.267754036669</v>
      </c>
      <c r="H21" s="376">
        <f>=评估表5损益及利润分配表!H20</f>
        <v>108.752805327752</v>
      </c>
      <c r="I21" s="376">
        <f>=评估表5损益及利润分配表!I20</f>
        <v>115.678805415228</v>
      </c>
      <c r="J21" s="376">
        <f>=评估表5损益及利润分配表!J20</f>
        <v>123.531490236786</v>
      </c>
      <c r="K21" s="376">
        <f>=评估表5损益及利润分配表!K20</f>
        <v>130.367029282049</v>
      </c>
      <c r="L21" s="376">
        <f>=评估表5损益及利润分配表!L20</f>
        <v>137.602710204653</v>
      </c>
      <c r="M21" s="376">
        <f>=评估表5损益及利润分配表!M20</f>
        <v>141.063139099835</v>
      </c>
      <c r="N21" s="376">
        <f>=评估表5损益及利润分配表!N20</f>
        <v>115.792334201451</v>
      </c>
      <c r="O21" s="376">
        <f>=评估表5损益及利润分配表!O20</f>
        <v>122.839603859964</v>
      </c>
      <c r="P21" s="376">
        <f>=评估表5损益及利润分配表!P20</f>
        <v>129.239778209783</v>
      </c>
      <c r="Q21" s="376">
        <f>=评估表5损益及利润分配表!Q20</f>
        <v>136.194222486011</v>
      </c>
      <c r="R21" s="376">
        <f>=评估表5损益及利润分配表!R20</f>
        <v>0</v>
      </c>
      <c r="S21" s="376">
        <f>=评估表5损益及利润分配表!S20</f>
        <v>0</v>
      </c>
      <c r="T21" s="376">
        <f>=评估表5损益及利润分配表!T20</f>
        <v>0</v>
      </c>
      <c r="U21" s="376">
        <f>=评估表5损益及利润分配表!U20</f>
        <v>0</v>
      </c>
      <c r="V21" s="376">
        <f>=评估表5损益及利润分配表!V20</f>
        <v>0</v>
      </c>
      <c r="W21" s="376">
        <f>=评估表5损益及利润分配表!W20</f>
        <v>0</v>
      </c>
      <c r="X21" s="376">
        <f>=评估表5损益及利润分配表!X20</f>
        <v>0</v>
      </c>
      <c r="Y21" s="376">
        <f>=评估表5损益及利润分配表!Y20</f>
        <v>0</v>
      </c>
      <c r="Z21" s="399" t="s">
        <v>775</v>
      </c>
    </row>
    <row r="22" spans="1:26" s="699" customFormat="true" ht="12" customHeight="true">
      <c r="A22" s="413">
        <v>10</v>
      </c>
      <c r="B22" s="402" t="s">
        <v>778</v>
      </c>
      <c r="C22" s="376">
        <f>=SUM(D22:Y22)</f>
        <v>1315.80389896875</v>
      </c>
      <c r="D22" s="376">
        <f>=评估表5损益及利润分配表!D21</f>
        <v>0</v>
      </c>
      <c r="E22" s="376">
        <f>=评估表5损益及利润分配表!E21</f>
        <v>0</v>
      </c>
      <c r="F22" s="376">
        <f>=评估表5损益及利润分配表!F21</f>
        <v>147.549177130614</v>
      </c>
      <c r="G22" s="376">
        <f>=评估表5损益及利润分配表!G21</f>
        <v>303.803262110008</v>
      </c>
      <c r="H22" s="376">
        <f>=评估表5损益及利润分配表!H21</f>
        <v>326.258415983256</v>
      </c>
      <c r="I22" s="376">
        <f>=评估表5损益及利润分配表!I21</f>
        <v>347.036416245683</v>
      </c>
      <c r="J22" s="376">
        <f>=评估表5损益及利润分配表!J21</f>
        <v>370.594470710357</v>
      </c>
      <c r="K22" s="376">
        <f>=评估表5损益及利润分配表!K21</f>
        <v>391.101087846147</v>
      </c>
      <c r="L22" s="376">
        <f>=评估表5损益及利润分配表!L21</f>
        <v>412.808130613959</v>
      </c>
      <c r="M22" s="376">
        <f>=评估表5损益及利润分配表!M21</f>
        <v>423.189417299505</v>
      </c>
      <c r="N22" s="376">
        <f>=评估表5损益及利润分配表!N21</f>
        <v>347.377002604352</v>
      </c>
      <c r="O22" s="376">
        <f>=评估表5损益及利润分配表!O21</f>
        <v>368.518811579892</v>
      </c>
      <c r="P22" s="376">
        <f>=评估表5损益及利润分配表!P21</f>
        <v>387.71933462935</v>
      </c>
      <c r="Q22" s="376">
        <f>=评估表5损益及利润分配表!Q21</f>
        <v>408.582667458034</v>
      </c>
      <c r="R22" s="376">
        <f>=评估表5损益及利润分配表!R21</f>
        <v>-364.841786905301</v>
      </c>
      <c r="S22" s="376">
        <f>=评估表5损益及利润分配表!S21</f>
        <v>-364.841786905301</v>
      </c>
      <c r="T22" s="376">
        <f>=评估表5损益及利润分配表!T21</f>
        <v>-364.841786905301</v>
      </c>
      <c r="U22" s="376">
        <f>=评估表5损益及利润分配表!U21</f>
        <v>-364.841786905301</v>
      </c>
      <c r="V22" s="376">
        <f>=评估表5损益及利润分配表!V21</f>
        <v>-364.841786905301</v>
      </c>
      <c r="W22" s="376">
        <f>=评估表5损益及利润分配表!W21</f>
        <v>-364.841786905301</v>
      </c>
      <c r="X22" s="376">
        <f>=评估表5损益及利润分配表!X21</f>
        <v>-364.841786905301</v>
      </c>
      <c r="Y22" s="376">
        <f>=评估表5损益及利润分配表!Y21</f>
        <v>-364.841786905301</v>
      </c>
      <c r="Z22" s="399" t="s">
        <v>775</v>
      </c>
    </row>
    <row r="23" spans="1:26" s="699" customFormat="true" ht="12" customHeight="true">
      <c r="A23" s="413">
        <v>11</v>
      </c>
      <c r="B23" s="402" t="s">
        <v>779</v>
      </c>
      <c r="C23" s="376">
        <f>=SUM(D23:Y23)</f>
        <v>7114.41484465337</v>
      </c>
      <c r="D23" s="376">
        <f>=评估表4总成本费用表!D25</f>
        <v>0</v>
      </c>
      <c r="E23" s="376">
        <f>=评估表4总成本费用表!E25</f>
        <v>0</v>
      </c>
      <c r="F23" s="376">
        <f>=评估表4总成本费用表!F25</f>
        <v>182.42089345265</v>
      </c>
      <c r="G23" s="376">
        <f>=评估表4总成本费用表!G25</f>
        <v>364.841786905301</v>
      </c>
      <c r="H23" s="376">
        <f>=评估表4总成本费用表!H25</f>
        <v>364.841786905301</v>
      </c>
      <c r="I23" s="376">
        <f>=评估表4总成本费用表!I25</f>
        <v>364.841786905301</v>
      </c>
      <c r="J23" s="376">
        <f>=评估表4总成本费用表!J25</f>
        <v>364.841786905301</v>
      </c>
      <c r="K23" s="376">
        <f>=评估表4总成本费用表!K25</f>
        <v>364.841786905301</v>
      </c>
      <c r="L23" s="376">
        <f>=评估表4总成本费用表!L25</f>
        <v>364.841786905301</v>
      </c>
      <c r="M23" s="376">
        <f>=评估表4总成本费用表!M25</f>
        <v>364.841786905301</v>
      </c>
      <c r="N23" s="376">
        <f>=评估表4总成本费用表!N25</f>
        <v>364.841786905301</v>
      </c>
      <c r="O23" s="376">
        <f>=评估表4总成本费用表!O25</f>
        <v>364.841786905301</v>
      </c>
      <c r="P23" s="376">
        <f>=评估表4总成本费用表!P25</f>
        <v>364.841786905301</v>
      </c>
      <c r="Q23" s="376">
        <f>=评估表4总成本费用表!Q25</f>
        <v>364.841786905301</v>
      </c>
      <c r="R23" s="376">
        <f>=评估表4总成本费用表!R25</f>
        <v>364.841786905301</v>
      </c>
      <c r="S23" s="376">
        <f>=评估表4总成本费用表!S25</f>
        <v>364.841786905301</v>
      </c>
      <c r="T23" s="376">
        <f>=评估表4总成本费用表!T25</f>
        <v>364.841786905301</v>
      </c>
      <c r="U23" s="376">
        <f>=评估表4总成本费用表!U25</f>
        <v>364.841786905301</v>
      </c>
      <c r="V23" s="376">
        <f>=评估表4总成本费用表!V25</f>
        <v>364.841786905301</v>
      </c>
      <c r="W23" s="376">
        <f>=评估表4总成本费用表!W25</f>
        <v>364.841786905301</v>
      </c>
      <c r="X23" s="376">
        <f>=评估表4总成本费用表!X25</f>
        <v>364.841786905301</v>
      </c>
      <c r="Y23" s="376">
        <f>=评估表4总成本费用表!Y25</f>
        <v>364.841786905301</v>
      </c>
      <c r="Z23" s="399" t="s">
        <v>644</v>
      </c>
    </row>
    <row r="24" spans="1:26" s="699" customFormat="true" ht="12" customHeight="true">
      <c r="A24" s="413">
        <v>12</v>
      </c>
      <c r="B24" s="402" t="s">
        <v>780</v>
      </c>
      <c r="C24" s="376">
        <f>=SUM(D24:Y24)</f>
        <v>0</v>
      </c>
      <c r="D24" s="376">
        <f>=评估表4总成本费用表!D42</f>
        <v>0</v>
      </c>
      <c r="E24" s="376">
        <f>=评估表4总成本费用表!E42</f>
        <v>0</v>
      </c>
      <c r="F24" s="376">
        <f>=评估表4总成本费用表!F42</f>
        <v>0</v>
      </c>
      <c r="G24" s="376">
        <f>=评估表4总成本费用表!G42</f>
        <v>0</v>
      </c>
      <c r="H24" s="376">
        <f>=评估表4总成本费用表!H42</f>
        <v>0</v>
      </c>
      <c r="I24" s="376">
        <f>=评估表4总成本费用表!I42</f>
        <v>0</v>
      </c>
      <c r="J24" s="376">
        <f>=评估表4总成本费用表!J42</f>
        <v>0</v>
      </c>
      <c r="K24" s="376">
        <f>=评估表4总成本费用表!K42</f>
        <v>0</v>
      </c>
      <c r="L24" s="376">
        <f>=评估表4总成本费用表!L42</f>
        <v>0</v>
      </c>
      <c r="M24" s="376">
        <f>=评估表4总成本费用表!M42</f>
        <v>0</v>
      </c>
      <c r="N24" s="376">
        <f>=评估表4总成本费用表!N42</f>
        <v>0</v>
      </c>
      <c r="O24" s="376">
        <f>=评估表4总成本费用表!O42</f>
        <v>0</v>
      </c>
      <c r="P24" s="376">
        <f>=评估表4总成本费用表!P42</f>
        <v>0</v>
      </c>
      <c r="Q24" s="376">
        <f>=评估表4总成本费用表!Q42</f>
        <v>0</v>
      </c>
      <c r="R24" s="376">
        <f>=评估表4总成本费用表!R42</f>
        <v>0</v>
      </c>
      <c r="S24" s="376">
        <f>=评估表4总成本费用表!S42</f>
        <v>0</v>
      </c>
      <c r="T24" s="376">
        <f>=评估表4总成本费用表!T42</f>
        <v>0</v>
      </c>
      <c r="U24" s="376">
        <f>=评估表4总成本费用表!U42</f>
        <v>0</v>
      </c>
      <c r="V24" s="376">
        <f>=评估表4总成本费用表!V42</f>
        <v>0</v>
      </c>
      <c r="W24" s="376">
        <f>=评估表4总成本费用表!W42</f>
        <v>0</v>
      </c>
      <c r="X24" s="376">
        <f>=评估表4总成本费用表!X42</f>
        <v>0</v>
      </c>
      <c r="Y24" s="376">
        <f>=评估表4总成本费用表!Y42</f>
        <v>0</v>
      </c>
      <c r="Z24" s="399" t="s">
        <v>644</v>
      </c>
    </row>
    <row r="25" spans="1:25" s="699" customFormat="true" ht="12" customHeight="true">
      <c r="A25" s="413">
        <v>13</v>
      </c>
      <c r="B25" s="402" t="s">
        <v>781</v>
      </c>
      <c r="C25" s="376">
        <f>=SUM(D25:Y25)</f>
        <v>0</v>
      </c>
      <c r="D25" s="376">
        <f>=评估表4总成本费用表!D45</f>
        <v>0</v>
      </c>
      <c r="E25" s="376">
        <f>=评估表4总成本费用表!E45</f>
        <v>0</v>
      </c>
      <c r="F25" s="376">
        <f>=评估表4总成本费用表!F45</f>
        <v>0</v>
      </c>
      <c r="G25" s="376">
        <f>=评估表4总成本费用表!G45</f>
        <v>0</v>
      </c>
      <c r="H25" s="376">
        <f>=评估表4总成本费用表!H45</f>
        <v>0</v>
      </c>
      <c r="I25" s="376">
        <f>=评估表4总成本费用表!I45</f>
        <v>0</v>
      </c>
      <c r="J25" s="376">
        <f>=评估表4总成本费用表!J45</f>
        <v>0</v>
      </c>
      <c r="K25" s="376">
        <f>=评估表4总成本费用表!K45</f>
        <v>0</v>
      </c>
      <c r="L25" s="376">
        <f>=评估表4总成本费用表!L45</f>
        <v>0</v>
      </c>
      <c r="M25" s="376">
        <f>=评估表4总成本费用表!M45</f>
        <v>0</v>
      </c>
      <c r="N25" s="376">
        <f>=评估表4总成本费用表!N45</f>
        <v>0</v>
      </c>
      <c r="O25" s="376">
        <f>=评估表4总成本费用表!O45</f>
        <v>0</v>
      </c>
      <c r="P25" s="376">
        <f>=评估表4总成本费用表!P45</f>
        <v>0</v>
      </c>
      <c r="Q25" s="376">
        <f>=评估表4总成本费用表!Q45</f>
        <v>0</v>
      </c>
      <c r="R25" s="376">
        <f>=评估表4总成本费用表!R45</f>
        <v>0</v>
      </c>
      <c r="S25" s="376">
        <f>=评估表4总成本费用表!S45</f>
        <v>0</v>
      </c>
      <c r="T25" s="376">
        <f>=评估表4总成本费用表!T45</f>
        <v>0</v>
      </c>
      <c r="U25" s="376">
        <f>=评估表4总成本费用表!U45</f>
        <v>0</v>
      </c>
      <c r="V25" s="376">
        <f>=评估表4总成本费用表!V45</f>
        <v>0</v>
      </c>
      <c r="W25" s="376">
        <f>=评估表4总成本费用表!W45</f>
        <v>0</v>
      </c>
      <c r="X25" s="376">
        <f>=评估表4总成本费用表!X45</f>
        <v>0</v>
      </c>
      <c r="Y25" s="376">
        <f>=评估表4总成本费用表!Y45</f>
        <v>0</v>
      </c>
    </row>
    <row r="26" spans="1:25" s="699" customFormat="true" ht="12" customHeight="true">
      <c r="A26" s="413">
        <v>14</v>
      </c>
      <c r="B26" s="402" t="s">
        <v>782</v>
      </c>
      <c r="C26" s="376">
        <f>=SUM(D26:Y26)</f>
        <v>0</v>
      </c>
      <c r="D26" s="376">
        <f>=评估表4总成本费用表!D50</f>
        <v>0</v>
      </c>
      <c r="E26" s="376">
        <f>=评估表4总成本费用表!E50</f>
        <v>0</v>
      </c>
      <c r="F26" s="376">
        <f>=评估表4总成本费用表!F50</f>
        <v>0</v>
      </c>
      <c r="G26" s="376">
        <f>=评估表4总成本费用表!G50</f>
        <v>0</v>
      </c>
      <c r="H26" s="376">
        <f>=评估表4总成本费用表!H50</f>
        <v>0</v>
      </c>
      <c r="I26" s="376">
        <f>=评估表4总成本费用表!I50</f>
        <v>0</v>
      </c>
      <c r="J26" s="376">
        <f>=评估表4总成本费用表!J50</f>
        <v>0</v>
      </c>
      <c r="K26" s="376">
        <f>=评估表4总成本费用表!K50</f>
        <v>0</v>
      </c>
      <c r="L26" s="376">
        <f>=评估表4总成本费用表!L50</f>
        <v>0</v>
      </c>
      <c r="M26" s="376">
        <f>=评估表4总成本费用表!M50</f>
        <v>0</v>
      </c>
      <c r="N26" s="376">
        <f>=评估表4总成本费用表!N50</f>
        <v>0</v>
      </c>
      <c r="O26" s="376">
        <f>=评估表4总成本费用表!O50</f>
        <v>0</v>
      </c>
      <c r="P26" s="376">
        <f>=评估表4总成本费用表!P50</f>
        <v>0</v>
      </c>
      <c r="Q26" s="376">
        <f>=评估表4总成本费用表!Q50</f>
        <v>0</v>
      </c>
      <c r="R26" s="376">
        <f>=评估表4总成本费用表!R50</f>
        <v>0</v>
      </c>
      <c r="S26" s="376">
        <f>=评估表4总成本费用表!S50</f>
        <v>0</v>
      </c>
      <c r="T26" s="376">
        <f>=评估表4总成本费用表!T50</f>
        <v>0</v>
      </c>
      <c r="U26" s="376">
        <f>=评估表4总成本费用表!U50</f>
        <v>0</v>
      </c>
      <c r="V26" s="376">
        <f>=评估表4总成本费用表!V50</f>
        <v>0</v>
      </c>
      <c r="W26" s="376">
        <f>=评估表4总成本费用表!W50</f>
        <v>0</v>
      </c>
      <c r="X26" s="376">
        <f>=评估表4总成本费用表!X50</f>
        <v>0</v>
      </c>
      <c r="Y26" s="376">
        <f>=评估表4总成本费用表!Y50</f>
        <v>0</v>
      </c>
    </row>
    <row r="27" spans="1:25" s="699" customFormat="true" ht="12" customHeight="true">
      <c r="A27" s="413">
        <v>15</v>
      </c>
      <c r="B27" s="402" t="s">
        <v>783</v>
      </c>
      <c r="C27" s="376">
        <f>=SUM(D27:Y27)</f>
        <v>1826.63975111125</v>
      </c>
      <c r="D27" s="376">
        <f>=评估表4总成本费用表!D51</f>
        <v>0</v>
      </c>
      <c r="E27" s="376">
        <f>=评估表4总成本费用表!E51</f>
        <v>0</v>
      </c>
      <c r="F27" s="376">
        <f>=评估表4总成本费用表!F51</f>
        <v>157.5</v>
      </c>
      <c r="G27" s="376">
        <f>=评估表4总成本费用表!G51</f>
        <v>301.09540127999</v>
      </c>
      <c r="H27" s="376">
        <f>=评估表4总成本费用表!H51</f>
        <v>272.990062874956</v>
      </c>
      <c r="I27" s="376">
        <f>=评估表4总成本费用表!I51</f>
        <v>244.120800135153</v>
      </c>
      <c r="J27" s="376">
        <f>=评估表4总成本费用表!J51</f>
        <v>214.544669826423</v>
      </c>
      <c r="K27" s="376">
        <f>=评估表4总成本费用表!K51</f>
        <v>184.167094504804</v>
      </c>
      <c r="L27" s="376">
        <f>=评估表4总成本费用表!L51</f>
        <v>153.091884068226</v>
      </c>
      <c r="M27" s="376">
        <f>=评估表4总成本费用表!M51</f>
        <v>121.278200036687</v>
      </c>
      <c r="N27" s="376">
        <f>=评估表4总成本费用表!N51</f>
        <v>89.1113446321059</v>
      </c>
      <c r="O27" s="376">
        <f>=评估表4总成本费用表!O51</f>
        <v>59.5236275754536</v>
      </c>
      <c r="P27" s="376">
        <f>=评估表4总成本费用表!P51</f>
        <v>29.2166661774535</v>
      </c>
      <c r="Q27" s="376">
        <f>=评估表4总成本费用表!Q51</f>
        <v>0</v>
      </c>
      <c r="R27" s="376">
        <f>=评估表4总成本费用表!R51</f>
        <v>0</v>
      </c>
      <c r="S27" s="376">
        <f>=评估表4总成本费用表!S51</f>
        <v>0</v>
      </c>
      <c r="T27" s="376">
        <f>=评估表4总成本费用表!T51</f>
        <v>0</v>
      </c>
      <c r="U27" s="376">
        <f>=评估表4总成本费用表!U51</f>
        <v>0</v>
      </c>
      <c r="V27" s="376">
        <f>=评估表4总成本费用表!V51</f>
        <v>0</v>
      </c>
      <c r="W27" s="376">
        <f>=评估表4总成本费用表!W51</f>
        <v>0</v>
      </c>
      <c r="X27" s="376">
        <f>=评估表4总成本费用表!X51</f>
        <v>0</v>
      </c>
      <c r="Y27" s="376">
        <f>=评估表4总成本费用表!Y51</f>
        <v>0</v>
      </c>
    </row>
    <row r="28" spans="1:25" s="699" customFormat="true" ht="12" customHeight="true">
      <c r="A28" s="413">
        <v>16</v>
      </c>
      <c r="B28" s="373" t="s">
        <v>784</v>
      </c>
      <c r="C28" s="376">
        <f>=SUM(D28:Y28)</f>
        <v>0</v>
      </c>
      <c r="D28" s="376">
        <f>=评估表4总成本费用表!D52</f>
        <v>0</v>
      </c>
      <c r="E28" s="376">
        <f>=评估表4总成本费用表!E52</f>
        <v>0</v>
      </c>
      <c r="F28" s="376">
        <f>=评估表4总成本费用表!F52</f>
        <v>0</v>
      </c>
      <c r="G28" s="376">
        <f>=评估表4总成本费用表!G52</f>
        <v>0</v>
      </c>
      <c r="H28" s="376">
        <f>=评估表4总成本费用表!H52</f>
        <v>0</v>
      </c>
      <c r="I28" s="376">
        <f>=评估表4总成本费用表!I52</f>
        <v>0</v>
      </c>
      <c r="J28" s="376">
        <f>=评估表4总成本费用表!J52</f>
        <v>0</v>
      </c>
      <c r="K28" s="376">
        <f>=评估表4总成本费用表!K52</f>
        <v>0</v>
      </c>
      <c r="L28" s="376">
        <f>=评估表4总成本费用表!L52</f>
        <v>0</v>
      </c>
      <c r="M28" s="376">
        <f>=评估表4总成本费用表!M52</f>
        <v>0</v>
      </c>
      <c r="N28" s="376">
        <f>=评估表4总成本费用表!N52</f>
        <v>0</v>
      </c>
      <c r="O28" s="376">
        <f>=评估表4总成本费用表!O52</f>
        <v>0</v>
      </c>
      <c r="P28" s="376">
        <f>=评估表4总成本费用表!P52</f>
        <v>0</v>
      </c>
      <c r="Q28" s="376">
        <f>=评估表4总成本费用表!Q52</f>
        <v>0</v>
      </c>
      <c r="R28" s="376">
        <f>=评估表4总成本费用表!R52</f>
        <v>0</v>
      </c>
      <c r="S28" s="376">
        <f>=评估表4总成本费用表!S52</f>
        <v>0</v>
      </c>
      <c r="T28" s="376">
        <f>=评估表4总成本费用表!T52</f>
        <v>0</v>
      </c>
      <c r="U28" s="376">
        <f>=评估表4总成本费用表!U52</f>
        <v>0</v>
      </c>
      <c r="V28" s="376">
        <f>=评估表4总成本费用表!V52</f>
        <v>0</v>
      </c>
      <c r="W28" s="376">
        <f>=评估表4总成本费用表!W52</f>
        <v>0</v>
      </c>
      <c r="X28" s="376">
        <f>=评估表4总成本费用表!X52</f>
        <v>0</v>
      </c>
      <c r="Y28" s="376">
        <f>=评估表4总成本费用表!Y52</f>
        <v>0</v>
      </c>
    </row>
    <row r="29" spans="1:25" s="699" customFormat="true" ht="12" customHeight="true">
      <c r="A29" s="413">
        <v>17</v>
      </c>
      <c r="B29" s="373" t="s">
        <v>785</v>
      </c>
      <c r="C29" s="376">
        <f>=SUM(D29:Y29)</f>
        <v>0</v>
      </c>
      <c r="D29" s="376">
        <f>=评估表4总成本费用表!D53</f>
        <v>0</v>
      </c>
      <c r="E29" s="376">
        <f>=评估表4总成本费用表!E53</f>
        <v>0</v>
      </c>
      <c r="F29" s="376">
        <f>=评估表4总成本费用表!F53</f>
        <v>0</v>
      </c>
      <c r="G29" s="376">
        <f>=评估表4总成本费用表!G53</f>
        <v>0</v>
      </c>
      <c r="H29" s="376">
        <f>=评估表4总成本费用表!H53</f>
        <v>0</v>
      </c>
      <c r="I29" s="376">
        <f>=评估表4总成本费用表!I53</f>
        <v>0</v>
      </c>
      <c r="J29" s="376">
        <f>=评估表4总成本费用表!J53</f>
        <v>0</v>
      </c>
      <c r="K29" s="376">
        <f>=评估表4总成本费用表!K53</f>
        <v>0</v>
      </c>
      <c r="L29" s="376">
        <f>=评估表4总成本费用表!L53</f>
        <v>0</v>
      </c>
      <c r="M29" s="376">
        <f>=评估表4总成本费用表!M53</f>
        <v>0</v>
      </c>
      <c r="N29" s="376">
        <f>=评估表4总成本费用表!N53</f>
        <v>0</v>
      </c>
      <c r="O29" s="376">
        <f>=评估表4总成本费用表!O53</f>
        <v>0</v>
      </c>
      <c r="P29" s="376">
        <f>=评估表4总成本费用表!P53</f>
        <v>0</v>
      </c>
      <c r="Q29" s="376">
        <f>=评估表4总成本费用表!Q53</f>
        <v>0</v>
      </c>
      <c r="R29" s="376">
        <f>=评估表4总成本费用表!R53</f>
        <v>0</v>
      </c>
      <c r="S29" s="376">
        <f>=评估表4总成本费用表!S53</f>
        <v>0</v>
      </c>
      <c r="T29" s="376">
        <f>=评估表4总成本费用表!T53</f>
        <v>0</v>
      </c>
      <c r="U29" s="376">
        <f>=评估表4总成本费用表!U53</f>
        <v>0</v>
      </c>
      <c r="V29" s="376">
        <f>=评估表4总成本费用表!V53</f>
        <v>0</v>
      </c>
      <c r="W29" s="376">
        <f>=评估表4总成本费用表!W53</f>
        <v>0</v>
      </c>
      <c r="X29" s="376">
        <f>=评估表4总成本费用表!X53</f>
        <v>0</v>
      </c>
      <c r="Y29" s="376">
        <f>=评估表4总成本费用表!Y53</f>
        <v>0</v>
      </c>
    </row>
    <row r="30" spans="1:25" s="699" customFormat="true" ht="12" customHeight="true">
      <c r="A30" s="413" t="s">
        <v>460</v>
      </c>
      <c r="B30" s="402" t="s">
        <v>861</v>
      </c>
      <c r="C30" s="376">
        <f>=SUM(D30:Y30)</f>
        <v>7000</v>
      </c>
      <c r="D30" s="376">
        <f>=评估表6项目贷款偿还期计算表!E7</f>
        <v>0</v>
      </c>
      <c r="E30" s="376">
        <f>=评估表6项目贷款偿还期计算表!F7</f>
        <v>7000</v>
      </c>
      <c r="F30" s="376">
        <f>=评估表6项目贷款偿还期计算表!G7</f>
        <v>0</v>
      </c>
      <c r="G30" s="376">
        <f>=评估表6项目贷款偿还期计算表!H7</f>
        <v>0</v>
      </c>
      <c r="H30" s="376">
        <f>=评估表6项目贷款偿还期计算表!I7</f>
        <v>0</v>
      </c>
      <c r="I30" s="376">
        <f>=评估表6项目贷款偿还期计算表!J7</f>
        <v>0</v>
      </c>
      <c r="J30" s="376">
        <f>=评估表6项目贷款偿还期计算表!K7</f>
        <v>0</v>
      </c>
      <c r="K30" s="376">
        <f>=评估表6项目贷款偿还期计算表!L7</f>
        <v>0</v>
      </c>
      <c r="L30" s="376">
        <f>=评估表6项目贷款偿还期计算表!M7</f>
        <v>0</v>
      </c>
      <c r="M30" s="376">
        <f>=评估表6项目贷款偿还期计算表!N7</f>
        <v>0</v>
      </c>
      <c r="N30" s="376">
        <f>=评估表6项目贷款偿还期计算表!O7</f>
        <v>0</v>
      </c>
      <c r="O30" s="376">
        <f>=评估表6项目贷款偿还期计算表!P7</f>
        <v>0</v>
      </c>
      <c r="P30" s="376">
        <f>=评估表6项目贷款偿还期计算表!Q7</f>
        <v>0</v>
      </c>
      <c r="Q30" s="376">
        <f>=评估表6项目贷款偿还期计算表!R7</f>
        <v>0</v>
      </c>
      <c r="R30" s="376">
        <f>=评估表6项目贷款偿还期计算表!S7</f>
        <v>0</v>
      </c>
      <c r="S30" s="376">
        <f>=评估表6项目贷款偿还期计算表!T7</f>
        <v>0</v>
      </c>
      <c r="T30" s="376">
        <f>=评估表6项目贷款偿还期计算表!U7</f>
        <v>0</v>
      </c>
      <c r="U30" s="376">
        <f>=评估表6项目贷款偿还期计算表!V7</f>
        <v>0</v>
      </c>
      <c r="V30" s="376">
        <f>=评估表6项目贷款偿还期计算表!W7</f>
        <v>0</v>
      </c>
      <c r="W30" s="376">
        <f>=评估表6项目贷款偿还期计算表!X7</f>
        <v>0</v>
      </c>
      <c r="X30" s="376">
        <f>=评估表6项目贷款偿还期计算表!Y7</f>
        <v>0</v>
      </c>
      <c r="Y30" s="376">
        <f>=评估表6项目贷款偿还期计算表!Z7</f>
        <v>0</v>
      </c>
    </row>
    <row r="31" spans="1:26" s="699" customFormat="true" ht="12" customHeight="true">
      <c r="A31" s="416" t="s">
        <v>469</v>
      </c>
      <c r="B31" s="471" t="s">
        <v>570</v>
      </c>
      <c r="C31" s="472">
        <f>=NPV(辅助表1评估项目基础数据表!$F$15,评估表10债务期内的债务偿付比率计算表!D33:Y33)/NPV(辅助表1评估项目基础数据表!$F$15,评估表10债务期内的债务偿付比率计算表!D30:Y30)</f>
        <v>1.02090474037784</v>
      </c>
      <c r="D31" s="473" t="s"/>
      <c r="E31" s="473" t="s"/>
      <c r="F31" s="473" t="s"/>
      <c r="G31" s="473" t="s"/>
      <c r="H31" s="473" t="s"/>
      <c r="I31" s="473" t="s"/>
      <c r="J31" s="473" t="s"/>
      <c r="K31" s="473" t="s"/>
      <c r="L31" s="473" t="s"/>
      <c r="M31" s="473" t="s"/>
      <c r="N31" s="473" t="s"/>
      <c r="O31" s="473" t="s"/>
      <c r="P31" s="473" t="s"/>
      <c r="Q31" s="473" t="s"/>
      <c r="R31" s="473" t="s"/>
      <c r="S31" s="473" t="s"/>
      <c r="T31" s="473" t="s"/>
      <c r="U31" s="473" t="s"/>
      <c r="V31" s="473" t="s"/>
      <c r="W31" s="473" t="s"/>
      <c r="X31" s="473" t="s"/>
      <c r="Y31" s="473" t="s"/>
      <c r="Z31" s="399" t="s">
        <v>862</v>
      </c>
    </row>
    <row r="32" spans="3:26" s="699" customFormat="true" ht="12" customHeight="true">
      <c r="C32" s="427" t="s"/>
      <c r="D32" s="474">
        <f>=评估表6项目贷款偿还期计算表!E6</f>
        <v>0</v>
      </c>
      <c r="E32" s="474">
        <f>=评估表6项目贷款偿还期计算表!F6</f>
        <v>0</v>
      </c>
      <c r="F32" s="474">
        <f>=评估表6项目贷款偿还期计算表!G6</f>
        <v>7000</v>
      </c>
      <c r="G32" s="474">
        <f>=评估表6项目贷款偿还期计算表!H6</f>
        <v>6691.00891733312</v>
      </c>
      <c r="H32" s="474">
        <f>=评估表6项目贷款偿还期计算表!I6</f>
        <v>6066.44584166569</v>
      </c>
      <c r="I32" s="474">
        <f>=评估表6项目贷款偿还期计算表!J6</f>
        <v>5424.90666967007</v>
      </c>
      <c r="J32" s="474">
        <f>=评估表6项目贷款偿还期计算表!K6</f>
        <v>4767.65932947607</v>
      </c>
      <c r="K32" s="474">
        <f>=评估表6项目贷款偿还期计算表!L6</f>
        <v>4092.60210010676</v>
      </c>
      <c r="L32" s="474">
        <f>=评估表6项目贷款偿还期计算表!M6</f>
        <v>3402.04186818281</v>
      </c>
      <c r="M32" s="474">
        <f>=评估表6项目贷款偿还期计算表!N6</f>
        <v>2695.07111192638</v>
      </c>
      <c r="N32" s="474">
        <f>=评估表6项目贷款偿还期计算表!O6</f>
        <v>1980.25210293569</v>
      </c>
      <c r="O32" s="474">
        <f>=评估表6项目贷款偿还期计算表!P6</f>
        <v>1322.74727945453</v>
      </c>
      <c r="P32" s="474">
        <f>=评估表6项目贷款偿还期计算表!Q6</f>
        <v>649.259248387856</v>
      </c>
      <c r="Q32" s="474">
        <f>=评估表6项目贷款偿还期计算表!R6</f>
        <v>0</v>
      </c>
      <c r="R32" s="474">
        <f>=评估表6项目贷款偿还期计算表!S6</f>
        <v>0</v>
      </c>
      <c r="S32" s="474">
        <f>=评估表6项目贷款偿还期计算表!T6</f>
        <v>0</v>
      </c>
      <c r="T32" s="474">
        <f>=评估表6项目贷款偿还期计算表!U6</f>
        <v>0</v>
      </c>
      <c r="U32" s="474">
        <f>=评估表6项目贷款偿还期计算表!V6</f>
        <v>0</v>
      </c>
      <c r="V32" s="474">
        <f>=评估表6项目贷款偿还期计算表!W6</f>
        <v>0</v>
      </c>
      <c r="W32" s="474">
        <f>=评估表6项目贷款偿还期计算表!X6</f>
        <v>0</v>
      </c>
      <c r="X32" s="474">
        <f>=评估表6项目贷款偿还期计算表!Y6</f>
        <v>0</v>
      </c>
      <c r="Y32" s="474">
        <f>=评估表6项目贷款偿还期计算表!Z6</f>
        <v>0</v>
      </c>
      <c r="Z32" s="399" t="s">
        <v>590</v>
      </c>
    </row>
    <row r="33" spans="3:25" s="699" customFormat="true" ht="12" customHeight="true">
      <c r="C33" s="427" t="s"/>
      <c r="D33" s="474">
        <f>=IF(D32&gt;0.001,D$11,0)</f>
        <v>0</v>
      </c>
      <c r="E33" s="474">
        <f>=IF(E32&gt;0.001,E$11,0)</f>
        <v>0</v>
      </c>
      <c r="F33" s="474">
        <f>=IF(F32&gt;0.001,F$11,0)</f>
        <v>487.470070583265</v>
      </c>
      <c r="G33" s="474">
        <f>=IF(G32&gt;0.001,G$11,0)</f>
        <v>969.740450295299</v>
      </c>
      <c r="H33" s="474">
        <f>=IF(H32&gt;0.001,H$11,0)</f>
        <v>964.090265763513</v>
      </c>
      <c r="I33" s="474">
        <f>=IF(I32&gt;0.001,I$11,0)</f>
        <v>955.999003286137</v>
      </c>
      <c r="J33" s="474">
        <f>=IF(J32&gt;0.001,J$11,0)</f>
        <v>949.980927442081</v>
      </c>
      <c r="K33" s="474">
        <f>=IF(K32&gt;0.001,K$11,0)</f>
        <v>940.109969256252</v>
      </c>
      <c r="L33" s="474">
        <f>=IF(L32&gt;0.001,L$11,0)</f>
        <v>930.741801587486</v>
      </c>
      <c r="M33" s="474">
        <f>=IF(M32&gt;0.001,M$11,0)</f>
        <v>909.309404241493</v>
      </c>
      <c r="N33" s="474">
        <f>=IF(N32&gt;0.001,N$11,0)</f>
        <v>801.330134141759</v>
      </c>
      <c r="O33" s="474">
        <f>=IF(O32&gt;0.001,O$11,0)</f>
        <v>792.884226060646</v>
      </c>
      <c r="P33" s="474">
        <f>=IF(P32&gt;0.001,P$11,0)</f>
        <v>781.777787712104</v>
      </c>
      <c r="Q33" s="474">
        <f>=IF(Q32&gt;0.001,Q$11,0)</f>
        <v>0</v>
      </c>
      <c r="R33" s="474">
        <f>=IF(R32&gt;0.001,R$11,0)</f>
        <v>0</v>
      </c>
      <c r="S33" s="474">
        <f>=IF(S32&gt;0.001,S$11,0)</f>
        <v>0</v>
      </c>
      <c r="T33" s="474">
        <f>=IF(T32&gt;0.001,T$11,0)</f>
        <v>0</v>
      </c>
      <c r="U33" s="474">
        <f>=IF(U32&gt;0.001,U$11,0)</f>
        <v>0</v>
      </c>
      <c r="V33" s="474">
        <f>=IF(V32&gt;0.001,V$11,0)</f>
        <v>0</v>
      </c>
      <c r="W33" s="474">
        <f>=IF(W32&gt;0.001,W$11,0)</f>
        <v>0</v>
      </c>
      <c r="X33" s="474">
        <f>=IF(X32&gt;0.001,X$11,0)</f>
        <v>0</v>
      </c>
      <c r="Y33" s="474">
        <f>=IF(Y32&gt;0.001,Y$11,0)</f>
        <v>0</v>
      </c>
    </row>
    <row r="34" spans="1:26" s="699" customFormat="true" ht="12" customHeight="true"/>
    <row r="35" spans="1:26" s="699" customFormat="true" ht="12" customHeight="true"/>
    <row r="36" spans="1:26" s="699" customFormat="true" ht="12" customHeight="true"/>
  </sheetData>
  <sheetProtection/>
  <mergeCells count="3">
    <mergeCell ref="A3:A4"/>
    <mergeCell ref="B3:B4"/>
    <mergeCell ref="C3:C4"/>
  </mergeCells>
  <pageMargins left="0.75" right="0.75" top="1" bottom="1" header="0.5" footer="0.5"/>
  <pageSetup paperSize="9" orientation="landscape" blackAndWhite="true"/>
  <headerFooter alignWithMargins="false"/>
  <legacyDrawing r:id="rId0"/>
</worksheet>
</file>

<file path=xl/worksheets/sheet12.xml><?xml version="1.0" encoding="utf-8"?>
<worksheet xmlns="http://schemas.openxmlformats.org/spreadsheetml/2006/main">
  <sheetPr/>
  <dimension ref="AA36"/>
  <sheetViews>
    <sheetView showGridLines="true" showZeros="false" topLeftCell="A1" workbookViewId="0"/>
  </sheetViews>
  <sheetFormatPr defaultColWidth="9" defaultRowHeight="11.25"/>
  <cols>
    <col min="1" max="1" width="12.5" style="706"/>
    <col min="2" max="21" width="9.625" style="706"/>
    <col min="22" max="22" width="9" style="706"/>
    <col min="23" max="23" width="8.875" style="706"/>
    <col min="24" max="24" width="9" style="706" hidden="true"/>
    <col min="25" max="26" width="9" style="706"/>
  </cols>
  <sheetData>
    <row r="1" spans="1:21" ht="22.5" customHeight="true">
      <c r="A1" s="639" t="s">
        <v>1319</v>
      </c>
      <c r="B1" s="640" t="s"/>
      <c r="C1" s="640" t="s"/>
      <c r="D1" s="640" t="s"/>
      <c r="E1" s="640" t="s"/>
      <c r="F1" s="640" t="s"/>
      <c r="G1" s="640" t="s"/>
      <c r="H1" s="640" t="s"/>
      <c r="I1" s="640" t="s"/>
      <c r="J1" s="640" t="s"/>
      <c r="K1" s="640" t="s"/>
      <c r="L1" s="640" t="s"/>
      <c r="M1" s="640" t="s"/>
      <c r="N1" s="640" t="s"/>
      <c r="O1" s="640" t="s"/>
      <c r="P1" s="640" t="s"/>
      <c r="Q1" s="640" t="s"/>
      <c r="R1" s="640" t="s"/>
      <c r="S1" s="640" t="s"/>
      <c r="T1" s="640" t="s"/>
      <c r="U1" s="640" t="s"/>
    </row>
    <row r="2" spans="1:3" ht="10.8">
      <c r="A2" s="641" t="s"/>
      <c r="B2" s="642" t="s"/>
      <c r="C2" s="642" t="s"/>
    </row>
    <row r="3" spans="1:17" ht="20.25" customHeight="true">
      <c r="A3" s="643" t="s">
        <v>1320</v>
      </c>
      <c r="Q3" s="641" t="s">
        <v>1321</v>
      </c>
    </row>
    <row r="4" spans="1:21" ht="42" customHeight="true">
      <c r="A4" s="644" t="s">
        <v>1322</v>
      </c>
      <c r="B4" s="644" t="s">
        <v>1323</v>
      </c>
      <c r="C4" s="644" t="s">
        <v>1324</v>
      </c>
      <c r="D4" s="644" t="s">
        <v>1325</v>
      </c>
      <c r="E4" s="644" t="s">
        <v>1326</v>
      </c>
      <c r="F4" s="644" t="s">
        <v>1327</v>
      </c>
      <c r="G4" s="644" t="s">
        <v>1328</v>
      </c>
      <c r="H4" s="644" t="s">
        <v>1329</v>
      </c>
      <c r="I4" s="644" t="s">
        <v>1330</v>
      </c>
      <c r="J4" s="644" t="s">
        <v>1331</v>
      </c>
      <c r="K4" s="644" t="s">
        <v>1332</v>
      </c>
      <c r="L4" s="644" t="s">
        <v>1333</v>
      </c>
      <c r="M4" s="644" t="s">
        <v>1334</v>
      </c>
      <c r="N4" s="644" t="s">
        <v>1335</v>
      </c>
      <c r="O4" s="644" t="s">
        <v>1336</v>
      </c>
      <c r="P4" s="644" t="s">
        <v>1337</v>
      </c>
      <c r="Q4" s="644" t="s">
        <v>1338</v>
      </c>
      <c r="R4" s="644" t="s">
        <v>1339</v>
      </c>
      <c r="S4" s="644" t="s">
        <v>1340</v>
      </c>
      <c r="T4" s="644" t="s">
        <v>1341</v>
      </c>
      <c r="U4" s="644" t="s">
        <v>1320</v>
      </c>
    </row>
    <row r="5" spans="1:24" s="704" customFormat="true" ht="12" customHeight="true">
      <c r="A5" s="645" t="s">
        <v>1342</v>
      </c>
      <c r="B5" s="646" t="s"/>
      <c r="C5" s="647" t="s"/>
      <c r="D5" s="648" t="s"/>
      <c r="E5" s="648" t="s"/>
      <c r="F5" s="649">
        <f>=IF(C5&lt;=12,B5*(D5-E5)*C5/12,B5*(D5-E5))</f>
        <v>0</v>
      </c>
      <c r="G5" s="650" t="s"/>
      <c r="H5" s="649">
        <f>=IF(C5&lt;=12,B5*C5/12*G5,B5*G5)</f>
        <v>0</v>
      </c>
      <c r="I5" s="650" t="s"/>
      <c r="J5" s="649">
        <f>=IF(C5&lt;=12,B5*D5/12*C5*I5,B5*D5*I5)</f>
        <v>0</v>
      </c>
      <c r="K5" s="648" t="s"/>
      <c r="L5" s="648" t="s"/>
      <c r="M5" s="648" t="s"/>
      <c r="N5" s="649">
        <f>=IF(C5&lt;=12,(K5*L5+M5)*B5*C5/12,(K5*L5+M5)*B5)</f>
        <v>0</v>
      </c>
      <c r="O5" s="648" t="s"/>
      <c r="P5" s="650" t="s"/>
      <c r="Q5" s="648" t="s"/>
      <c r="R5" s="648" t="s"/>
      <c r="S5" s="649">
        <f>=IF(C5&lt;=12,O5*P5*(Q5+R5)*B5*C5/12,O5*P5*(Q5+R5)*B5)</f>
        <v>0</v>
      </c>
      <c r="T5" s="650" t="s"/>
      <c r="U5" s="649">
        <f>=F5-H5-J5-N5-S5</f>
        <v>0</v>
      </c>
      <c r="X5" s="651" t="s">
        <v>1343</v>
      </c>
    </row>
    <row r="6" spans="1:24" s="704" customFormat="true" ht="12" customHeight="true">
      <c r="A6" s="645" t="s">
        <v>1344</v>
      </c>
      <c r="B6" s="646" t="s"/>
      <c r="C6" s="647" t="s"/>
      <c r="D6" s="648" t="s"/>
      <c r="E6" s="648" t="s"/>
      <c r="F6" s="649">
        <f>=IF(C6&lt;=12,B6*(D6-E6)*C6/12,B6*(D6-E6))</f>
        <v>0</v>
      </c>
      <c r="G6" s="650" t="s"/>
      <c r="H6" s="649">
        <f>=IF(C6&lt;=12,B6*C6/12*G6,B6*G6)</f>
        <v>0</v>
      </c>
      <c r="I6" s="650" t="s"/>
      <c r="J6" s="649">
        <f>=IF(C6&lt;=12,B6*D6/12*C6*I6,B6*D6*I6)</f>
        <v>0</v>
      </c>
      <c r="K6" s="648" t="s"/>
      <c r="L6" s="648" t="s"/>
      <c r="M6" s="648" t="s"/>
      <c r="N6" s="649">
        <f>=IF(C6&lt;=12,(K6*L6+M6)*B6*C6/12,(K6*L6+M6)*B6)</f>
        <v>0</v>
      </c>
      <c r="O6" s="648" t="s"/>
      <c r="P6" s="650" t="s"/>
      <c r="Q6" s="648" t="s"/>
      <c r="R6" s="648" t="s"/>
      <c r="S6" s="649">
        <f>=IF(C6&lt;=12,O6*P6*(Q6+R6)*B6*C6/12,O6*P6*(Q6+R6)*B6)</f>
        <v>0</v>
      </c>
      <c r="T6" s="650" t="s"/>
      <c r="U6" s="649">
        <f>=F6-H6-J6-N6-S6</f>
        <v>0</v>
      </c>
      <c r="X6" s="651" t="s">
        <v>1345</v>
      </c>
    </row>
    <row r="7" spans="1:24" s="704" customFormat="true" ht="12" customHeight="true">
      <c r="A7" s="645" t="s">
        <v>1346</v>
      </c>
      <c r="B7" s="646" t="s"/>
      <c r="C7" s="647" t="s"/>
      <c r="D7" s="648" t="s"/>
      <c r="E7" s="648" t="s"/>
      <c r="F7" s="649">
        <f>=IF(C7&lt;=12,B7*(D7-E7)*C7/12,B7*(D7-E7))</f>
        <v>0</v>
      </c>
      <c r="G7" s="650" t="s"/>
      <c r="H7" s="649">
        <f>=IF(C7&lt;=12,B7*C7/12*G7,B7*G7)</f>
        <v>0</v>
      </c>
      <c r="I7" s="650" t="s"/>
      <c r="J7" s="649">
        <f>=IF(C7&lt;=12,B7*D7/12*C7*I7,B7*D7*I7)</f>
        <v>0</v>
      </c>
      <c r="K7" s="648" t="s"/>
      <c r="L7" s="648" t="s"/>
      <c r="M7" s="648" t="s"/>
      <c r="N7" s="649">
        <f>=IF(C7&lt;=12,(K7*L7+M7)*B7*C7/12,(K7*L7+M7)*B7)</f>
        <v>0</v>
      </c>
      <c r="O7" s="648" t="s"/>
      <c r="P7" s="650" t="s"/>
      <c r="Q7" s="650" t="s"/>
      <c r="R7" s="648" t="s"/>
      <c r="S7" s="649">
        <f>=IF(C7&lt;=12,O7*P7*(Q7+R7)*B7*C7/12,O7*P7*(Q7+R7)*B7)</f>
        <v>0</v>
      </c>
      <c r="T7" s="650" t="s"/>
      <c r="U7" s="649">
        <f>=F7-H7-J7-N7-S7</f>
        <v>0</v>
      </c>
      <c r="X7" s="651" t="s">
        <v>1347</v>
      </c>
    </row>
    <row r="8" spans="1:24" s="704" customFormat="true" ht="12" customHeight="true">
      <c r="A8" s="645" t="s">
        <v>1348</v>
      </c>
      <c r="B8" s="646" t="s"/>
      <c r="C8" s="647" t="s"/>
      <c r="D8" s="648" t="s"/>
      <c r="E8" s="648" t="s"/>
      <c r="F8" s="649">
        <f>=IF(C8&lt;=12,B8*(D8-E8)*C8/12,B8*(D8-E8))</f>
        <v>0</v>
      </c>
      <c r="G8" s="650" t="s"/>
      <c r="H8" s="649">
        <f>=IF(C8&lt;=12,B8*C8/12*G8,B8*G8)</f>
        <v>0</v>
      </c>
      <c r="I8" s="650" t="s"/>
      <c r="J8" s="649">
        <f>=IF(C8&lt;=12,B8*D8/12*C8*I8,B8*D8*I8)</f>
        <v>0</v>
      </c>
      <c r="K8" s="648" t="s"/>
      <c r="L8" s="648" t="s"/>
      <c r="M8" s="648" t="s"/>
      <c r="N8" s="649">
        <f>=IF(C8&lt;=12,(K8*L8+M8)*B8*C8/12,(K8*L8+M8)*B8)</f>
        <v>0</v>
      </c>
      <c r="O8" s="648" t="s"/>
      <c r="P8" s="650" t="s"/>
      <c r="Q8" s="650" t="s"/>
      <c r="R8" s="648" t="s"/>
      <c r="S8" s="649">
        <f>=IF(C8&lt;=12,O8*P8*(Q8+R8)*B8*C8/12,O8*P8*(Q8+R8)*B8)</f>
        <v>0</v>
      </c>
      <c r="T8" s="650" t="s"/>
      <c r="U8" s="649">
        <f>=F8-H8-J8-N8-S8</f>
        <v>0</v>
      </c>
      <c r="X8" s="651" t="s">
        <v>1349</v>
      </c>
    </row>
    <row r="9" spans="1:21" s="704" customFormat="true" ht="12" customHeight="true">
      <c r="A9" s="645" t="s">
        <v>1350</v>
      </c>
      <c r="B9" s="646" t="s"/>
      <c r="C9" s="647" t="s"/>
      <c r="D9" s="648" t="s"/>
      <c r="E9" s="648" t="s"/>
      <c r="F9" s="649">
        <f>=IF(C9&lt;=12,B9*(D9-E9)*C9/12,B9*(D9-E9))</f>
        <v>0</v>
      </c>
      <c r="G9" s="650" t="s"/>
      <c r="H9" s="649">
        <f>=IF(C9&lt;=12,B9*C9/12*G9,B9*G9)</f>
        <v>0</v>
      </c>
      <c r="I9" s="650" t="s"/>
      <c r="J9" s="649">
        <f>=IF(C9&lt;=12,B9*D9/12*C9*I9,B9*D9*I9)</f>
        <v>0</v>
      </c>
      <c r="K9" s="648" t="s"/>
      <c r="L9" s="648" t="s"/>
      <c r="M9" s="648" t="s"/>
      <c r="N9" s="649">
        <f>=IF(C9&lt;=12,(K9*L9+M9)*B9*C9/12,(K9*L9+M9)*B9)</f>
        <v>0</v>
      </c>
      <c r="O9" s="648" t="s"/>
      <c r="P9" s="650" t="s"/>
      <c r="Q9" s="650" t="s"/>
      <c r="R9" s="648" t="s"/>
      <c r="S9" s="649">
        <f>=IF(C9&lt;=12,O9*P9*(Q9+R9)*B9*C9/12,O9*P9*(Q9+R9)*B9)</f>
        <v>0</v>
      </c>
      <c r="T9" s="650" t="s"/>
      <c r="U9" s="649">
        <f>=F9-H9-J9-N9-S9</f>
        <v>0</v>
      </c>
    </row>
    <row r="10" spans="1:21" ht="42" customHeight="true">
      <c r="A10" s="644" t="s">
        <v>1322</v>
      </c>
      <c r="B10" s="644" t="s">
        <v>1323</v>
      </c>
      <c r="C10" s="652" t="s"/>
      <c r="D10" s="644" t="s">
        <v>1351</v>
      </c>
      <c r="E10" s="644" t="s">
        <v>1352</v>
      </c>
      <c r="F10" s="644" t="s">
        <v>1327</v>
      </c>
      <c r="G10" s="644" t="s">
        <v>1328</v>
      </c>
      <c r="H10" s="644" t="s">
        <v>1329</v>
      </c>
      <c r="I10" s="644" t="s">
        <v>1330</v>
      </c>
      <c r="J10" s="644" t="s">
        <v>1331</v>
      </c>
      <c r="K10" s="644" t="s">
        <v>1332</v>
      </c>
      <c r="L10" s="644" t="s">
        <v>1333</v>
      </c>
      <c r="M10" s="644" t="s">
        <v>1334</v>
      </c>
      <c r="N10" s="644" t="s">
        <v>1335</v>
      </c>
      <c r="O10" s="644" t="s">
        <v>1336</v>
      </c>
      <c r="P10" s="644" t="s">
        <v>1337</v>
      </c>
      <c r="Q10" s="644" t="s">
        <v>1338</v>
      </c>
      <c r="R10" s="644" t="s">
        <v>1339</v>
      </c>
      <c r="S10" s="644" t="s">
        <v>1340</v>
      </c>
      <c r="T10" s="644" t="s">
        <v>1341</v>
      </c>
      <c r="U10" s="644" t="s">
        <v>1320</v>
      </c>
    </row>
    <row r="11" spans="1:21" s="704" customFormat="true" ht="12" customHeight="true">
      <c r="A11" s="645" t="s">
        <v>1353</v>
      </c>
      <c r="B11" s="646" t="s"/>
      <c r="C11" s="653" t="s"/>
      <c r="D11" s="648" t="s"/>
      <c r="E11" s="648" t="s"/>
      <c r="F11" s="649">
        <f>=B11*(D11-E11)</f>
        <v>0</v>
      </c>
      <c r="G11" s="650" t="s"/>
      <c r="H11" s="649">
        <f>=B11*G11</f>
        <v>0</v>
      </c>
      <c r="I11" s="650" t="s"/>
      <c r="J11" s="649">
        <f>=B11*D11*I11</f>
        <v>0</v>
      </c>
      <c r="K11" s="648" t="s"/>
      <c r="L11" s="648" t="s"/>
      <c r="M11" s="648" t="s"/>
      <c r="N11" s="649">
        <f>=(K11*L11+M11)*B11</f>
        <v>0</v>
      </c>
      <c r="O11" s="648" t="s"/>
      <c r="P11" s="650" t="s"/>
      <c r="Q11" s="648" t="s"/>
      <c r="R11" s="648" t="s"/>
      <c r="S11" s="649">
        <f>=O11*P11*(Q11+R11)*B11</f>
        <v>0</v>
      </c>
      <c r="T11" s="650" t="s"/>
      <c r="U11" s="649">
        <f>=F11-H11-J11-N11-S11</f>
        <v>0</v>
      </c>
    </row>
    <row r="12" spans="1:21" s="704" customFormat="true" ht="12" customHeight="true">
      <c r="A12" s="645" t="s">
        <v>1354</v>
      </c>
      <c r="B12" s="646" t="s"/>
      <c r="C12" s="653" t="s"/>
      <c r="D12" s="648" t="s"/>
      <c r="E12" s="648" t="s"/>
      <c r="F12" s="649">
        <f>=B12*(D12-E12)</f>
        <v>0</v>
      </c>
      <c r="G12" s="648" t="s"/>
      <c r="H12" s="649">
        <f>=B12*G12</f>
        <v>0</v>
      </c>
      <c r="I12" s="650" t="s"/>
      <c r="J12" s="649">
        <f>=B12*D12*I12</f>
        <v>0</v>
      </c>
      <c r="K12" s="648" t="s"/>
      <c r="L12" s="648" t="s"/>
      <c r="M12" s="648" t="s"/>
      <c r="N12" s="649">
        <f>=(K12*L12+M12)*B12</f>
        <v>0</v>
      </c>
      <c r="O12" s="648" t="s"/>
      <c r="P12" s="650" t="s"/>
      <c r="Q12" s="650" t="s"/>
      <c r="R12" s="648" t="s"/>
      <c r="S12" s="649">
        <f>=O12*P12*(Q12+R12)*B12</f>
        <v>0</v>
      </c>
      <c r="T12" s="650" t="s"/>
      <c r="U12" s="649">
        <f>=F12-H12-J12-N12-S12</f>
        <v>0</v>
      </c>
    </row>
    <row r="13" spans="1:21" s="704" customFormat="true" ht="12" customHeight="true">
      <c r="A13" s="645" t="s">
        <v>1355</v>
      </c>
      <c r="B13" s="646" t="s"/>
      <c r="C13" s="653" t="s"/>
      <c r="D13" s="648" t="s"/>
      <c r="E13" s="648" t="s"/>
      <c r="F13" s="649">
        <f>=B13*(D13-E13)</f>
        <v>0</v>
      </c>
      <c r="G13" s="648" t="s"/>
      <c r="H13" s="649">
        <f>=B13*G13</f>
        <v>0</v>
      </c>
      <c r="I13" s="650" t="s"/>
      <c r="J13" s="649">
        <f>=B13*D13*I13</f>
        <v>0</v>
      </c>
      <c r="K13" s="648" t="s"/>
      <c r="L13" s="648" t="s"/>
      <c r="M13" s="648" t="s"/>
      <c r="N13" s="649">
        <f>=(K13*L13+M13)*B13</f>
        <v>0</v>
      </c>
      <c r="O13" s="648" t="s"/>
      <c r="P13" s="650" t="s"/>
      <c r="Q13" s="650" t="s"/>
      <c r="R13" s="648" t="s"/>
      <c r="S13" s="649">
        <f>=O13*P13*(Q13+R13)*B13</f>
        <v>0</v>
      </c>
      <c r="T13" s="650" t="s"/>
      <c r="U13" s="649">
        <f>=F13-H13-J13-N13-S13</f>
        <v>0</v>
      </c>
    </row>
    <row r="14" spans="1:1" ht="20.15" customHeight="true">
      <c r="A14" s="643" t="s">
        <v>1356</v>
      </c>
    </row>
    <row r="15" spans="1:21" ht="24" customHeight="true">
      <c r="A15" s="644" t="s">
        <v>1357</v>
      </c>
      <c r="B15" s="644" t="s">
        <v>1358</v>
      </c>
      <c r="C15" s="644" t="s">
        <v>1359</v>
      </c>
      <c r="D15" s="654" t="s"/>
      <c r="E15" s="644" t="s">
        <v>1360</v>
      </c>
      <c r="F15" s="654" t="s"/>
      <c r="G15" s="644" t="s">
        <v>1361</v>
      </c>
      <c r="H15" s="654" t="s"/>
      <c r="I15" s="644" t="s">
        <v>1362</v>
      </c>
      <c r="J15" s="654" t="s"/>
      <c r="K15" s="644" t="s">
        <v>1363</v>
      </c>
      <c r="L15" s="654" t="s"/>
      <c r="M15" s="644" t="s">
        <v>1364</v>
      </c>
      <c r="N15" s="654" t="s"/>
      <c r="O15" s="644" t="s">
        <v>1356</v>
      </c>
      <c r="P15" s="652" t="s"/>
      <c r="Q15" s="652" t="s"/>
      <c r="R15" s="652" t="s"/>
      <c r="S15" s="652" t="s"/>
      <c r="T15" s="652" t="s"/>
      <c r="U15" s="652" t="s"/>
    </row>
    <row r="16" spans="1:21" s="704" customFormat="true" ht="12" customHeight="true">
      <c r="A16" s="655" t="s">
        <v>1365</v>
      </c>
      <c r="B16" s="646" t="s"/>
      <c r="C16" s="647" t="s"/>
      <c r="D16" s="656" t="s"/>
      <c r="E16" s="648" t="s"/>
      <c r="F16" s="657" t="s"/>
      <c r="G16" s="648" t="s"/>
      <c r="H16" s="657" t="s"/>
      <c r="I16" s="658">
        <f>=IF(C16&lt;12,B16*(G16-E16)*C16/12,B16*(G16-E16))</f>
        <v>0</v>
      </c>
      <c r="J16" s="659" t="s"/>
      <c r="K16" s="660" t="s"/>
      <c r="L16" s="244" t="s"/>
      <c r="M16" s="649">
        <f>=IF(C16&lt;12,B16*K16*C16/12,B16*K16)</f>
        <v>0</v>
      </c>
      <c r="N16" s="242" t="s"/>
      <c r="O16" s="649">
        <f>=I16-M16</f>
        <v>0</v>
      </c>
      <c r="P16" s="661" t="s"/>
      <c r="Q16" s="661" t="s"/>
      <c r="R16" s="661" t="s"/>
      <c r="S16" s="661" t="s"/>
      <c r="T16" s="661" t="s"/>
      <c r="U16" s="661" t="s"/>
    </row>
    <row r="17" spans="1:21" s="704" customFormat="true" ht="12" customHeight="true">
      <c r="A17" s="655" t="s">
        <v>1366</v>
      </c>
      <c r="B17" s="646" t="s"/>
      <c r="C17" s="647" t="s"/>
      <c r="D17" s="656" t="s"/>
      <c r="E17" s="648" t="s"/>
      <c r="F17" s="657" t="s"/>
      <c r="G17" s="648" t="s"/>
      <c r="H17" s="657" t="s"/>
      <c r="I17" s="658">
        <f>=IF(C17&lt;12,B17*(G17-E17)*C17/12,B17*(G17-E17))</f>
        <v>0</v>
      </c>
      <c r="J17" s="659" t="s"/>
      <c r="K17" s="660" t="s"/>
      <c r="L17" s="244" t="s"/>
      <c r="M17" s="649">
        <f>=IF(C17&lt;12,B17*K17*C17/12,B17*K17)</f>
        <v>0</v>
      </c>
      <c r="N17" s="242" t="s"/>
      <c r="O17" s="649">
        <f>=I17-M17</f>
        <v>0</v>
      </c>
      <c r="P17" s="661" t="s"/>
      <c r="Q17" s="661" t="s"/>
      <c r="R17" s="661" t="s"/>
      <c r="S17" s="661" t="s"/>
      <c r="T17" s="661" t="s"/>
      <c r="U17" s="661" t="s"/>
    </row>
    <row r="18" spans="1:21" s="704" customFormat="true" ht="12" customHeight="true">
      <c r="A18" s="662" t="s"/>
      <c r="B18" s="646" t="s"/>
      <c r="C18" s="647" t="s"/>
      <c r="D18" s="656" t="s"/>
      <c r="E18" s="648" t="s"/>
      <c r="F18" s="657" t="s"/>
      <c r="G18" s="648" t="s"/>
      <c r="H18" s="657" t="s"/>
      <c r="I18" s="658">
        <f>=IF(C18&lt;12,B18*(G18-E18)*C18/12,B18*(G18-E18))</f>
        <v>0</v>
      </c>
      <c r="J18" s="659" t="s"/>
      <c r="K18" s="660" t="s"/>
      <c r="L18" s="244" t="s"/>
      <c r="M18" s="649">
        <f>=IF(C18&lt;12,B18*K18*C18/12,B18*K18)</f>
        <v>0</v>
      </c>
      <c r="N18" s="242" t="s"/>
      <c r="O18" s="649">
        <f>=I18-M18</f>
        <v>0</v>
      </c>
      <c r="P18" s="661" t="s"/>
      <c r="Q18" s="661" t="s"/>
      <c r="R18" s="661" t="s"/>
      <c r="S18" s="661" t="s"/>
      <c r="T18" s="661" t="s"/>
      <c r="U18" s="661" t="s"/>
    </row>
    <row r="19" spans="1:1" ht="20.15" customHeight="true">
      <c r="A19" s="643" t="s">
        <v>1367</v>
      </c>
    </row>
    <row r="20" spans="1:21" s="705" customFormat="true" ht="24" customHeight="true">
      <c r="A20" s="663" t="s">
        <v>1368</v>
      </c>
      <c r="B20" s="234" t="s"/>
      <c r="C20" s="644" t="s">
        <v>1369</v>
      </c>
      <c r="D20" s="654" t="s"/>
      <c r="E20" s="663" t="s">
        <v>1370</v>
      </c>
      <c r="F20" s="644" t="s">
        <v>1371</v>
      </c>
      <c r="G20" s="644" t="s">
        <v>1372</v>
      </c>
      <c r="H20" s="644" t="s">
        <v>1373</v>
      </c>
      <c r="I20" s="644" t="s">
        <v>1330</v>
      </c>
      <c r="J20" s="644" t="s">
        <v>1331</v>
      </c>
      <c r="K20" s="644" t="s">
        <v>1336</v>
      </c>
      <c r="L20" s="644" t="s">
        <v>1337</v>
      </c>
      <c r="M20" s="644" t="s">
        <v>1338</v>
      </c>
      <c r="N20" s="644" t="s">
        <v>1339</v>
      </c>
      <c r="O20" s="644" t="s">
        <v>1374</v>
      </c>
      <c r="P20" s="644" t="s">
        <v>1367</v>
      </c>
      <c r="Q20" s="644" t="s"/>
      <c r="R20" s="652" t="s"/>
      <c r="S20" s="652" t="s"/>
      <c r="T20" s="652" t="s"/>
      <c r="U20" s="652" t="s"/>
    </row>
    <row r="21" spans="1:21" s="704" customFormat="true" ht="12" customHeight="true">
      <c r="A21" s="664" t="s"/>
      <c r="B21" s="665" t="s"/>
      <c r="C21" s="646" t="s"/>
      <c r="D21" s="646" t="s"/>
      <c r="E21" s="648" t="s"/>
      <c r="F21" s="649">
        <f>=C21*E21</f>
        <v>0</v>
      </c>
      <c r="G21" s="648" t="s"/>
      <c r="H21" s="649">
        <f>=F21*G21</f>
        <v>0</v>
      </c>
      <c r="I21" s="650">
        <v>0.055</v>
      </c>
      <c r="J21" s="649">
        <f>=F21*I21</f>
        <v>0</v>
      </c>
      <c r="K21" s="648" t="s"/>
      <c r="L21" s="650" t="s"/>
      <c r="M21" s="648" t="s"/>
      <c r="N21" s="648" t="s"/>
      <c r="O21" s="649">
        <f>=C21*K21*L21*(M21+N21)</f>
        <v>0</v>
      </c>
      <c r="P21" s="658">
        <f>=F21-H21-J21-O21</f>
        <v>0</v>
      </c>
      <c r="Q21" s="658" t="s"/>
      <c r="R21" s="666" t="s"/>
      <c r="S21" s="666" t="s"/>
      <c r="T21" s="666" t="s"/>
      <c r="U21" s="666" t="s"/>
    </row>
    <row r="22" spans="1:21" s="704" customFormat="true" ht="12" customHeight="true">
      <c r="A22" s="664" t="s"/>
      <c r="B22" s="665" t="s"/>
      <c r="C22" s="646" t="s"/>
      <c r="D22" s="646" t="s"/>
      <c r="E22" s="648" t="s"/>
      <c r="F22" s="649">
        <f>=C22*E22</f>
        <v>0</v>
      </c>
      <c r="G22" s="648" t="s"/>
      <c r="H22" s="649">
        <f>=F22*G22</f>
        <v>0</v>
      </c>
      <c r="I22" s="650">
        <v>0.055</v>
      </c>
      <c r="J22" s="649">
        <f>=F22*I22</f>
        <v>0</v>
      </c>
      <c r="K22" s="648" t="s"/>
      <c r="L22" s="650" t="s"/>
      <c r="M22" s="648" t="s"/>
      <c r="N22" s="648" t="s"/>
      <c r="O22" s="649">
        <f>=C22*K22*L22*(M22+N22)</f>
        <v>0</v>
      </c>
      <c r="P22" s="658">
        <f>=F22-H22-J22-O22</f>
        <v>0</v>
      </c>
      <c r="Q22" s="658" t="s"/>
      <c r="R22" s="666" t="s"/>
      <c r="S22" s="666" t="s"/>
      <c r="T22" s="666" t="s"/>
      <c r="U22" s="666" t="s"/>
    </row>
    <row r="23" spans="1:21" s="704" customFormat="true" ht="12" customHeight="true">
      <c r="A23" s="664" t="s"/>
      <c r="B23" s="665" t="s"/>
      <c r="C23" s="646" t="s"/>
      <c r="D23" s="646" t="s"/>
      <c r="E23" s="648" t="s"/>
      <c r="F23" s="649">
        <f>=C23*E23</f>
        <v>0</v>
      </c>
      <c r="G23" s="648" t="s"/>
      <c r="H23" s="649">
        <f>=F23*G23</f>
        <v>0</v>
      </c>
      <c r="I23" s="650">
        <v>0.055</v>
      </c>
      <c r="J23" s="649">
        <f>=F23*I23</f>
        <v>0</v>
      </c>
      <c r="K23" s="648" t="s"/>
      <c r="L23" s="650" t="s"/>
      <c r="M23" s="648" t="s"/>
      <c r="N23" s="648" t="s"/>
      <c r="O23" s="649">
        <f>=C23*K23*L23*(M23+N23)</f>
        <v>0</v>
      </c>
      <c r="P23" s="658">
        <f>=F23-H23-J23-O23</f>
        <v>0</v>
      </c>
      <c r="Q23" s="658" t="s"/>
      <c r="R23" s="666" t="s"/>
      <c r="S23" s="666" t="s"/>
      <c r="T23" s="666" t="s"/>
      <c r="U23" s="666" t="s"/>
    </row>
    <row r="24" spans="1:21" s="704" customFormat="true" ht="12" customHeight="true">
      <c r="A24" s="664" t="s"/>
      <c r="B24" s="665" t="s"/>
      <c r="C24" s="646" t="s"/>
      <c r="D24" s="646" t="s"/>
      <c r="E24" s="648" t="s"/>
      <c r="F24" s="649">
        <f>=C24*E24</f>
        <v>0</v>
      </c>
      <c r="G24" s="648" t="s"/>
      <c r="H24" s="649">
        <f>=F24*G24</f>
        <v>0</v>
      </c>
      <c r="I24" s="650">
        <v>0.055</v>
      </c>
      <c r="J24" s="649">
        <f>=F24*I24</f>
        <v>0</v>
      </c>
      <c r="K24" s="648" t="s"/>
      <c r="L24" s="650" t="s"/>
      <c r="M24" s="648" t="s"/>
      <c r="N24" s="648" t="s"/>
      <c r="O24" s="649">
        <f>=C24*K24*L24*(M24+N24)</f>
        <v>0</v>
      </c>
      <c r="P24" s="658">
        <f>=F24-H24-J24-O24</f>
        <v>0</v>
      </c>
      <c r="Q24" s="658" t="s"/>
      <c r="R24" s="666" t="s"/>
      <c r="S24" s="666" t="s"/>
      <c r="T24" s="666" t="s"/>
      <c r="U24" s="666" t="s"/>
    </row>
    <row r="25" spans="1:21" s="704" customFormat="true" ht="12" customHeight="true">
      <c r="A25" s="664" t="s"/>
      <c r="B25" s="665" t="s"/>
      <c r="C25" s="646" t="s"/>
      <c r="D25" s="646" t="s"/>
      <c r="E25" s="648" t="s"/>
      <c r="F25" s="649">
        <f>=C25*E25</f>
        <v>0</v>
      </c>
      <c r="G25" s="648" t="s"/>
      <c r="H25" s="649">
        <f>=F25*G25</f>
        <v>0</v>
      </c>
      <c r="I25" s="650">
        <v>0.055</v>
      </c>
      <c r="J25" s="649">
        <f>=F25*I25</f>
        <v>0</v>
      </c>
      <c r="K25" s="648" t="s"/>
      <c r="L25" s="650" t="s"/>
      <c r="M25" s="648" t="s"/>
      <c r="N25" s="648" t="s"/>
      <c r="O25" s="649">
        <f>=C25*K25*L25*(M25+N25)</f>
        <v>0</v>
      </c>
      <c r="P25" s="658">
        <f>=F25-H25-J25-O25</f>
        <v>0</v>
      </c>
      <c r="Q25" s="658" t="s"/>
      <c r="R25" s="666" t="s"/>
      <c r="S25" s="666" t="s"/>
      <c r="T25" s="666" t="s"/>
      <c r="U25" s="666" t="s"/>
    </row>
    <row r="26" spans="1:1" ht="20.15" customHeight="true">
      <c r="A26" s="643" t="s">
        <v>1375</v>
      </c>
    </row>
    <row r="27" spans="1:4" ht="12" customHeight="true">
      <c r="A27" s="645" t="s">
        <v>1376</v>
      </c>
      <c r="B27" s="314" t="s"/>
      <c r="C27" s="649">
        <f>=SUM(F5:F9)+SUM(F11:F13)+SUM(I16:I18)+SUM(F21:F25)</f>
        <v>0</v>
      </c>
      <c r="D27" s="242" t="s"/>
    </row>
    <row r="28" spans="1:4" ht="12" customHeight="true">
      <c r="A28" s="645" t="s">
        <v>1377</v>
      </c>
      <c r="B28" s="314" t="s"/>
      <c r="C28" s="649">
        <f>=SUM(H5:H9,H11:H13,M16:M18,H21:H25)</f>
        <v>0</v>
      </c>
      <c r="D28" s="242" t="s"/>
    </row>
    <row r="29" spans="1:4" ht="12" customHeight="true">
      <c r="A29" s="645" t="s">
        <v>1331</v>
      </c>
      <c r="B29" s="314" t="s"/>
      <c r="C29" s="649">
        <f>=SUM(J5:J9,J11:J13,J21:J25)</f>
        <v>0</v>
      </c>
      <c r="D29" s="242" t="s"/>
    </row>
    <row r="30" spans="1:4" ht="12" customHeight="true">
      <c r="A30" s="645" t="s">
        <v>1335</v>
      </c>
      <c r="B30" s="314" t="s"/>
      <c r="C30" s="649">
        <f>=SUM(N5:N9)+SUM(N11:N13)</f>
        <v>0</v>
      </c>
      <c r="D30" s="242" t="s"/>
    </row>
    <row r="31" spans="1:4" ht="12" customHeight="true">
      <c r="A31" s="645" t="s">
        <v>1378</v>
      </c>
      <c r="B31" s="314" t="s"/>
      <c r="C31" s="649">
        <f>=C27-C28-C29-C30</f>
        <v>0</v>
      </c>
      <c r="D31" s="242" t="s"/>
    </row>
    <row r="32" spans="1:4" ht="12" customHeight="true">
      <c r="A32" s="645" t="s">
        <v>1340</v>
      </c>
      <c r="B32" s="314" t="s"/>
      <c r="C32" s="649">
        <f>=SUM(S5:S9,S11:S13,O21:O25)</f>
        <v>0</v>
      </c>
      <c r="D32" s="242" t="s"/>
    </row>
    <row r="33" spans="1:4" ht="12" customHeight="true">
      <c r="A33" s="667" t="s">
        <v>1375</v>
      </c>
      <c r="B33" s="668" t="s"/>
      <c r="C33" s="649">
        <f>=C31-C32</f>
        <v>0</v>
      </c>
      <c r="D33" s="242" t="s"/>
    </row>
    <row r="35" spans="1:1" ht="10.8">
      <c r="A35" s="669" t="s"/>
    </row>
    <row r="36" spans="1:1" ht="10.8">
      <c r="A36" s="669" t="s"/>
    </row>
  </sheetData>
  <sheetProtection/>
  <mergeCells count="56">
    <mergeCell ref="C15:D15"/>
    <mergeCell ref="E15:F15"/>
    <mergeCell ref="G15:H15"/>
    <mergeCell ref="I15:J15"/>
    <mergeCell ref="K15:L15"/>
    <mergeCell ref="M15:N15"/>
    <mergeCell ref="C16:D16"/>
    <mergeCell ref="E16:F16"/>
    <mergeCell ref="G16:H16"/>
    <mergeCell ref="I16:J16"/>
    <mergeCell ref="K16:L16"/>
    <mergeCell ref="M16:N16"/>
    <mergeCell ref="C17:D17"/>
    <mergeCell ref="E17:F17"/>
    <mergeCell ref="G17:H17"/>
    <mergeCell ref="I17:J17"/>
    <mergeCell ref="K17:L17"/>
    <mergeCell ref="M17:N17"/>
    <mergeCell ref="C18:D18"/>
    <mergeCell ref="E18:F18"/>
    <mergeCell ref="G18:H18"/>
    <mergeCell ref="I18:J18"/>
    <mergeCell ref="K18:L18"/>
    <mergeCell ref="M18:N18"/>
    <mergeCell ref="A20:B20"/>
    <mergeCell ref="C20:D20"/>
    <mergeCell ref="P20:Q20"/>
    <mergeCell ref="A21:B21"/>
    <mergeCell ref="C21:D21"/>
    <mergeCell ref="P21:Q21"/>
    <mergeCell ref="A22:B22"/>
    <mergeCell ref="C22:D22"/>
    <mergeCell ref="P22:Q22"/>
    <mergeCell ref="A23:B23"/>
    <mergeCell ref="C23:D23"/>
    <mergeCell ref="P23:Q23"/>
    <mergeCell ref="A24:B24"/>
    <mergeCell ref="C24:D24"/>
    <mergeCell ref="P24:Q24"/>
    <mergeCell ref="A25:B25"/>
    <mergeCell ref="C25:D25"/>
    <mergeCell ref="P25:Q25"/>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s>
  <dataValidations>
    <dataValidation type="list" operator="between" allowBlank="true" showInputMessage="true" sqref="C2">
      <formula1>=$X$5:$X$8</formula1>
    </dataValidation>
  </dataValidations>
  <printOptions horizontalCentered="true"/>
  <pageMargins left="0.15748" right="0.15748" top="1.33858" bottom="0.15748" header="0.15748" footer="0.15748"/>
  <pageSetup paperSize="9" scale="60" orientation="landscape" blackAndWhite="true"/>
  <headerFooter alignWithMargins="false"/>
</worksheet>
</file>

<file path=xl/worksheets/sheet13.xml><?xml version="1.0" encoding="utf-8"?>
<worksheet xmlns:r="http://schemas.openxmlformats.org/officeDocument/2006/relationships" xmlns="http://schemas.openxmlformats.org/spreadsheetml/2006/main">
  <sheetPr>
    <tabColor theme="2"/>
  </sheetPr>
  <dimension ref="AA33"/>
  <sheetViews>
    <sheetView showGridLines="false" showZeros="false" showOutlineSymbols="false" topLeftCell="A1" workbookViewId="0"/>
  </sheetViews>
  <sheetFormatPr defaultColWidth="9" defaultRowHeight="15" customHeight="true"/>
  <cols>
    <col min="1" max="1" width="6.625" style="707"/>
    <col min="2" max="2" width="25.625" style="707"/>
    <col min="3" max="3" width="12.625" style="708"/>
    <col min="4" max="4" width="6.625" style="707"/>
    <col min="5" max="5" width="25.625" style="707"/>
    <col min="6" max="6" width="12.625" style="707"/>
    <col min="7" max="26" width="9" style="707"/>
  </cols>
  <sheetData>
    <row r="1" spans="1:6" ht="15" customHeight="true">
      <c r="A1" s="233" t="s">
        <v>873</v>
      </c>
      <c r="B1" s="476" t="s"/>
      <c r="C1" s="477" t="s"/>
      <c r="D1" s="476" t="s"/>
      <c r="E1" s="476" t="s"/>
      <c r="F1" s="476" t="s"/>
    </row>
    <row r="2" spans="1:6" ht="15" customHeight="true">
      <c r="A2" s="160" t="s">
        <v>514</v>
      </c>
      <c r="C2" s="478" t="s"/>
      <c r="D2" s="475" t="s"/>
      <c r="E2" s="475" t="s"/>
      <c r="F2" s="475" t="s"/>
    </row>
    <row r="3" spans="1:7" ht="15" customHeight="true">
      <c r="A3" s="234">
        <v>1</v>
      </c>
      <c r="B3" s="479" t="s">
        <v>874</v>
      </c>
      <c r="C3" s="480">
        <v>2</v>
      </c>
      <c r="D3" s="234">
        <v>14</v>
      </c>
      <c r="E3" s="481" t="s">
        <v>875</v>
      </c>
      <c r="F3" s="482">
        <v>0.13</v>
      </c>
      <c r="G3" s="188" t="s">
        <v>876</v>
      </c>
    </row>
    <row r="4" spans="1:7" ht="15" customHeight="true">
      <c r="A4" s="234">
        <v>2</v>
      </c>
      <c r="B4" s="479" t="s">
        <v>877</v>
      </c>
      <c r="C4" s="480">
        <v>6</v>
      </c>
      <c r="D4" s="234">
        <v>15</v>
      </c>
      <c r="E4" s="481" t="s">
        <v>878</v>
      </c>
      <c r="F4" s="482">
        <v>0.05</v>
      </c>
      <c r="G4" s="188" t="s">
        <v>879</v>
      </c>
    </row>
    <row r="5" spans="1:7" ht="15" customHeight="true">
      <c r="A5" s="234">
        <v>3</v>
      </c>
      <c r="B5" s="479" t="s">
        <v>880</v>
      </c>
      <c r="C5" s="480">
        <v>12</v>
      </c>
      <c r="D5" s="234">
        <v>16</v>
      </c>
      <c r="E5" s="481" t="s">
        <v>3341</v>
      </c>
      <c r="F5" s="482">
        <v>0.05</v>
      </c>
      <c r="G5" s="188" t="s">
        <v>881</v>
      </c>
    </row>
    <row r="6" spans="1:6" ht="15" customHeight="true">
      <c r="A6" s="234">
        <v>4</v>
      </c>
      <c r="B6" s="479" t="s">
        <v>882</v>
      </c>
      <c r="C6" s="483">
        <v>0.5</v>
      </c>
      <c r="D6" s="234">
        <v>17</v>
      </c>
      <c r="E6" s="481" t="s">
        <v>3342</v>
      </c>
      <c r="F6" s="484">
        <v>0</v>
      </c>
    </row>
    <row r="7" spans="1:7" ht="15" customHeight="true">
      <c r="A7" s="234">
        <v>5</v>
      </c>
      <c r="B7" s="479" t="s">
        <v>883</v>
      </c>
      <c r="D7" s="234">
        <v>18</v>
      </c>
      <c r="E7" s="481" t="s">
        <v>3343</v>
      </c>
      <c r="F7" s="482">
        <v>0.25</v>
      </c>
      <c r="G7" s="188" t="s">
        <v>884</v>
      </c>
    </row>
    <row r="8" spans="1:7" ht="15" customHeight="true">
      <c r="A8" s="234">
        <v>6</v>
      </c>
      <c r="B8" s="479" t="s">
        <v>885</v>
      </c>
      <c r="C8" s="485">
        <v>0.05</v>
      </c>
      <c r="D8" s="234">
        <v>19</v>
      </c>
      <c r="E8" s="481" t="s">
        <v>3344</v>
      </c>
      <c r="F8" s="482">
        <v>0.1</v>
      </c>
      <c r="G8" s="188" t="s">
        <v>886</v>
      </c>
    </row>
    <row r="9" spans="1:6" ht="15" customHeight="true">
      <c r="A9" s="234">
        <v>7</v>
      </c>
      <c r="B9" s="479" t="s">
        <v>3345</v>
      </c>
      <c r="C9" s="484" t="s"/>
      <c r="D9" s="234">
        <v>20</v>
      </c>
      <c r="E9" s="481" t="s">
        <v>3346</v>
      </c>
      <c r="F9" s="486" t="s"/>
    </row>
    <row r="10" spans="1:6" ht="15" customHeight="true">
      <c r="A10" s="234">
        <v>8</v>
      </c>
      <c r="B10" s="479" t="s">
        <v>3347</v>
      </c>
      <c r="C10" s="484">
        <v>0</v>
      </c>
      <c r="D10" s="234">
        <v>21</v>
      </c>
      <c r="E10" s="481" t="s">
        <v>3348</v>
      </c>
      <c r="F10" s="486" t="s"/>
    </row>
    <row r="11" spans="1:7" ht="15" customHeight="true">
      <c r="A11" s="234">
        <v>9</v>
      </c>
      <c r="B11" s="479" t="s">
        <v>887</v>
      </c>
      <c r="C11" s="484" t="s"/>
      <c r="D11" s="234">
        <v>22</v>
      </c>
      <c r="E11" s="481" t="s">
        <v>3349</v>
      </c>
      <c r="F11" s="486">
        <v>0</v>
      </c>
      <c r="G11" s="188" t="s">
        <v>888</v>
      </c>
    </row>
    <row r="12" spans="1:7" ht="15" customHeight="true">
      <c r="A12" s="234">
        <v>10</v>
      </c>
      <c r="B12" s="479" t="s">
        <v>889</v>
      </c>
      <c r="C12" s="484" t="s"/>
      <c r="D12" s="234">
        <v>23</v>
      </c>
      <c r="E12" s="481" t="s">
        <v>3350</v>
      </c>
      <c r="F12" s="482">
        <v>0.84</v>
      </c>
      <c r="G12" s="188" t="s">
        <v>890</v>
      </c>
    </row>
    <row r="13" spans="1:7" ht="15" customHeight="true">
      <c r="A13" s="234">
        <v>11</v>
      </c>
      <c r="B13" s="479" t="s">
        <v>3351</v>
      </c>
      <c r="C13" s="484" t="s"/>
      <c r="D13" s="234">
        <v>24</v>
      </c>
      <c r="E13" s="481" t="s">
        <v>3352</v>
      </c>
      <c r="F13" s="482">
        <v>1</v>
      </c>
      <c r="G13" s="188" t="s">
        <v>891</v>
      </c>
    </row>
    <row r="14" spans="1:7" ht="15" customHeight="true">
      <c r="A14" s="234">
        <v>12</v>
      </c>
      <c r="B14" s="479" t="s">
        <v>892</v>
      </c>
      <c r="C14" s="484" t="s"/>
      <c r="D14" s="234">
        <v>25</v>
      </c>
      <c r="E14" s="481" t="s">
        <v>3353</v>
      </c>
      <c r="F14" s="482">
        <v>1</v>
      </c>
      <c r="G14" s="188" t="s">
        <v>891</v>
      </c>
    </row>
    <row r="15" spans="1:7" ht="15" customHeight="true">
      <c r="A15" s="234">
        <v>13</v>
      </c>
      <c r="B15" s="481" t="s">
        <v>893</v>
      </c>
      <c r="C15" s="484" t="s"/>
      <c r="D15" s="234">
        <v>26</v>
      </c>
      <c r="E15" s="481" t="s">
        <v>3354</v>
      </c>
      <c r="F15" s="485">
        <v>0.05</v>
      </c>
      <c r="G15" s="188" t="s">
        <v>894</v>
      </c>
    </row>
    <row r="16" spans="1:6" ht="15" customHeight="true">
      <c r="A16" s="487" t="s">
        <v>895</v>
      </c>
      <c r="B16" s="488" t="s"/>
      <c r="C16" s="489" t="s"/>
      <c r="D16" s="488" t="s"/>
      <c r="E16" s="488" t="s"/>
      <c r="F16" s="490" t="s"/>
    </row>
    <row r="17" spans="1:7" ht="15" customHeight="true">
      <c r="A17" s="479">
        <v>1</v>
      </c>
      <c r="B17" s="479" t="s">
        <v>896</v>
      </c>
      <c r="C17" s="479" t="s"/>
      <c r="D17" s="479" t="s"/>
      <c r="E17" s="491" t="s">
        <v>897</v>
      </c>
      <c r="F17" s="492">
        <v>0.95</v>
      </c>
      <c r="G17" s="160" t="s">
        <v>898</v>
      </c>
    </row>
    <row r="18" spans="1:7" ht="15" customHeight="true">
      <c r="A18" s="479">
        <v>2</v>
      </c>
      <c r="B18" s="479" t="s">
        <v>899</v>
      </c>
      <c r="C18" s="479" t="s"/>
      <c r="D18" s="479" t="s"/>
      <c r="E18" s="491" t="s">
        <v>900</v>
      </c>
      <c r="F18" s="493">
        <v>0.005</v>
      </c>
      <c r="G18" s="160" t="s">
        <v>901</v>
      </c>
    </row>
    <row r="19" spans="1:6" ht="15" customHeight="true">
      <c r="A19" s="479">
        <v>3</v>
      </c>
      <c r="B19" s="479" t="s">
        <v>902</v>
      </c>
      <c r="C19" s="479" t="s">
        <v>903</v>
      </c>
      <c r="D19" s="479" t="s"/>
      <c r="E19" s="491" t="s">
        <v>904</v>
      </c>
      <c r="F19" s="494">
        <v>360</v>
      </c>
    </row>
    <row r="20" spans="1:7" ht="15" customHeight="true">
      <c r="A20" s="479">
        <v>4</v>
      </c>
      <c r="B20" s="479" t="s">
        <v>905</v>
      </c>
      <c r="C20" s="479" t="s">
        <v>293</v>
      </c>
      <c r="D20" s="479" t="s"/>
      <c r="E20" s="491" t="s">
        <v>906</v>
      </c>
      <c r="F20" s="494">
        <v>0.57</v>
      </c>
      <c r="G20" s="160" t="s">
        <v>907</v>
      </c>
    </row>
    <row r="21" spans="1:7" ht="15" customHeight="true">
      <c r="A21" s="479">
        <v>5</v>
      </c>
      <c r="B21" s="479" t="s">
        <v>908</v>
      </c>
      <c r="C21" s="479" t="s">
        <v>909</v>
      </c>
      <c r="D21" s="479" t="s"/>
      <c r="E21" s="491" t="s">
        <v>910</v>
      </c>
      <c r="F21" s="494">
        <v>0.61</v>
      </c>
      <c r="G21" s="160" t="s">
        <v>911</v>
      </c>
    </row>
    <row r="22" spans="1:7" ht="15" customHeight="true">
      <c r="A22" s="479">
        <v>6</v>
      </c>
      <c r="B22" s="479" t="s"/>
      <c r="C22" s="479" t="s"/>
      <c r="D22" s="479" t="s"/>
      <c r="E22" s="495" t="s"/>
      <c r="F22" s="496" t="s"/>
      <c r="G22" s="497" t="s"/>
    </row>
    <row r="23" spans="1:6" ht="15" customHeight="true">
      <c r="A23" s="479">
        <v>7</v>
      </c>
      <c r="B23" s="479" t="s"/>
      <c r="C23" s="479" t="s"/>
      <c r="D23" s="479" t="s"/>
      <c r="E23" s="479" t="s"/>
      <c r="F23" s="479" t="s"/>
    </row>
    <row r="24" spans="1:6" ht="15" customHeight="true">
      <c r="A24" s="479">
        <v>8</v>
      </c>
      <c r="B24" s="479" t="s"/>
      <c r="C24" s="479" t="s"/>
      <c r="D24" s="479" t="s"/>
      <c r="E24" s="479" t="s"/>
      <c r="F24" s="479" t="s"/>
    </row>
    <row r="25" spans="1:6" ht="15" customHeight="true">
      <c r="A25" s="479">
        <v>9</v>
      </c>
      <c r="B25" s="479" t="s"/>
      <c r="C25" s="479" t="s"/>
      <c r="D25" s="479" t="s"/>
      <c r="E25" s="479" t="s"/>
      <c r="F25" s="479" t="s"/>
    </row>
    <row r="26" spans="1:6" ht="15" customHeight="true">
      <c r="A26" s="160" t="s"/>
      <c r="B26" s="160" t="s"/>
      <c r="C26" s="498" t="s"/>
      <c r="D26" s="160" t="s"/>
      <c r="E26" s="160" t="s"/>
      <c r="F26" s="160" t="s"/>
    </row>
    <row r="27" spans="1:6" ht="15" customHeight="true">
      <c r="A27" s="188" t="s">
        <v>912</v>
      </c>
      <c r="B27" s="499" t="s"/>
      <c r="C27" s="500" t="s"/>
      <c r="D27" s="499" t="s"/>
      <c r="E27" s="499" t="s"/>
      <c r="F27" s="499" t="s"/>
    </row>
    <row r="28" spans="1:6" ht="15" customHeight="true">
      <c r="A28" s="188" t="s">
        <v>913</v>
      </c>
      <c r="B28" s="499" t="s"/>
      <c r="C28" s="500" t="s"/>
      <c r="D28" s="499" t="s"/>
      <c r="E28" s="499" t="s"/>
      <c r="F28" s="499" t="s"/>
    </row>
    <row r="29" spans="1:6" ht="15" customHeight="true">
      <c r="A29" s="499" t="s"/>
      <c r="B29" s="499" t="s"/>
      <c r="C29" s="500" t="s"/>
      <c r="D29" s="499" t="s"/>
      <c r="E29" s="499" t="s"/>
      <c r="F29" s="499" t="s"/>
    </row>
    <row r="30" spans="1:6" ht="15" customHeight="true">
      <c r="A30" s="499" t="s"/>
      <c r="B30" s="499" t="s"/>
      <c r="C30" s="500" t="s"/>
      <c r="D30" s="499" t="s"/>
      <c r="E30" s="501" t="s"/>
      <c r="F30" s="499" t="s"/>
    </row>
    <row r="31" spans="1:6" ht="15" customHeight="true">
      <c r="A31" s="499" t="s"/>
      <c r="B31" s="499" t="s"/>
      <c r="C31" s="500" t="s"/>
      <c r="D31" s="499" t="s"/>
      <c r="E31" s="499" t="s"/>
      <c r="F31" s="499" t="s"/>
    </row>
    <row r="32" spans="1:6" ht="15" customHeight="true">
      <c r="A32" s="160" t="s"/>
      <c r="B32" s="160" t="s"/>
      <c r="C32" s="498" t="s"/>
      <c r="D32" s="160" t="s"/>
      <c r="E32" s="160" t="s"/>
      <c r="F32" s="160" t="s"/>
    </row>
    <row r="33" spans="1:6" ht="15" customHeight="true">
      <c r="A33" s="160" t="s"/>
      <c r="B33" s="160" t="s"/>
      <c r="C33" s="498" t="s"/>
      <c r="D33" s="160" t="s"/>
      <c r="E33" s="160" t="s"/>
      <c r="F33" s="160" t="s"/>
    </row>
  </sheetData>
  <sheetProtection/>
  <mergeCells count="1">
    <mergeCell ref="A16:F16"/>
  </mergeCells>
  <printOptions horizontalCentered="true"/>
  <pageMargins left="0.748031" right="0.748031" top="0.984252" bottom="0.984252" header="0.511811" footer="0.511811"/>
  <pageSetup paperSize="9" scale="90" orientation="portrait" blackAndWhite="true"/>
  <headerFooter alignWithMargins="false"/>
  <legacyDrawing r:id="rId0"/>
</worksheet>
</file>

<file path=xl/worksheets/sheet14.xml><?xml version="1.0" encoding="utf-8"?>
<worksheet xmlns:r="http://schemas.openxmlformats.org/officeDocument/2006/relationships" xmlns="http://schemas.openxmlformats.org/spreadsheetml/2006/main">
  <sheetPr/>
  <dimension ref="AB304"/>
  <sheetViews>
    <sheetView showGridLines="false" showZeros="false" showOutlineSymbols="false" topLeftCell="A1" workbookViewId="0">
      <pane xSplit="4" ySplit="4" topLeftCell="E5" activePane="bottomRight" state="frozen"/>
    </sheetView>
  </sheetViews>
  <sheetFormatPr defaultColWidth="9" defaultRowHeight="12" customHeight="true"/>
  <cols>
    <col min="1" max="1" width="6.625" style="707"/>
    <col min="2" max="2" width="13.125" style="707"/>
    <col min="3" max="3" width="10.625" style="707"/>
    <col min="4" max="4" width="12.875" style="707"/>
    <col min="5" max="6" width="9" style="707"/>
    <col min="7" max="26" width="10.625" style="707"/>
    <col min="27" max="27" width="17.375" style="707"/>
  </cols>
  <sheetData>
    <row r="1" spans="1:26" ht="18" customHeight="true">
      <c r="A1" s="233" t="s"/>
      <c r="B1" s="293" t="s"/>
      <c r="C1" s="293" t="s"/>
      <c r="D1" s="293" t="s"/>
      <c r="E1" s="293" t="s">
        <v>1221</v>
      </c>
      <c r="F1" s="293" t="s"/>
      <c r="G1" s="293" t="s"/>
      <c r="H1" s="293" t="s"/>
      <c r="I1" s="293" t="s"/>
      <c r="J1" s="293" t="s"/>
      <c r="K1" s="293" t="s"/>
      <c r="L1" s="293" t="s"/>
      <c r="M1" s="293" t="s"/>
      <c r="N1" s="293" t="s"/>
      <c r="O1" s="293" t="s"/>
      <c r="P1" s="293" t="s"/>
      <c r="Q1" s="293" t="s"/>
      <c r="R1" s="293" t="s"/>
      <c r="S1" s="293" t="s"/>
      <c r="T1" s="293" t="s"/>
      <c r="U1" s="293" t="s"/>
      <c r="V1" s="293" t="s"/>
      <c r="W1" s="293" t="s"/>
      <c r="X1" s="293" t="s"/>
      <c r="Y1" s="293" t="s"/>
      <c r="Z1" s="293" t="s"/>
    </row>
    <row r="2" spans="1:26" ht="12" customHeight="true">
      <c r="A2" s="160" t="s">
        <v>1222</v>
      </c>
      <c r="E2" s="293" t="s"/>
      <c r="F2" s="293" t="s"/>
      <c r="G2" s="293" t="s"/>
      <c r="H2" s="293" t="s"/>
      <c r="I2" s="293" t="s"/>
      <c r="J2" s="293" t="s"/>
      <c r="K2" s="293" t="s"/>
      <c r="L2" s="293" t="s"/>
      <c r="M2" s="293" t="s"/>
      <c r="N2" s="293" t="s"/>
      <c r="O2" s="293" t="s"/>
      <c r="P2" s="293" t="s"/>
      <c r="Q2" s="293" t="s"/>
      <c r="R2" s="293" t="s"/>
      <c r="S2" s="293" t="s"/>
      <c r="T2" s="293" t="s"/>
      <c r="U2" s="293" t="s"/>
      <c r="V2" s="293" t="s"/>
      <c r="W2" s="293" t="s"/>
      <c r="X2" s="293" t="s"/>
      <c r="Y2" s="293" t="s"/>
      <c r="Z2" s="293" t="s"/>
    </row>
    <row r="3" spans="1:26" ht="12" customHeight="true">
      <c r="A3" s="371" t="s">
        <v>525</v>
      </c>
      <c r="B3" s="294" t="s">
        <v>618</v>
      </c>
      <c r="C3" s="295" t="s"/>
      <c r="D3" s="294" t="s">
        <v>619</v>
      </c>
      <c r="E3" s="296" t="s">
        <v>620</v>
      </c>
      <c r="F3" s="296" t="s"/>
      <c r="G3" s="296" t="s">
        <v>621</v>
      </c>
      <c r="H3" s="296" t="s"/>
      <c r="I3" s="296" t="s"/>
      <c r="J3" s="296" t="s"/>
      <c r="K3" s="296" t="s"/>
      <c r="L3" s="296" t="s"/>
      <c r="M3" s="296" t="s"/>
      <c r="N3" s="296" t="s"/>
      <c r="O3" s="296" t="s"/>
      <c r="P3" s="296" t="s"/>
      <c r="Q3" s="296" t="s"/>
      <c r="R3" s="296" t="s"/>
      <c r="S3" s="296" t="s"/>
      <c r="T3" s="296" t="s"/>
      <c r="U3" s="296" t="s"/>
      <c r="V3" s="296" t="s"/>
      <c r="W3" s="296" t="s"/>
      <c r="X3" s="296" t="s"/>
      <c r="Y3" s="296" t="s"/>
      <c r="Z3" s="296" t="s"/>
    </row>
    <row r="4" spans="1:26" ht="12" customHeight="true">
      <c r="A4" s="371" t="s"/>
      <c r="B4" s="294" t="s"/>
      <c r="C4" s="295" t="s"/>
      <c r="D4" s="294" t="s"/>
      <c r="E4" s="256" t="s">
        <v>622</v>
      </c>
      <c r="F4" s="256" t="s">
        <v>623</v>
      </c>
      <c r="G4" s="256" t="s">
        <v>622</v>
      </c>
      <c r="H4" s="256" t="s">
        <v>623</v>
      </c>
      <c r="I4" s="256" t="s">
        <v>624</v>
      </c>
      <c r="J4" s="256" t="s">
        <v>625</v>
      </c>
      <c r="K4" s="256" t="s">
        <v>626</v>
      </c>
      <c r="L4" s="256" t="s">
        <v>627</v>
      </c>
      <c r="M4" s="256" t="s">
        <v>628</v>
      </c>
      <c r="N4" s="256" t="s">
        <v>629</v>
      </c>
      <c r="O4" s="256" t="s">
        <v>630</v>
      </c>
      <c r="P4" s="256" t="s">
        <v>631</v>
      </c>
      <c r="Q4" s="256" t="s">
        <v>632</v>
      </c>
      <c r="R4" s="256" t="s">
        <v>633</v>
      </c>
      <c r="S4" s="256" t="s">
        <v>634</v>
      </c>
      <c r="T4" s="256" t="s">
        <v>635</v>
      </c>
      <c r="U4" s="256" t="s">
        <v>636</v>
      </c>
      <c r="V4" s="256" t="s">
        <v>702</v>
      </c>
      <c r="W4" s="256" t="s">
        <v>703</v>
      </c>
      <c r="X4" s="256" t="s">
        <v>637</v>
      </c>
      <c r="Y4" s="256" t="s">
        <v>638</v>
      </c>
      <c r="Z4" s="256" t="s">
        <v>639</v>
      </c>
    </row>
    <row r="5" spans="1:26" ht="12" customHeight="true">
      <c r="A5" s="297" t="s"/>
      <c r="B5" s="575" t="s">
        <v>642</v>
      </c>
      <c r="C5" s="576" t="s"/>
      <c r="D5" s="577" t="s"/>
      <c r="E5" s="301">
        <f>=评估表4总成本费用表!D5</f>
        <v>0</v>
      </c>
      <c r="F5" s="301">
        <f>=评估表4总成本费用表!E5</f>
        <v>0</v>
      </c>
      <c r="G5" s="301">
        <f>=评估表4总成本费用表!F5</f>
        <v>0</v>
      </c>
      <c r="H5" s="301">
        <f>=评估表4总成本费用表!G5</f>
        <v>0</v>
      </c>
      <c r="I5" s="301">
        <f>=评估表4总成本费用表!H5</f>
        <v>0</v>
      </c>
      <c r="J5" s="301">
        <f>=评估表4总成本费用表!I5</f>
        <v>0</v>
      </c>
      <c r="K5" s="301">
        <f>=评估表4总成本费用表!J5</f>
        <v>0</v>
      </c>
      <c r="L5" s="301">
        <f>=评估表4总成本费用表!K5</f>
        <v>0.05</v>
      </c>
      <c r="M5" s="301">
        <f>=评估表4总成本费用表!L5</f>
        <v>0</v>
      </c>
      <c r="N5" s="301">
        <f>=评估表4总成本费用表!M5</f>
        <v>0.05</v>
      </c>
      <c r="O5" s="301">
        <f>=评估表4总成本费用表!N5</f>
        <v>0</v>
      </c>
      <c r="P5" s="301">
        <f>=评估表4总成本费用表!O5</f>
        <v>0</v>
      </c>
      <c r="Q5" s="301">
        <f>=评估表4总成本费用表!P5</f>
        <v>0.05</v>
      </c>
      <c r="R5" s="301">
        <f>=评估表4总成本费用表!Q5</f>
        <v>0</v>
      </c>
      <c r="S5" s="301">
        <f>=评估表4总成本费用表!R5</f>
        <v>0</v>
      </c>
      <c r="T5" s="301">
        <f>=评估表4总成本费用表!S5</f>
        <v>0</v>
      </c>
      <c r="U5" s="301">
        <f>=评估表4总成本费用表!T5</f>
        <v>0</v>
      </c>
      <c r="V5" s="301">
        <f>=评估表4总成本费用表!U5</f>
        <v>0</v>
      </c>
      <c r="W5" s="301">
        <f>=评估表4总成本费用表!V5</f>
        <v>0</v>
      </c>
      <c r="X5" s="301">
        <f>=评估表4总成本费用表!W5</f>
        <v>0</v>
      </c>
      <c r="Y5" s="301">
        <f>=评估表4总成本费用表!X5</f>
        <v>0</v>
      </c>
      <c r="Z5" s="301">
        <f>=评估表4总成本费用表!Y5</f>
        <v>0</v>
      </c>
    </row>
    <row r="6" spans="1:27" ht="12" customHeight="true">
      <c r="A6" s="297" t="s"/>
      <c r="B6" s="302" t="s">
        <v>643</v>
      </c>
      <c r="C6" s="303" t="s"/>
      <c r="D6" s="577" t="s"/>
      <c r="E6" s="301">
        <f>=评估表4总成本费用表!D6</f>
        <v>0</v>
      </c>
      <c r="F6" s="301">
        <f>=评估表4总成本费用表!E6</f>
        <v>0</v>
      </c>
      <c r="G6" s="301">
        <f>=评估表4总成本费用表!F6</f>
        <v>0.99</v>
      </c>
      <c r="H6" s="301">
        <f>=评估表4总成本费用表!G6</f>
        <v>0.976</v>
      </c>
      <c r="I6" s="301">
        <f>=评估表4总成本费用表!H6</f>
        <v>0.972</v>
      </c>
      <c r="J6" s="301">
        <f>=评估表4总成本费用表!I6</f>
        <v>0.968</v>
      </c>
      <c r="K6" s="301">
        <f>=评估表4总成本费用表!J6</f>
        <v>0.964</v>
      </c>
      <c r="L6" s="301">
        <f>=评估表4总成本费用表!K6</f>
        <v>0.96</v>
      </c>
      <c r="M6" s="301">
        <f>=评估表4总成本费用表!L6</f>
        <v>0.956</v>
      </c>
      <c r="N6" s="301">
        <f>=评估表4总成本费用表!M6</f>
        <v>0.952</v>
      </c>
      <c r="O6" s="301">
        <f>=评估表4总成本费用表!N6</f>
        <v>0.948</v>
      </c>
      <c r="P6" s="301">
        <f>=评估表4总成本费用表!O6</f>
        <v>0.944</v>
      </c>
      <c r="Q6" s="301">
        <f>=评估表4总成本费用表!P6</f>
        <v>0.94</v>
      </c>
      <c r="R6" s="301">
        <f>=评估表4总成本费用表!Q6</f>
        <v>0.936</v>
      </c>
      <c r="S6" s="301">
        <f>=评估表4总成本费用表!R6</f>
        <v>0</v>
      </c>
      <c r="T6" s="301">
        <f>=评估表4总成本费用表!S6</f>
        <v>0</v>
      </c>
      <c r="U6" s="301">
        <f>=评估表4总成本费用表!T6</f>
        <v>0</v>
      </c>
      <c r="V6" s="301">
        <f>=评估表4总成本费用表!U6</f>
        <v>0</v>
      </c>
      <c r="W6" s="301">
        <f>=评估表4总成本费用表!V6</f>
        <v>0</v>
      </c>
      <c r="X6" s="301">
        <f>=评估表4总成本费用表!W6</f>
        <v>0</v>
      </c>
      <c r="Y6" s="301">
        <f>=评估表4总成本费用表!X6</f>
        <v>0</v>
      </c>
      <c r="Z6" s="301">
        <f>=评估表4总成本费用表!Y6</f>
        <v>0</v>
      </c>
      <c r="AA6" s="188" t="s">
        <v>644</v>
      </c>
    </row>
    <row r="7" spans="1:26" ht="12" customHeight="true">
      <c r="A7" s="297" t="s"/>
      <c r="B7" s="302" t="s">
        <v>645</v>
      </c>
      <c r="C7" s="303" t="s"/>
      <c r="D7" s="337" t="s"/>
      <c r="E7" s="301">
        <f>=评估表4总成本费用表!D7</f>
        <v>0</v>
      </c>
      <c r="F7" s="301">
        <f>=评估表4总成本费用表!E7</f>
        <v>0</v>
      </c>
      <c r="G7" s="301">
        <f>=评估表4总成本费用表!F7</f>
        <v>0.92</v>
      </c>
      <c r="H7" s="301">
        <f>=评估表4总成本费用表!G7</f>
        <v>0.92</v>
      </c>
      <c r="I7" s="301">
        <f>=评估表4总成本费用表!H7</f>
        <v>0.92</v>
      </c>
      <c r="J7" s="301">
        <f>=评估表4总成本费用表!I7</f>
        <v>0.92</v>
      </c>
      <c r="K7" s="301">
        <f>=评估表4总成本费用表!J7</f>
        <v>0.92</v>
      </c>
      <c r="L7" s="301">
        <f>=评估表4总成本费用表!K7</f>
        <v>0.92</v>
      </c>
      <c r="M7" s="301">
        <f>=评估表4总成本费用表!L7</f>
        <v>0.92</v>
      </c>
      <c r="N7" s="301">
        <f>=评估表4总成本费用表!M7</f>
        <v>0.92</v>
      </c>
      <c r="O7" s="301">
        <f>=评估表4总成本费用表!N7</f>
        <v>0.92</v>
      </c>
      <c r="P7" s="301">
        <f>=评估表4总成本费用表!O7</f>
        <v>0.92</v>
      </c>
      <c r="Q7" s="301">
        <f>=评估表4总成本费用表!P7</f>
        <v>0.92</v>
      </c>
      <c r="R7" s="301">
        <f>=评估表4总成本费用表!Q7</f>
        <v>0.92</v>
      </c>
      <c r="S7" s="301">
        <f>=评估表4总成本费用表!R7</f>
        <v>0</v>
      </c>
      <c r="T7" s="301">
        <f>=评估表4总成本费用表!S7</f>
        <v>0</v>
      </c>
      <c r="U7" s="301">
        <f>=评估表4总成本费用表!T7</f>
        <v>0</v>
      </c>
      <c r="V7" s="301">
        <f>=评估表4总成本费用表!U7</f>
        <v>0</v>
      </c>
      <c r="W7" s="301">
        <f>=评估表4总成本费用表!V7</f>
        <v>0</v>
      </c>
      <c r="X7" s="301">
        <f>=评估表4总成本费用表!W7</f>
        <v>0</v>
      </c>
      <c r="Y7" s="301">
        <f>=评估表4总成本费用表!X7</f>
        <v>0</v>
      </c>
      <c r="Z7" s="301">
        <f>=评估表4总成本费用表!Y7</f>
        <v>0</v>
      </c>
    </row>
    <row r="8" spans="1:26" ht="12" customHeight="true">
      <c r="A8" s="297" t="s"/>
      <c r="B8" s="302" t="s">
        <v>646</v>
      </c>
      <c r="C8" s="303" t="s"/>
      <c r="D8" s="337" t="s"/>
      <c r="E8" s="301">
        <f>=评估表4总成本费用表!D8</f>
        <v>0</v>
      </c>
      <c r="F8" s="301">
        <f>=评估表4总成本费用表!E8</f>
        <v>0</v>
      </c>
      <c r="G8" s="301">
        <f>=评估表4总成本费用表!F8</f>
        <v>0</v>
      </c>
      <c r="H8" s="301">
        <f>=评估表4总成本费用表!G8</f>
        <v>0</v>
      </c>
      <c r="I8" s="301">
        <f>=评估表4总成本费用表!H8</f>
        <v>0</v>
      </c>
      <c r="J8" s="301">
        <f>=评估表4总成本费用表!I8</f>
        <v>0</v>
      </c>
      <c r="K8" s="301">
        <f>=评估表4总成本费用表!J8</f>
        <v>0</v>
      </c>
      <c r="L8" s="301">
        <f>=评估表4总成本费用表!K8</f>
        <v>0.03</v>
      </c>
      <c r="M8" s="301">
        <f>=评估表4总成本费用表!L8</f>
        <v>0</v>
      </c>
      <c r="N8" s="301">
        <f>=评估表4总成本费用表!M8</f>
        <v>0</v>
      </c>
      <c r="O8" s="301">
        <f>=评估表4总成本费用表!N8</f>
        <v>0</v>
      </c>
      <c r="P8" s="301">
        <f>=评估表4总成本费用表!O8</f>
        <v>0</v>
      </c>
      <c r="Q8" s="301">
        <f>=评估表4总成本费用表!P8</f>
        <v>0.03</v>
      </c>
      <c r="R8" s="301">
        <f>=评估表4总成本费用表!Q8</f>
        <v>0</v>
      </c>
      <c r="S8" s="301">
        <f>=评估表4总成本费用表!R8</f>
        <v>0</v>
      </c>
      <c r="T8" s="301">
        <f>=评估表4总成本费用表!S8</f>
        <v>0</v>
      </c>
      <c r="U8" s="301">
        <f>=评估表4总成本费用表!T8</f>
        <v>0</v>
      </c>
      <c r="V8" s="301">
        <f>=评估表4总成本费用表!U8</f>
        <v>0</v>
      </c>
      <c r="W8" s="301">
        <f>=评估表4总成本费用表!V8</f>
        <v>0</v>
      </c>
      <c r="X8" s="301">
        <f>=评估表4总成本费用表!W8</f>
        <v>0</v>
      </c>
      <c r="Y8" s="301">
        <f>=评估表4总成本费用表!X8</f>
        <v>0</v>
      </c>
      <c r="Z8" s="301">
        <f>=评估表4总成本费用表!Y8</f>
        <v>0</v>
      </c>
    </row>
    <row r="9" spans="1:26" ht="12" customHeight="true">
      <c r="A9" s="297" t="s"/>
      <c r="B9" s="302" t="s">
        <v>647</v>
      </c>
      <c r="C9" s="303" t="s"/>
      <c r="D9" s="337" t="s"/>
      <c r="E9" s="301">
        <f>=评估表4总成本费用表!D9</f>
        <v>0</v>
      </c>
      <c r="F9" s="301">
        <f>=评估表4总成本费用表!E9</f>
        <v>0</v>
      </c>
      <c r="G9" s="301">
        <f>=评估表4总成本费用表!F9</f>
        <v>0.5</v>
      </c>
      <c r="H9" s="301">
        <f>=评估表4总成本费用表!G9</f>
        <v>0.6</v>
      </c>
      <c r="I9" s="301">
        <f>=评估表4总成本费用表!H9</f>
        <v>0.7</v>
      </c>
      <c r="J9" s="301">
        <f>=评估表4总成本费用表!I9</f>
        <v>0.8</v>
      </c>
      <c r="K9" s="301">
        <f>=评估表4总成本费用表!J9</f>
        <v>0.9</v>
      </c>
      <c r="L9" s="301">
        <f>=评估表4总成本费用表!K9</f>
        <v>0.95</v>
      </c>
      <c r="M9" s="301">
        <f>=评估表4总成本费用表!L9</f>
        <v>0.95</v>
      </c>
      <c r="N9" s="301">
        <f>=评估表4总成本费用表!M9</f>
        <v>0.95</v>
      </c>
      <c r="O9" s="301">
        <f>=评估表4总成本费用表!N9</f>
        <v>0.95</v>
      </c>
      <c r="P9" s="301">
        <f>=评估表4总成本费用表!O9</f>
        <v>0.95</v>
      </c>
      <c r="Q9" s="301">
        <f>=评估表4总成本费用表!P9</f>
        <v>0.95</v>
      </c>
      <c r="R9" s="301">
        <f>=评估表4总成本费用表!Q9</f>
        <v>0.95</v>
      </c>
      <c r="S9" s="301">
        <f>=评估表4总成本费用表!R9</f>
        <v>0</v>
      </c>
      <c r="T9" s="301">
        <f>=评估表4总成本费用表!S9</f>
        <v>0</v>
      </c>
      <c r="U9" s="301">
        <f>=评估表4总成本费用表!T9</f>
        <v>0</v>
      </c>
      <c r="V9" s="301">
        <f>=评估表4总成本费用表!U9</f>
        <v>0</v>
      </c>
      <c r="W9" s="301">
        <f>=评估表4总成本费用表!V9</f>
        <v>0</v>
      </c>
      <c r="X9" s="301">
        <f>=评估表4总成本费用表!W9</f>
        <v>0</v>
      </c>
      <c r="Y9" s="301">
        <f>=评估表4总成本费用表!X9</f>
        <v>0</v>
      </c>
      <c r="Z9" s="301">
        <f>=评估表4总成本费用表!Y9</f>
        <v>0</v>
      </c>
    </row>
    <row r="10" spans="1:26" ht="12" customHeight="true">
      <c r="A10" s="297" t="s"/>
      <c r="B10" s="302" t="s">
        <v>648</v>
      </c>
      <c r="C10" s="303" t="s"/>
      <c r="D10" s="337" t="s"/>
      <c r="E10" s="301">
        <f>=评估表4总成本费用表!D10</f>
        <v>0</v>
      </c>
      <c r="F10" s="301">
        <f>=评估表4总成本费用表!E10</f>
        <v>0</v>
      </c>
      <c r="G10" s="301">
        <f>=评估表4总成本费用表!F10</f>
        <v>0</v>
      </c>
      <c r="H10" s="301">
        <f>=评估表4总成本费用表!G10</f>
        <v>0</v>
      </c>
      <c r="I10" s="301">
        <f>=评估表4总成本费用表!H10</f>
        <v>0</v>
      </c>
      <c r="J10" s="301">
        <f>=评估表4总成本费用表!I10</f>
        <v>0</v>
      </c>
      <c r="K10" s="301">
        <f>=评估表4总成本费用表!J10</f>
        <v>0</v>
      </c>
      <c r="L10" s="301">
        <f>=评估表4总成本费用表!K10</f>
        <v>0</v>
      </c>
      <c r="M10" s="301">
        <f>=评估表4总成本费用表!L10</f>
        <v>0</v>
      </c>
      <c r="N10" s="301">
        <f>=评估表4总成本费用表!M10</f>
        <v>0</v>
      </c>
      <c r="O10" s="301">
        <f>=评估表4总成本费用表!N10</f>
        <v>0</v>
      </c>
      <c r="P10" s="301">
        <f>=评估表4总成本费用表!O10</f>
        <v>0</v>
      </c>
      <c r="Q10" s="301">
        <f>=评估表4总成本费用表!P10</f>
        <v>0</v>
      </c>
      <c r="R10" s="301">
        <f>=评估表4总成本费用表!Q10</f>
        <v>0</v>
      </c>
      <c r="S10" s="301">
        <f>=评估表4总成本费用表!R10</f>
        <v>0</v>
      </c>
      <c r="T10" s="301">
        <f>=评估表4总成本费用表!S10</f>
        <v>0</v>
      </c>
      <c r="U10" s="301">
        <f>=评估表4总成本费用表!T10</f>
        <v>0</v>
      </c>
      <c r="V10" s="301">
        <f>=评估表4总成本费用表!U10</f>
        <v>0</v>
      </c>
      <c r="W10" s="301">
        <f>=评估表4总成本费用表!V10</f>
        <v>0</v>
      </c>
      <c r="X10" s="301">
        <f>=评估表4总成本费用表!W10</f>
        <v>0</v>
      </c>
      <c r="Y10" s="301">
        <f>=评估表4总成本费用表!X10</f>
        <v>0</v>
      </c>
      <c r="Z10" s="301">
        <f>=评估表4总成本费用表!Y10</f>
        <v>0</v>
      </c>
    </row>
    <row r="11" spans="1:27" ht="12" customHeight="true">
      <c r="A11" s="297" t="s">
        <v>442</v>
      </c>
      <c r="B11" s="308" t="s">
        <v>1223</v>
      </c>
      <c r="C11" s="303" t="s"/>
      <c r="D11" s="306">
        <f>=SUM(E11:Z11)</f>
        <v>494.02</v>
      </c>
      <c r="E11" s="307">
        <f>=E29+E40+E51+E62+E73+E84+E95+E106+E117+E128+E140+E151+E162+E173+E184+E196+E207+E219+E230+E242+E253+E265+E276+E288+E299</f>
        <v>0</v>
      </c>
      <c r="F11" s="307">
        <f>=F29+F40+F51+F62+F73+F84+F95+F106+F117+F128+F140+F151+F162+F173+F184+F196+F207+F219+F230+F242+F253+F265+F276+F288+F299</f>
        <v>0</v>
      </c>
      <c r="G11" s="307">
        <f>=G29+G40+G51+G62+G73+G84+G95+G106+G117+G128+G140+G151+G162+G173+G184+G196+G207+G219+G230+G242+G253+G265+G276+G288+G299</f>
        <v>21.46</v>
      </c>
      <c r="H11" s="307">
        <f>=H29+H40+H51+H62+H73+H84+H95+H106+H117+H128+H140+H151+H162+H173+H184+H196+H207+H219+H230+H242+H253+H265+H276+H288+H299</f>
        <v>42.96</v>
      </c>
      <c r="I11" s="307">
        <f>=I29+I40+I51+I62+I73+I84+I95+I106+I117+I128+I140+I151+I162+I173+I184+I196+I207+I219+I230+I242+I253+I265+I276+I288+I299</f>
        <v>42.96</v>
      </c>
      <c r="J11" s="307">
        <f>=J29+J40+J51+J62+J73+J84+J95+J106+J117+J128+J140+J151+J162+J173+J184+J196+J207+J219+J230+J242+J253+J265+J276+J288+J299</f>
        <v>42.96</v>
      </c>
      <c r="K11" s="307">
        <f>=K29+K40+K51+K62+K73+K84+K95+K106+K117+K128+K140+K151+K162+K173+K184+K196+K207+K219+K230+K242+K253+K265+K276+K288+K299</f>
        <v>42.96</v>
      </c>
      <c r="L11" s="307">
        <f>=L29+L40+L51+L62+L73+L84+L95+L106+L117+L128+L140+L151+L162+L173+L184+L196+L207+L219+L230+L242+L253+L265+L276+L288+L299</f>
        <v>42.96</v>
      </c>
      <c r="M11" s="307">
        <f>=M29+M40+M51+M62+M73+M84+M95+M106+M117+M128+M140+M151+M162+M173+M184+M196+M207+M219+M230+M242+M253+M265+M276+M288+M299</f>
        <v>42.96</v>
      </c>
      <c r="N11" s="307">
        <f>=N29+N40+N51+N62+N73+N84+N95+N106+N117+N128+N140+N151+N162+N173+N184+N196+N207+N219+N230+N242+N253+N265+N276+N288+N299</f>
        <v>42.96</v>
      </c>
      <c r="O11" s="307">
        <f>=O29+O40+O51+O62+O73+O84+O95+O106+O117+O128+O140+O151+O162+O173+O184+O196+O207+O219+O230+O242+O253+O265+O276+O288+O299</f>
        <v>42.96</v>
      </c>
      <c r="P11" s="307">
        <f>=P29+P40+P51+P62+P73+P84+P95+P106+P117+P128+P140+P151+P162+P173+P184+P196+P207+P219+P230+P242+P253+P265+P276+P288+P299</f>
        <v>42.96</v>
      </c>
      <c r="Q11" s="307">
        <f>=Q29+Q40+Q51+Q62+Q73+Q84+Q95+Q106+Q117+Q128+Q140+Q151+Q162+Q173+Q184+Q196+Q207+Q219+Q230+Q242+Q253+Q265+Q276+Q288+Q299</f>
        <v>42.96</v>
      </c>
      <c r="R11" s="307">
        <f>=R29+R40+R51+R62+R73+R84+R95+R106+R117+R128+R140+R151+R162+R173+R184+R196+R207+R219+R230+R242+R253+R265+R276+R288+R299</f>
        <v>42.96</v>
      </c>
      <c r="S11" s="307">
        <f>=S29+S40+S51+S62+S73+S84+S95+S106+S117+S128+S140+S151+S162+S173+S184+S196+S207+S219+S230+S242+S253+S265+S276+S288+S299</f>
        <v>0</v>
      </c>
      <c r="T11" s="307">
        <f>=T29+T40+T51+T62+T73+T84+T95+T106+T117+T128+T140+T151+T162+T173+T184+T196+T207+T219+T230+T242+T253+T265+T276+T288+T299</f>
        <v>0</v>
      </c>
      <c r="U11" s="307">
        <f>=U29+U40+U51+U62+U73+U84+U95+U106+U117+U128+U140+U151+U162+U173+U184+U196+U207+U219+U230+U242+U253+U265+U276+U288+U299</f>
        <v>0</v>
      </c>
      <c r="V11" s="307">
        <f>=V29+V40+V51+V62+V73+V84+V95+V106+V117+V128+V140+V151+V162+V173+V184+V196+V207+V219+V230+V242+V253+V265+V276+V288+V299</f>
        <v>0</v>
      </c>
      <c r="W11" s="307">
        <f>=W29+W40+W51+W62+W73+W84+W95+W106+W117+W128+W140+W151+W162+W173+W184+W196+W207+W219+W230+W242+W253+W265+W276+W288+W299</f>
        <v>0</v>
      </c>
      <c r="X11" s="307">
        <f>=X29+X40+X51+X62+X73+X84+X95+X106+X117+X128+X140+X151+X162+X173+X184+X196+X207+X219+X230+X242+X253+X265+X276+X288+X299</f>
        <v>0</v>
      </c>
      <c r="Y11" s="307">
        <f>=Y29+Y40+Y51+Y62+Y73+Y84+Y95+Y106+Y117+Y128+Y140+Y151+Y162+Y173+Y184+Y196+Y207+Y219+Y230+Y242+Y253+Y265+Y276+Y288+Y299</f>
        <v>0</v>
      </c>
      <c r="Z11" s="307">
        <f>=Z29+Z40+Z51+Z62+Z73+Z84+Z95+Z106+Z117+Z128+Z140+Z151+Z162+Z173+Z184+Z196+Z207+Z219+Z230+Z242+Z253+Z265+Z276+Z288+Z299</f>
        <v>0</v>
      </c>
      <c r="AA11" s="188" t="s">
        <v>1224</v>
      </c>
    </row>
    <row r="12" spans="1:26" ht="12" customHeight="true">
      <c r="A12" s="297" t="s">
        <v>460</v>
      </c>
      <c r="B12" s="308" t="s">
        <v>650</v>
      </c>
      <c r="C12" s="303" t="s"/>
      <c r="D12" s="577" t="s"/>
      <c r="E12" s="578" t="s"/>
      <c r="F12" s="578" t="s"/>
      <c r="G12" s="578" t="s"/>
      <c r="H12" s="578" t="s"/>
      <c r="I12" s="578" t="s"/>
      <c r="J12" s="578" t="s"/>
      <c r="K12" s="578" t="s"/>
      <c r="L12" s="578" t="s"/>
      <c r="M12" s="578" t="s"/>
      <c r="N12" s="578" t="s"/>
      <c r="O12" s="578" t="s"/>
      <c r="P12" s="578" t="s"/>
      <c r="Q12" s="578" t="s"/>
      <c r="R12" s="578" t="s"/>
      <c r="S12" s="578" t="s"/>
      <c r="T12" s="578" t="s"/>
      <c r="U12" s="578" t="s"/>
      <c r="V12" s="578" t="s"/>
      <c r="W12" s="578" t="s"/>
      <c r="X12" s="578" t="s"/>
      <c r="Y12" s="578" t="s"/>
      <c r="Z12" s="578" t="s"/>
    </row>
    <row r="13" spans="1:27" ht="12" customHeight="true">
      <c r="A13" s="297">
        <v>1</v>
      </c>
      <c r="B13" s="308" t="s">
        <v>1225</v>
      </c>
      <c r="C13" s="303" t="s"/>
      <c r="D13" s="306">
        <f>=SUM(E13:Z13)</f>
        <v>0</v>
      </c>
      <c r="E13" s="307">
        <f>=E15-E14</f>
        <v>0</v>
      </c>
      <c r="F13" s="307">
        <f>=F15-F14</f>
        <v>0</v>
      </c>
      <c r="G13" s="307">
        <f>=G15-G14</f>
        <v>0</v>
      </c>
      <c r="H13" s="307">
        <f>=H15-H14</f>
        <v>0</v>
      </c>
      <c r="I13" s="307">
        <f>=I15-I14</f>
        <v>0</v>
      </c>
      <c r="J13" s="307">
        <f>=J15-J14</f>
        <v>0</v>
      </c>
      <c r="K13" s="307">
        <f>=K15-K14</f>
        <v>0</v>
      </c>
      <c r="L13" s="307">
        <f>=L15-L14</f>
        <v>0</v>
      </c>
      <c r="M13" s="307">
        <f>=M15-M14</f>
        <v>0</v>
      </c>
      <c r="N13" s="307">
        <f>=N15-N14</f>
        <v>0</v>
      </c>
      <c r="O13" s="307">
        <f>=O15-O14</f>
        <v>0</v>
      </c>
      <c r="P13" s="307">
        <f>=P15-P14</f>
        <v>0</v>
      </c>
      <c r="Q13" s="307">
        <f>=Q15-Q14</f>
        <v>0</v>
      </c>
      <c r="R13" s="307">
        <f>=R15-R14</f>
        <v>0</v>
      </c>
      <c r="S13" s="307">
        <f>=S15-S14</f>
        <v>0</v>
      </c>
      <c r="T13" s="307">
        <f>=T15-T14</f>
        <v>0</v>
      </c>
      <c r="U13" s="307">
        <f>=U15-U14</f>
        <v>0</v>
      </c>
      <c r="V13" s="307">
        <f>=V15-V14</f>
        <v>0</v>
      </c>
      <c r="W13" s="307">
        <f>=W15-W14</f>
        <v>0</v>
      </c>
      <c r="X13" s="307">
        <f>=X15-X14</f>
        <v>0</v>
      </c>
      <c r="Y13" s="307">
        <f>=Y15-Y14</f>
        <v>0</v>
      </c>
      <c r="Z13" s="307">
        <f>=Z15-Z14</f>
        <v>0</v>
      </c>
      <c r="AA13" s="188" t="s">
        <v>1226</v>
      </c>
    </row>
    <row r="14" spans="1:27" ht="12" customHeight="true">
      <c r="A14" s="297" t="s"/>
      <c r="B14" s="308" t="s">
        <v>1227</v>
      </c>
      <c r="C14" s="303" t="s"/>
      <c r="D14" s="306">
        <f>=SUM(E14:Z14)</f>
        <v>494.02</v>
      </c>
      <c r="E14" s="307">
        <f>=E24+E35+E46+E57+E68+E79+E90+E101+E112+E123+E135+E146+E157+E168+E179+E191+E202+E214+E225+E237+E248+E260+E271+E283+E294</f>
        <v>0</v>
      </c>
      <c r="F14" s="307">
        <f>=F24+F35+F46+F57+F68+F79+F90+F101+F112+F123+F135+F146+F157+F168+F179+F191+F202+F214+F225+F237+F248+F260+F271+F283+F294</f>
        <v>0</v>
      </c>
      <c r="G14" s="307">
        <f>=G24+G35+G46+G57+G68+G79+G90+G101+G112+G123+G135+G146+G157+G168+G179+G191+G202+G214+G225+G237+G248+G260+G271+G283+G294</f>
        <v>21.46</v>
      </c>
      <c r="H14" s="307">
        <f>=H24+H35+H46+H57+H68+H79+H90+H101+H112+H123+H135+H146+H157+H168+H179+H191+H202+H214+H225+H237+H248+H260+H271+H283+H294</f>
        <v>42.96</v>
      </c>
      <c r="I14" s="307">
        <f>=I24+I35+I46+I57+I68+I79+I90+I101+I112+I123+I135+I146+I157+I168+I179+I191+I202+I214+I225+I237+I248+I260+I271+I283+I294</f>
        <v>42.96</v>
      </c>
      <c r="J14" s="307">
        <f>=J24+J35+J46+J57+J68+J79+J90+J101+J112+J123+J135+J146+J157+J168+J179+J191+J202+J214+J225+J237+J248+J260+J271+J283+J294</f>
        <v>42.96</v>
      </c>
      <c r="K14" s="307">
        <f>=K24+K35+K46+K57+K68+K79+K90+K101+K112+K123+K135+K146+K157+K168+K179+K191+K202+K214+K225+K237+K248+K260+K271+K283+K294</f>
        <v>42.96</v>
      </c>
      <c r="L14" s="307">
        <f>=L24+L35+L46+L57+L68+L79+L90+L101+L112+L123+L135+L146+L157+L168+L179+L191+L202+L214+L225+L237+L248+L260+L271+L283+L294</f>
        <v>42.96</v>
      </c>
      <c r="M14" s="307">
        <f>=M24+M35+M46+M57+M68+M79+M90+M101+M112+M123+M135+M146+M157+M168+M179+M191+M202+M214+M225+M237+M248+M260+M271+M283+M294</f>
        <v>42.96</v>
      </c>
      <c r="N14" s="307">
        <f>=N24+N35+N46+N57+N68+N79+N90+N101+N112+N123+N135+N146+N157+N168+N179+N191+N202+N214+N225+N237+N248+N260+N271+N283+N294</f>
        <v>42.96</v>
      </c>
      <c r="O14" s="307">
        <f>=O24+O35+O46+O57+O68+O79+O90+O101+O112+O123+O135+O146+O157+O168+O179+O191+O202+O214+O225+O237+O248+O260+O271+O283+O294</f>
        <v>42.96</v>
      </c>
      <c r="P14" s="307">
        <f>=P24+P35+P46+P57+P68+P79+P90+P101+P112+P123+P135+P146+P157+P168+P179+P191+P202+P214+P225+P237+P248+P260+P271+P283+P294</f>
        <v>42.96</v>
      </c>
      <c r="Q14" s="307">
        <f>=Q24+Q35+Q46+Q57+Q68+Q79+Q90+Q101+Q112+Q123+Q135+Q146+Q157+Q168+Q179+Q191+Q202+Q214+Q225+Q237+Q248+Q260+Q271+Q283+Q294</f>
        <v>42.96</v>
      </c>
      <c r="R14" s="307">
        <f>=R24+R35+R46+R57+R68+R79+R90+R101+R112+R123+R135+R146+R157+R168+R179+R191+R202+R214+R225+R237+R248+R260+R271+R283+R294</f>
        <v>42.96</v>
      </c>
      <c r="S14" s="307">
        <f>=S24+S35+S46+S57+S68+S79+S90+S101+S112+S123+S135+S146+S157+S168+S179+S191+S202+S214+S225+S237+S248+S260+S271+S283+S294</f>
        <v>0</v>
      </c>
      <c r="T14" s="307">
        <f>=T24+T35+T46+T57+T68+T79+T90+T101+T112+T123+T135+T146+T157+T168+T179+T191+T202+T214+T225+T237+T248+T260+T271+T283+T294</f>
        <v>0</v>
      </c>
      <c r="U14" s="307">
        <f>=U24+U35+U46+U57+U68+U79+U90+U101+U112+U123+U135+U146+U157+U168+U179+U191+U202+U214+U225+U237+U248+U260+U271+U283+U294</f>
        <v>0</v>
      </c>
      <c r="V14" s="307">
        <f>=V24+V35+V46+V57+V68+V79+V90+V101+V112+V123+V135+V146+V157+V168+V179+V191+V202+V214+V225+V237+V248+V260+V271+V283+V294</f>
        <v>0</v>
      </c>
      <c r="W14" s="307">
        <f>=W24+W35+W46+W57+W68+W79+W90+W101+W112+W123+W135+W146+W157+W168+W179+W191+W202+W214+W225+W237+W248+W260+W271+W283+W294</f>
        <v>0</v>
      </c>
      <c r="X14" s="307">
        <f>=X24+X35+X46+X57+X68+X79+X90+X101+X112+X123+X135+X146+X157+X168+X179+X191+X202+X214+X225+X237+X248+X260+X271+X283+X294</f>
        <v>0</v>
      </c>
      <c r="Y14" s="307">
        <f>=Y24+Y35+Y46+Y57+Y68+Y79+Y90+Y101+Y112+Y123+Y135+Y146+Y157+Y168+Y179+Y191+Y202+Y214+Y225+Y237+Y248+Y260+Y271+Y283+Y294</f>
        <v>0</v>
      </c>
      <c r="Z14" s="307">
        <f>=Z24+Z35+Z46+Z57+Z68+Z79+Z90+Z101+Z112+Z123+Z135+Z146+Z157+Z168+Z179+Z191+Z202+Z214+Z225+Z237+Z248+Z260+Z271+Z283+Z294</f>
        <v>0</v>
      </c>
      <c r="AA14" s="188" t="s">
        <v>1228</v>
      </c>
    </row>
    <row r="15" spans="1:27" ht="12" customHeight="true">
      <c r="A15" s="297" t="s"/>
      <c r="B15" s="308" t="s">
        <v>1229</v>
      </c>
      <c r="C15" s="303" t="s"/>
      <c r="D15" s="306">
        <f>=SUM(E15:Z15)</f>
        <v>494.02</v>
      </c>
      <c r="E15" s="307">
        <f>=E26+E37+E48+E59+E70+E81+E92+E103+E114+E125+E137+E148+E159+E170+E181+E193+E204+E216+E227+E239+E250+E262+E273+E285+E296</f>
        <v>0</v>
      </c>
      <c r="F15" s="307">
        <f>=F26+F37+F48+F59+F70+F81+F92+F103+F114+F125+F137+F148+F159+F170+F181+F193+F204+F216+F227+F239+F250+F262+F273+F285+F296</f>
        <v>0</v>
      </c>
      <c r="G15" s="307">
        <f>=G26+G37+G48+G59+G70+G81+G92+G103+G114+G125+G137+G148+G159+G170+G181+G193+G204+G216+G227+G239+G250+G262+G273+G285+G296</f>
        <v>21.46</v>
      </c>
      <c r="H15" s="307">
        <f>=H26+H37+H48+H59+H70+H81+H92+H103+H114+H125+H137+H148+H159+H170+H181+H193+H204+H216+H227+H239+H250+H262+H273+H285+H296</f>
        <v>42.96</v>
      </c>
      <c r="I15" s="307">
        <f>=I26+I37+I48+I59+I70+I81+I92+I103+I114+I125+I137+I148+I159+I170+I181+I193+I204+I216+I227+I239+I250+I262+I273+I285+I296</f>
        <v>42.96</v>
      </c>
      <c r="J15" s="307">
        <f>=J26+J37+J48+J59+J70+J81+J92+J103+J114+J125+J137+J148+J159+J170+J181+J193+J204+J216+J227+J239+J250+J262+J273+J285+J296</f>
        <v>42.96</v>
      </c>
      <c r="K15" s="307">
        <f>=K26+K37+K48+K59+K70+K81+K92+K103+K114+K125+K137+K148+K159+K170+K181+K193+K204+K216+K227+K239+K250+K262+K273+K285+K296</f>
        <v>42.96</v>
      </c>
      <c r="L15" s="307">
        <f>=L26+L37+L48+L59+L70+L81+L92+L103+L114+L125+L137+L148+L159+L170+L181+L193+L204+L216+L227+L239+L250+L262+L273+L285+L296</f>
        <v>42.96</v>
      </c>
      <c r="M15" s="307">
        <f>=M26+M37+M48+M59+M70+M81+M92+M103+M114+M125+M137+M148+M159+M170+M181+M193+M204+M216+M227+M239+M250+M262+M273+M285+M296</f>
        <v>42.96</v>
      </c>
      <c r="N15" s="307">
        <f>=N26+N37+N48+N59+N70+N81+N92+N103+N114+N125+N137+N148+N159+N170+N181+N193+N204+N216+N227+N239+N250+N262+N273+N285+N296</f>
        <v>42.96</v>
      </c>
      <c r="O15" s="307">
        <f>=O26+O37+O48+O59+O70+O81+O92+O103+O114+O125+O137+O148+O159+O170+O181+O193+O204+O216+O227+O239+O250+O262+O273+O285+O296</f>
        <v>42.96</v>
      </c>
      <c r="P15" s="307">
        <f>=P26+P37+P48+P59+P70+P81+P92+P103+P114+P125+P137+P148+P159+P170+P181+P193+P204+P216+P227+P239+P250+P262+P273+P285+P296</f>
        <v>42.96</v>
      </c>
      <c r="Q15" s="307">
        <f>=Q26+Q37+Q48+Q59+Q70+Q81+Q92+Q103+Q114+Q125+Q137+Q148+Q159+Q170+Q181+Q193+Q204+Q216+Q227+Q239+Q250+Q262+Q273+Q285+Q296</f>
        <v>42.96</v>
      </c>
      <c r="R15" s="307">
        <f>=R26+R37+R48+R59+R70+R81+R92+R103+R114+R125+R137+R148+R159+R170+R181+R193+R204+R216+R227+R239+R250+R262+R273+R285+R296</f>
        <v>42.96</v>
      </c>
      <c r="S15" s="307">
        <f>=S26+S37+S48+S59+S70+S81+S92+S103+S114+S125+S137+S148+S159+S170+S181+S193+S204+S216+S227+S239+S250+S262+S273+S285+S296</f>
        <v>0</v>
      </c>
      <c r="T15" s="307">
        <f>=T26+T37+T48+T59+T70+T81+T92+T103+T114+T125+T137+T148+T159+T170+T181+T193+T204+T216+T227+T239+T250+T262+T273+T285+T296</f>
        <v>0</v>
      </c>
      <c r="U15" s="307">
        <f>=U26+U37+U48+U59+U70+U81+U92+U103+U114+U125+U137+U148+U159+U170+U181+U193+U204+U216+U227+U239+U250+U262+U273+U285+U296</f>
        <v>0</v>
      </c>
      <c r="V15" s="307">
        <f>=V26+V37+V48+V59+V70+V81+V92+V103+V114+V125+V137+V148+V159+V170+V181+V193+V204+V216+V227+V239+V250+V262+V273+V285+V296</f>
        <v>0</v>
      </c>
      <c r="W15" s="307">
        <f>=W26+W37+W48+W59+W70+W81+W92+W103+W114+W125+W137+W148+W159+W170+W181+W193+W204+W216+W227+W239+W250+W262+W273+W285+W296</f>
        <v>0</v>
      </c>
      <c r="X15" s="307">
        <f>=X26+X37+X48+X59+X70+X81+X92+X103+X114+X125+X137+X148+X159+X170+X181+X193+X204+X216+X227+X239+X250+X262+X273+X285+X296</f>
        <v>0</v>
      </c>
      <c r="Y15" s="307">
        <f>=Y26+Y37+Y48+Y59+Y70+Y81+Y92+Y103+Y114+Y125+Y137+Y148+Y159+Y170+Y181+Y193+Y204+Y216+Y227+Y239+Y250+Y262+Y273+Y285+Y296</f>
        <v>0</v>
      </c>
      <c r="Z15" s="307">
        <f>=Z26+Z37+Z48+Z59+Z70+Z81+Z92+Z103+Z114+Z125+Z137+Z148+Z159+Z170+Z181+Z193+Z204+Z216+Z227+Z239+Z250+Z262+Z273+Z285+Z296</f>
        <v>0</v>
      </c>
      <c r="AA15" s="188" t="s">
        <v>1230</v>
      </c>
    </row>
    <row r="16" spans="1:27" ht="12" customHeight="true">
      <c r="A16" s="297">
        <v>2</v>
      </c>
      <c r="B16" s="308" t="s">
        <v>656</v>
      </c>
      <c r="C16" s="303" t="s"/>
      <c r="D16" s="306">
        <f>=SUM(E16:Z16)</f>
        <v>56.8341592920354</v>
      </c>
      <c r="E16" s="307">
        <f>=E28+E39+E50+E61+E72+E83+E94+E105+E116+E127+E139+E150+E161+E172+E183+E195+E206+E218+E229+E241+E252+E264+E275+E287+E298</f>
        <v>0</v>
      </c>
      <c r="F16" s="307">
        <f>=F28+F39+F50+F61+F72+F83+F94+F105+F116+F127+F139+F150+F161+F172+F183+F195+F206+F218+F229+F241+F252+F264+F275+F287+F298</f>
        <v>0</v>
      </c>
      <c r="G16" s="307">
        <f>=G28+G39+G50+G61+G72+G83+G94+G105+G116+G127+G139+G150+G161+G172+G183+G195+G206+G218+G229+G241+G252+G264+G275+G287+G298</f>
        <v>2.46884955752212</v>
      </c>
      <c r="H16" s="307">
        <f>=H28+H39+H50+H61+H72+H83+H94+H105+H116+H127+H139+H150+H161+H172+H183+H195+H206+H218+H229+H241+H252+H264+H275+H287+H298</f>
        <v>4.94230088495575</v>
      </c>
      <c r="I16" s="307">
        <f>=I28+I39+I50+I61+I72+I83+I94+I105+I116+I127+I139+I150+I161+I172+I183+I195+I206+I218+I229+I241+I252+I264+I275+I287+I298</f>
        <v>4.94230088495575</v>
      </c>
      <c r="J16" s="307">
        <f>=J28+J39+J50+J61+J72+J83+J94+J105+J116+J127+J139+J150+J161+J172+J183+J195+J206+J218+J229+J241+J252+J264+J275+J287+J298</f>
        <v>4.94230088495575</v>
      </c>
      <c r="K16" s="307">
        <f>=K28+K39+K50+K61+K72+K83+K94+K105+K116+K127+K139+K150+K161+K172+K183+K195+K206+K218+K229+K241+K252+K264+K275+K287+K298</f>
        <v>4.94230088495575</v>
      </c>
      <c r="L16" s="307">
        <f>=L28+L39+L50+L61+L72+L83+L94+L105+L116+L127+L139+L150+L161+L172+L183+L195+L206+L218+L229+L241+L252+L264+L275+L287+L298</f>
        <v>4.94230088495575</v>
      </c>
      <c r="M16" s="307">
        <f>=M28+M39+M50+M61+M72+M83+M94+M105+M116+M127+M139+M150+M161+M172+M183+M195+M206+M218+M229+M241+M252+M264+M275+M287+M298</f>
        <v>4.94230088495575</v>
      </c>
      <c r="N16" s="307">
        <f>=N28+N39+N50+N61+N72+N83+N94+N105+N116+N127+N139+N150+N161+N172+N183+N195+N206+N218+N229+N241+N252+N264+N275+N287+N298</f>
        <v>4.94230088495575</v>
      </c>
      <c r="O16" s="307">
        <f>=O28+O39+O50+O61+O72+O83+O94+O105+O116+O127+O139+O150+O161+O172+O183+O195+O206+O218+O229+O241+O252+O264+O275+O287+O298</f>
        <v>4.94230088495575</v>
      </c>
      <c r="P16" s="307">
        <f>=P28+P39+P50+P61+P72+P83+P94+P105+P116+P127+P139+P150+P161+P172+P183+P195+P206+P218+P229+P241+P252+P264+P275+P287+P298</f>
        <v>4.94230088495575</v>
      </c>
      <c r="Q16" s="307">
        <f>=Q28+Q39+Q50+Q61+Q72+Q83+Q94+Q105+Q116+Q127+Q139+Q150+Q161+Q172+Q183+Q195+Q206+Q218+Q229+Q241+Q252+Q264+Q275+Q287+Q298</f>
        <v>4.94230088495575</v>
      </c>
      <c r="R16" s="307">
        <f>=R28+R39+R50+R61+R72+R83+R94+R105+R116+R127+R139+R150+R161+R172+R183+R195+R206+R218+R229+R241+R252+R264+R275+R287+R298</f>
        <v>4.94230088495575</v>
      </c>
      <c r="S16" s="307">
        <f>=S28+S39+S50+S61+S72+S83+S94+S105+S116+S127+S139+S150+S161+S172+S183+S195+S206+S218+S229+S241+S252+S264+S275+S287+S298</f>
        <v>0</v>
      </c>
      <c r="T16" s="307">
        <f>=T28+T39+T50+T61+T72+T83+T94+T105+T116+T127+T139+T150+T161+T172+T183+T195+T206+T218+T229+T241+T252+T264+T275+T287+T298</f>
        <v>0</v>
      </c>
      <c r="U16" s="307">
        <f>=U28+U39+U50+U61+U72+U83+U94+U105+U116+U127+U139+U150+U161+U172+U183+U195+U206+U218+U229+U241+U252+U264+U275+U287+U298</f>
        <v>0</v>
      </c>
      <c r="V16" s="307">
        <f>=V28+V39+V50+V61+V72+V83+V94+V105+V116+V127+V139+V150+V161+V172+V183+V195+V206+V218+V229+V241+V252+V264+V275+V287+V298</f>
        <v>0</v>
      </c>
      <c r="W16" s="307">
        <f>=W28+W39+W50+W61+W72+W83+W94+W105+W116+W127+W139+W150+W161+W172+W183+W195+W206+W218+W229+W241+W252+W264+W275+W287+W298</f>
        <v>0</v>
      </c>
      <c r="X16" s="307">
        <f>=X28+X39+X50+X61+X72+X83+X94+X105+X116+X127+X139+X150+X161+X172+X183+X195+X206+X218+X229+X241+X252+X264+X275+X287+X298</f>
        <v>0</v>
      </c>
      <c r="Y16" s="307">
        <f>=Y28+Y39+Y50+Y61+Y72+Y83+Y94+Y105+Y116+Y127+Y139+Y150+Y161+Y172+Y183+Y195+Y206+Y218+Y229+Y241+Y252+Y264+Y275+Y287+Y298</f>
        <v>0</v>
      </c>
      <c r="Z16" s="307">
        <f>=Z28+Z39+Z50+Z61+Z72+Z83+Z94+Z105+Z116+Z127+Z139+Z150+Z161+Z172+Z183+Z195+Z206+Z218+Z229+Z241+Z252+Z264+Z275+Z287+Z298</f>
        <v>0</v>
      </c>
      <c r="AA16" s="188" t="s">
        <v>1231</v>
      </c>
    </row>
    <row r="17" spans="1:26" ht="12" customHeight="true">
      <c r="A17" s="297" t="s">
        <v>469</v>
      </c>
      <c r="B17" s="308" t="s">
        <v>1232</v>
      </c>
      <c r="C17" s="303" t="s"/>
      <c r="D17" s="316" t="s"/>
      <c r="E17" s="579" t="s"/>
      <c r="F17" s="579" t="s"/>
      <c r="G17" s="579" t="s"/>
      <c r="H17" s="579" t="s"/>
      <c r="I17" s="579" t="s"/>
      <c r="J17" s="579" t="s"/>
      <c r="K17" s="579" t="s"/>
      <c r="L17" s="579" t="s"/>
      <c r="M17" s="579" t="s"/>
      <c r="N17" s="579" t="s"/>
      <c r="O17" s="579" t="s"/>
      <c r="P17" s="579" t="s"/>
      <c r="Q17" s="579" t="s"/>
      <c r="R17" s="579" t="s"/>
      <c r="S17" s="579" t="s"/>
      <c r="T17" s="579" t="s"/>
      <c r="U17" s="579" t="s"/>
      <c r="V17" s="579" t="s"/>
      <c r="W17" s="579" t="s"/>
      <c r="X17" s="579" t="s"/>
      <c r="Y17" s="579" t="s"/>
      <c r="Z17" s="579" t="s"/>
    </row>
    <row r="18" spans="1:27" ht="12" customHeight="true">
      <c r="A18" s="297">
        <v>1</v>
      </c>
      <c r="B18" s="308" t="s">
        <v>921</v>
      </c>
      <c r="C18" s="303" t="s"/>
      <c r="D18" s="306">
        <f>=SUM(E18:Z18)</f>
        <v>0</v>
      </c>
      <c r="E18" s="307">
        <f>=E29+E40+E51+E62+E73+E84+E95+E106+E117+E128</f>
        <v>0</v>
      </c>
      <c r="F18" s="307">
        <f>=F29+F40+F51+F62+F73+F84+F95+F106+F117+F128</f>
        <v>0</v>
      </c>
      <c r="G18" s="307">
        <f>=G29+G40+G51+G62+G73+G84+G95+G106+G117+G128</f>
        <v>0</v>
      </c>
      <c r="H18" s="307">
        <f>=H29+H40+H51+H62+H73+H84+H95+H106+H117+H128</f>
        <v>0</v>
      </c>
      <c r="I18" s="307">
        <f>=I29+I40+I51+I62+I73+I84+I95+I106+I117+I128</f>
        <v>0</v>
      </c>
      <c r="J18" s="307">
        <f>=J29+J40+J51+J62+J73+J84+J95+J106+J117+J128</f>
        <v>0</v>
      </c>
      <c r="K18" s="307">
        <f>=K29+K40+K51+K62+K73+K84+K95+K106+K117+K128</f>
        <v>0</v>
      </c>
      <c r="L18" s="307">
        <f>=L29+L40+L51+L62+L73+L84+L95+L106+L117+L128</f>
        <v>0</v>
      </c>
      <c r="M18" s="307">
        <f>=M29+M40+M51+M62+M73+M84+M95+M106+M117+M128</f>
        <v>0</v>
      </c>
      <c r="N18" s="307">
        <f>=N29+N40+N51+N62+N73+N84+N95+N106+N117+N128</f>
        <v>0</v>
      </c>
      <c r="O18" s="307">
        <f>=O29+O40+O51+O62+O73+O84+O95+O106+O117+O128</f>
        <v>0</v>
      </c>
      <c r="P18" s="307">
        <f>=P29+P40+P51+P62+P73+P84+P95+P106+P117+P128</f>
        <v>0</v>
      </c>
      <c r="Q18" s="307">
        <f>=Q29+Q40+Q51+Q62+Q73+Q84+Q95+Q106+Q117+Q128</f>
        <v>0</v>
      </c>
      <c r="R18" s="307">
        <f>=R29+R40+R51+R62+R73+R84+R95+R106+R117+R128</f>
        <v>0</v>
      </c>
      <c r="S18" s="307">
        <f>=S29+S40+S51+S62+S73+S84+S95+S106+S117+S128</f>
        <v>0</v>
      </c>
      <c r="T18" s="307">
        <f>=T29+T40+T51+T62+T73+T84+T95+T106+T117+T128</f>
        <v>0</v>
      </c>
      <c r="U18" s="307">
        <f>=U29+U40+U51+U62+U73+U84+U95+U106+U117+U128</f>
        <v>0</v>
      </c>
      <c r="V18" s="307">
        <f>=V29+V40+V51+V62+V73+V84+V95+V106+V117+V128</f>
        <v>0</v>
      </c>
      <c r="W18" s="307">
        <f>=W29+W40+W51+W62+W73+W84+W95+W106+W117+W128</f>
        <v>0</v>
      </c>
      <c r="X18" s="307">
        <f>=X29+X40+X51+X62+X73+X84+X95+X106+X117+X128</f>
        <v>0</v>
      </c>
      <c r="Y18" s="307">
        <f>=Y29+Y40+Y51+Y62+Y73+Y84+Y95+Y106+Y117+Y128</f>
        <v>0</v>
      </c>
      <c r="Z18" s="307">
        <f>=Z29+Z40+Z51+Z62+Z73+Z84+Z95+Z106+Z117+Z128</f>
        <v>0</v>
      </c>
      <c r="AA18" s="188" t="s">
        <v>1233</v>
      </c>
    </row>
    <row r="19" spans="1:26" ht="12" customHeight="true">
      <c r="A19" s="314">
        <v>1.1</v>
      </c>
      <c r="B19" s="580" t="s"/>
      <c r="C19" s="580" t="s"/>
      <c r="D19" s="316" t="s">
        <v>672</v>
      </c>
      <c r="E19" s="316" t="s"/>
      <c r="F19" s="316" t="s"/>
      <c r="G19" s="316" t="s"/>
      <c r="H19" s="316" t="s"/>
      <c r="I19" s="316" t="s"/>
      <c r="J19" s="316" t="s"/>
      <c r="K19" s="316" t="s"/>
      <c r="L19" s="316" t="s"/>
      <c r="M19" s="316" t="s"/>
      <c r="N19" s="316" t="s"/>
      <c r="O19" s="316" t="s"/>
      <c r="P19" s="316" t="s"/>
      <c r="Q19" s="316" t="s"/>
      <c r="R19" s="316" t="s"/>
      <c r="S19" s="316" t="s"/>
      <c r="T19" s="316" t="s"/>
      <c r="U19" s="316" t="s"/>
      <c r="V19" s="316" t="s"/>
      <c r="W19" s="316" t="s"/>
      <c r="X19" s="316" t="s"/>
      <c r="Y19" s="316" t="s"/>
      <c r="Z19" s="316" t="s"/>
    </row>
    <row r="20" spans="1:27" ht="12" customHeight="true">
      <c r="A20" s="314" t="s"/>
      <c r="B20" s="318" t="s">
        <v>688</v>
      </c>
      <c r="C20" s="319" t="s"/>
      <c r="D20" s="320" t="s">
        <v>674</v>
      </c>
      <c r="E20" s="331" t="s"/>
      <c r="F20" s="331" t="s"/>
      <c r="G20" s="331" t="s"/>
      <c r="H20" s="331" t="s"/>
      <c r="I20" s="331" t="s"/>
      <c r="J20" s="331" t="s"/>
      <c r="K20" s="331" t="s"/>
      <c r="L20" s="331" t="s"/>
      <c r="M20" s="331" t="s"/>
      <c r="N20" s="331" t="s"/>
      <c r="O20" s="331" t="s"/>
      <c r="P20" s="331" t="s"/>
      <c r="Q20" s="331" t="s"/>
      <c r="R20" s="331" t="s"/>
      <c r="S20" s="331" t="s"/>
      <c r="T20" s="331" t="s"/>
      <c r="U20" s="331" t="s"/>
      <c r="V20" s="331" t="s"/>
      <c r="W20" s="331" t="s"/>
      <c r="X20" s="331" t="s"/>
      <c r="Y20" s="331" t="s"/>
      <c r="Z20" s="331" t="s"/>
      <c r="AA20" s="188" t="s">
        <v>1234</v>
      </c>
    </row>
    <row r="21" spans="1:27" ht="12" customHeight="true">
      <c r="A21" s="314" t="s"/>
      <c r="B21" s="323" t="s">
        <v>534</v>
      </c>
      <c r="C21" s="324">
        <f>=IF($D20="美元",辅助表1评估项目基础数据表!$C$17,IF($D20="其他外币",辅助表1评估项目基础数据表!$C$18,1))</f>
        <v>1</v>
      </c>
      <c r="D21" s="300" t="s"/>
      <c r="E21" s="325">
        <f>=$C21</f>
        <v>1</v>
      </c>
      <c r="F21" s="325">
        <f>=$C21</f>
        <v>1</v>
      </c>
      <c r="G21" s="325">
        <f>=$C21</f>
        <v>1</v>
      </c>
      <c r="H21" s="325">
        <f>=$C21</f>
        <v>1</v>
      </c>
      <c r="I21" s="325">
        <f>=$C21</f>
        <v>1</v>
      </c>
      <c r="J21" s="325">
        <f>=$C21</f>
        <v>1</v>
      </c>
      <c r="K21" s="325">
        <f>=$C21</f>
        <v>1</v>
      </c>
      <c r="L21" s="325">
        <f>=$C21</f>
        <v>1</v>
      </c>
      <c r="M21" s="325">
        <f>=$C21</f>
        <v>1</v>
      </c>
      <c r="N21" s="325">
        <f>=$C21</f>
        <v>1</v>
      </c>
      <c r="O21" s="325">
        <f>=$C21</f>
        <v>1</v>
      </c>
      <c r="P21" s="325">
        <f>=$C21</f>
        <v>1</v>
      </c>
      <c r="Q21" s="325">
        <f>=$C21</f>
        <v>1</v>
      </c>
      <c r="R21" s="325">
        <f>=$C21</f>
        <v>1</v>
      </c>
      <c r="S21" s="325">
        <f>=$C21</f>
        <v>1</v>
      </c>
      <c r="T21" s="325">
        <f>=$C21</f>
        <v>1</v>
      </c>
      <c r="U21" s="325">
        <f>=$C21</f>
        <v>1</v>
      </c>
      <c r="V21" s="325">
        <f>=$C21</f>
        <v>1</v>
      </c>
      <c r="W21" s="325">
        <f>=$C21</f>
        <v>1</v>
      </c>
      <c r="X21" s="325">
        <f>=$C21</f>
        <v>1</v>
      </c>
      <c r="Y21" s="325">
        <f>=$C21</f>
        <v>1</v>
      </c>
      <c r="Z21" s="325">
        <f>=$C21</f>
        <v>1</v>
      </c>
      <c r="AA21" s="188" t="s"/>
    </row>
    <row r="22" spans="1:27" ht="12" customHeight="true">
      <c r="A22" s="314" t="s"/>
      <c r="B22" s="326" t="s">
        <v>676</v>
      </c>
      <c r="C22" s="327" t="s"/>
      <c r="D22" s="310" t="s"/>
      <c r="E22" s="328">
        <f>=E20*E21</f>
        <v>0</v>
      </c>
      <c r="F22" s="328">
        <f>=F20*F21</f>
        <v>0</v>
      </c>
      <c r="G22" s="328">
        <f>=G20*G21</f>
        <v>0</v>
      </c>
      <c r="H22" s="328">
        <f>=H20*H21</f>
        <v>0</v>
      </c>
      <c r="I22" s="328">
        <f>=I20*I21</f>
        <v>0</v>
      </c>
      <c r="J22" s="328">
        <f>=J20*J21</f>
        <v>0</v>
      </c>
      <c r="K22" s="328">
        <f>=K20*K21</f>
        <v>0</v>
      </c>
      <c r="L22" s="328">
        <f>=L20*L21</f>
        <v>0</v>
      </c>
      <c r="M22" s="328">
        <f>=M20*M21</f>
        <v>0</v>
      </c>
      <c r="N22" s="328">
        <f>=N20*N21</f>
        <v>0</v>
      </c>
      <c r="O22" s="328">
        <f>=O20*O21</f>
        <v>0</v>
      </c>
      <c r="P22" s="328">
        <f>=P20*P21</f>
        <v>0</v>
      </c>
      <c r="Q22" s="328">
        <f>=Q20*Q21</f>
        <v>0</v>
      </c>
      <c r="R22" s="328">
        <f>=R20*R21</f>
        <v>0</v>
      </c>
      <c r="S22" s="328">
        <f>=S20*S21</f>
        <v>0</v>
      </c>
      <c r="T22" s="328">
        <f>=T20*T21</f>
        <v>0</v>
      </c>
      <c r="U22" s="328">
        <f>=U20*U21</f>
        <v>0</v>
      </c>
      <c r="V22" s="328">
        <f>=V20*V21</f>
        <v>0</v>
      </c>
      <c r="W22" s="328">
        <f>=W20*W21</f>
        <v>0</v>
      </c>
      <c r="X22" s="328">
        <f>=X20*X21</f>
        <v>0</v>
      </c>
      <c r="Y22" s="328">
        <f>=Y20*Y21</f>
        <v>0</v>
      </c>
      <c r="Z22" s="328">
        <f>=Z20*Z21</f>
        <v>0</v>
      </c>
      <c r="AA22" s="188" t="s">
        <v>1235</v>
      </c>
    </row>
    <row r="23" spans="1:27" ht="12" customHeight="true">
      <c r="A23" s="314" t="s"/>
      <c r="B23" s="333" t="s">
        <v>1236</v>
      </c>
      <c r="C23" s="330" t="s"/>
      <c r="D23" s="306">
        <f>=SUM(E23:Z23)</f>
        <v>0</v>
      </c>
      <c r="E23" s="331" t="s"/>
      <c r="F23" s="331">
        <f>=E23</f>
        <v>0</v>
      </c>
      <c r="G23" s="331" t="s"/>
      <c r="H23" s="331" t="s"/>
      <c r="I23" s="331" t="s"/>
      <c r="J23" s="331" t="s"/>
      <c r="K23" s="331" t="s"/>
      <c r="L23" s="331" t="s"/>
      <c r="M23" s="331" t="s"/>
      <c r="N23" s="331" t="s"/>
      <c r="O23" s="331" t="s"/>
      <c r="P23" s="331" t="s"/>
      <c r="Q23" s="331" t="s"/>
      <c r="R23" s="331" t="s"/>
      <c r="S23" s="331" t="s"/>
      <c r="T23" s="331" t="s"/>
      <c r="U23" s="331" t="s"/>
      <c r="V23" s="331" t="s"/>
      <c r="W23" s="331" t="s"/>
      <c r="X23" s="331" t="s"/>
      <c r="Y23" s="331" t="s"/>
      <c r="Z23" s="331" t="s"/>
      <c r="AA23" s="188" t="s">
        <v>1237</v>
      </c>
    </row>
    <row r="24" spans="1:27" ht="12" customHeight="true">
      <c r="A24" s="314" t="s"/>
      <c r="B24" s="333" t="s">
        <v>1238</v>
      </c>
      <c r="C24" s="333" t="s"/>
      <c r="D24" s="306">
        <f>=SUM(E24:Z24)</f>
        <v>0</v>
      </c>
      <c r="E24" s="306">
        <f>=E22*E23</f>
        <v>0</v>
      </c>
      <c r="F24" s="306">
        <f>=F22*F23</f>
        <v>0</v>
      </c>
      <c r="G24" s="306">
        <f>=G22*G23</f>
        <v>0</v>
      </c>
      <c r="H24" s="306">
        <f>=H22*H23</f>
        <v>0</v>
      </c>
      <c r="I24" s="306">
        <f>=I22*I23</f>
        <v>0</v>
      </c>
      <c r="J24" s="306">
        <f>=J22*J23</f>
        <v>0</v>
      </c>
      <c r="K24" s="306">
        <f>=K22*K23</f>
        <v>0</v>
      </c>
      <c r="L24" s="306">
        <f>=L22*L23</f>
        <v>0</v>
      </c>
      <c r="M24" s="306">
        <f>=M22*M23</f>
        <v>0</v>
      </c>
      <c r="N24" s="306">
        <f>=N22*N23</f>
        <v>0</v>
      </c>
      <c r="O24" s="306">
        <f>=O22*O23</f>
        <v>0</v>
      </c>
      <c r="P24" s="306">
        <f>=P22*P23</f>
        <v>0</v>
      </c>
      <c r="Q24" s="306">
        <f>=Q22*Q23</f>
        <v>0</v>
      </c>
      <c r="R24" s="306">
        <f>=R22*R23</f>
        <v>0</v>
      </c>
      <c r="S24" s="306">
        <f>=S22*S23</f>
        <v>0</v>
      </c>
      <c r="T24" s="306">
        <f>=T22*T23</f>
        <v>0</v>
      </c>
      <c r="U24" s="306">
        <f>=U22*U23</f>
        <v>0</v>
      </c>
      <c r="V24" s="306">
        <f>=V22*V23</f>
        <v>0</v>
      </c>
      <c r="W24" s="306">
        <f>=W22*W23</f>
        <v>0</v>
      </c>
      <c r="X24" s="306">
        <f>=X22*X23</f>
        <v>0</v>
      </c>
      <c r="Y24" s="306">
        <f>=Y22*Y23</f>
        <v>0</v>
      </c>
      <c r="Z24" s="306">
        <f>=Z22*Z23</f>
        <v>0</v>
      </c>
      <c r="AA24" s="188" t="s">
        <v>1239</v>
      </c>
    </row>
    <row r="25" spans="1:26" ht="12" customHeight="true">
      <c r="A25" s="314" t="s"/>
      <c r="B25" s="334" t="s">
        <v>1240</v>
      </c>
      <c r="C25" s="335" t="s"/>
      <c r="D25" s="310" t="s"/>
      <c r="E25" s="336">
        <f>=$C25</f>
        <v>0</v>
      </c>
      <c r="F25" s="336">
        <f>=$C25</f>
        <v>0</v>
      </c>
      <c r="G25" s="336">
        <f>=$C25</f>
        <v>0</v>
      </c>
      <c r="H25" s="336">
        <f>=$C25</f>
        <v>0</v>
      </c>
      <c r="I25" s="336">
        <f>=$C25</f>
        <v>0</v>
      </c>
      <c r="J25" s="336">
        <f>=$C25</f>
        <v>0</v>
      </c>
      <c r="K25" s="336">
        <f>=$C25</f>
        <v>0</v>
      </c>
      <c r="L25" s="336">
        <f>=$C25</f>
        <v>0</v>
      </c>
      <c r="M25" s="336">
        <f>=$C25</f>
        <v>0</v>
      </c>
      <c r="N25" s="336">
        <f>=$C25</f>
        <v>0</v>
      </c>
      <c r="O25" s="336">
        <f>=$C25</f>
        <v>0</v>
      </c>
      <c r="P25" s="336">
        <f>=$C25</f>
        <v>0</v>
      </c>
      <c r="Q25" s="336">
        <f>=$C25</f>
        <v>0</v>
      </c>
      <c r="R25" s="336">
        <f>=$C25</f>
        <v>0</v>
      </c>
      <c r="S25" s="336">
        <f>=$C25</f>
        <v>0</v>
      </c>
      <c r="T25" s="336">
        <f>=$C25</f>
        <v>0</v>
      </c>
      <c r="U25" s="336">
        <f>=$C25</f>
        <v>0</v>
      </c>
      <c r="V25" s="336">
        <f>=$C25</f>
        <v>0</v>
      </c>
      <c r="W25" s="336">
        <f>=$C25</f>
        <v>0</v>
      </c>
      <c r="X25" s="336">
        <f>=$C25</f>
        <v>0</v>
      </c>
      <c r="Y25" s="336">
        <f>=$C25</f>
        <v>0</v>
      </c>
      <c r="Z25" s="336">
        <f>=$C25</f>
        <v>0</v>
      </c>
    </row>
    <row r="26" spans="1:26" ht="12" customHeight="true">
      <c r="A26" s="314" t="s"/>
      <c r="B26" s="334" t="s">
        <v>1229</v>
      </c>
      <c r="C26" s="310" t="s"/>
      <c r="D26" s="306">
        <f>=SUM(E26:Z26)</f>
        <v>0</v>
      </c>
      <c r="E26" s="306">
        <f>=E24*(1+E25)</f>
        <v>0</v>
      </c>
      <c r="F26" s="306">
        <f>=F24*(1+F25)</f>
        <v>0</v>
      </c>
      <c r="G26" s="306">
        <f>=G24*(1+G25)</f>
        <v>0</v>
      </c>
      <c r="H26" s="306">
        <f>=H24*(1+H25)</f>
        <v>0</v>
      </c>
      <c r="I26" s="306">
        <f>=I24*(1+I25)</f>
        <v>0</v>
      </c>
      <c r="J26" s="306">
        <f>=J24*(1+J25)</f>
        <v>0</v>
      </c>
      <c r="K26" s="306">
        <f>=K24*(1+K25)</f>
        <v>0</v>
      </c>
      <c r="L26" s="306">
        <f>=L24*(1+L25)</f>
        <v>0</v>
      </c>
      <c r="M26" s="306">
        <f>=M24*(1+M25)</f>
        <v>0</v>
      </c>
      <c r="N26" s="306">
        <f>=N24*(1+N25)</f>
        <v>0</v>
      </c>
      <c r="O26" s="306">
        <f>=O24*(1+O25)</f>
        <v>0</v>
      </c>
      <c r="P26" s="306">
        <f>=P24*(1+P25)</f>
        <v>0</v>
      </c>
      <c r="Q26" s="306">
        <f>=Q24*(1+Q25)</f>
        <v>0</v>
      </c>
      <c r="R26" s="306">
        <f>=R24*(1+R25)</f>
        <v>0</v>
      </c>
      <c r="S26" s="306">
        <f>=S24*(1+S25)</f>
        <v>0</v>
      </c>
      <c r="T26" s="306">
        <f>=T24*(1+T25)</f>
        <v>0</v>
      </c>
      <c r="U26" s="306">
        <f>=U24*(1+U25)</f>
        <v>0</v>
      </c>
      <c r="V26" s="306">
        <f>=V24*(1+V25)</f>
        <v>0</v>
      </c>
      <c r="W26" s="306">
        <f>=W24*(1+W25)</f>
        <v>0</v>
      </c>
      <c r="X26" s="306">
        <f>=X24*(1+X25)</f>
        <v>0</v>
      </c>
      <c r="Y26" s="306">
        <f>=Y24*(1+Y25)</f>
        <v>0</v>
      </c>
      <c r="Z26" s="306">
        <f>=Z24*(1+Z25)</f>
        <v>0</v>
      </c>
    </row>
    <row r="27" spans="1:26" ht="12" customHeight="true">
      <c r="A27" s="314" t="s"/>
      <c r="B27" s="334" t="s">
        <v>682</v>
      </c>
      <c r="C27" s="335" t="s"/>
      <c r="D27" s="310" t="s"/>
      <c r="E27" s="336">
        <f>=$C27</f>
        <v>0</v>
      </c>
      <c r="F27" s="336">
        <f>=$C27</f>
        <v>0</v>
      </c>
      <c r="G27" s="336">
        <f>=$C27</f>
        <v>0</v>
      </c>
      <c r="H27" s="336">
        <f>=$C27</f>
        <v>0</v>
      </c>
      <c r="I27" s="336">
        <f>=$C27</f>
        <v>0</v>
      </c>
      <c r="J27" s="336">
        <f>=$C27</f>
        <v>0</v>
      </c>
      <c r="K27" s="336">
        <f>=$C27</f>
        <v>0</v>
      </c>
      <c r="L27" s="336">
        <f>=$C27</f>
        <v>0</v>
      </c>
      <c r="M27" s="336">
        <f>=$C27</f>
        <v>0</v>
      </c>
      <c r="N27" s="336">
        <f>=$C27</f>
        <v>0</v>
      </c>
      <c r="O27" s="336">
        <f>=$C27</f>
        <v>0</v>
      </c>
      <c r="P27" s="336">
        <f>=$C27</f>
        <v>0</v>
      </c>
      <c r="Q27" s="336">
        <f>=$C27</f>
        <v>0</v>
      </c>
      <c r="R27" s="336">
        <f>=$C27</f>
        <v>0</v>
      </c>
      <c r="S27" s="336">
        <f>=$C27</f>
        <v>0</v>
      </c>
      <c r="T27" s="336">
        <f>=$C27</f>
        <v>0</v>
      </c>
      <c r="U27" s="336">
        <f>=$C27</f>
        <v>0</v>
      </c>
      <c r="V27" s="336">
        <f>=$C27</f>
        <v>0</v>
      </c>
      <c r="W27" s="336">
        <f>=$C27</f>
        <v>0</v>
      </c>
      <c r="X27" s="336">
        <f>=$C27</f>
        <v>0</v>
      </c>
      <c r="Y27" s="336">
        <f>=$C27</f>
        <v>0</v>
      </c>
      <c r="Z27" s="336">
        <f>=$C27</f>
        <v>0</v>
      </c>
    </row>
    <row r="28" spans="1:27" ht="12" customHeight="true">
      <c r="A28" s="314" t="s"/>
      <c r="B28" s="334" t="s">
        <v>656</v>
      </c>
      <c r="C28" s="337" t="s"/>
      <c r="D28" s="306">
        <f>=SUM(E28:Z28)</f>
        <v>0</v>
      </c>
      <c r="E28" s="306">
        <f>=IF(E25=0,E26*E27/(1+E27),E26*E27)</f>
        <v>0</v>
      </c>
      <c r="F28" s="306">
        <f>=IF(F25=0,F26*F27/(1+F27),F26*F27)</f>
        <v>0</v>
      </c>
      <c r="G28" s="306">
        <f>=IF(G25=0,G26*G27/(1+G27),G26*G27)</f>
        <v>0</v>
      </c>
      <c r="H28" s="306">
        <f>=IF(H25=0,H26*H27/(1+H27),H26*H27)</f>
        <v>0</v>
      </c>
      <c r="I28" s="306">
        <f>=IF(I25=0,I26*I27/(1+I27),I26*I27)</f>
        <v>0</v>
      </c>
      <c r="J28" s="306">
        <f>=IF(J25=0,J26*J27/(1+J27),J26*J27)</f>
        <v>0</v>
      </c>
      <c r="K28" s="306">
        <f>=IF(K25=0,K26*K27/(1+K27),K26*K27)</f>
        <v>0</v>
      </c>
      <c r="L28" s="306">
        <f>=IF(L25=0,L26*L27/(1+L27),L26*L27)</f>
        <v>0</v>
      </c>
      <c r="M28" s="306">
        <f>=IF(M25=0,M26*M27/(1+M27),M26*M27)</f>
        <v>0</v>
      </c>
      <c r="N28" s="306">
        <f>=IF(N25=0,N26*N27/(1+N27),N26*N27)</f>
        <v>0</v>
      </c>
      <c r="O28" s="306">
        <f>=IF(O25=0,O26*O27/(1+O27),O26*O27)</f>
        <v>0</v>
      </c>
      <c r="P28" s="306">
        <f>=IF(P25=0,P26*P27/(1+P27),P26*P27)</f>
        <v>0</v>
      </c>
      <c r="Q28" s="306">
        <f>=IF(Q25=0,Q26*Q27/(1+Q27),Q26*Q27)</f>
        <v>0</v>
      </c>
      <c r="R28" s="306">
        <f>=IF(R25=0,R26*R27/(1+R27),R26*R27)</f>
        <v>0</v>
      </c>
      <c r="S28" s="306">
        <f>=IF(S25=0,S26*S27/(1+S27),S26*S27)</f>
        <v>0</v>
      </c>
      <c r="T28" s="306">
        <f>=IF(T25=0,T26*T27/(1+T27),T26*T27)</f>
        <v>0</v>
      </c>
      <c r="U28" s="306">
        <f>=IF(U25=0,U26*U27/(1+U27),U26*U27)</f>
        <v>0</v>
      </c>
      <c r="V28" s="306">
        <f>=IF(V25=0,V26*V27/(1+V27),V26*V27)</f>
        <v>0</v>
      </c>
      <c r="W28" s="306">
        <f>=IF(W25=0,W26*W27/(1+W27),W26*W27)</f>
        <v>0</v>
      </c>
      <c r="X28" s="306">
        <f>=IF(X25=0,X26*X27/(1+X27),X26*X27)</f>
        <v>0</v>
      </c>
      <c r="Y28" s="306">
        <f>=IF(Y25=0,Y26*Y27/(1+Y27),Y26*Y27)</f>
        <v>0</v>
      </c>
      <c r="Z28" s="306">
        <f>=IF(Z25=0,Z26*Z27/(1+Z27),Z26*Z27)</f>
        <v>0</v>
      </c>
      <c r="AA28" s="188" t="s">
        <v>1241</v>
      </c>
    </row>
    <row r="29" spans="1:27" ht="12" customHeight="true">
      <c r="A29" s="314" t="s"/>
      <c r="B29" s="334" t="s">
        <v>1242</v>
      </c>
      <c r="C29" s="337" t="s"/>
      <c r="D29" s="306">
        <f>=SUM(E29:Z29)</f>
        <v>0</v>
      </c>
      <c r="E29" s="306">
        <f>=IF(E25=0,E24,E26+E28)</f>
        <v>0</v>
      </c>
      <c r="F29" s="306">
        <f>=IF(F25=0,F24,F26+F28)</f>
        <v>0</v>
      </c>
      <c r="G29" s="306">
        <f>=IF(G25=0,G24,G26+G28)</f>
        <v>0</v>
      </c>
      <c r="H29" s="306">
        <f>=IF(H25=0,H24,H26+H28)</f>
        <v>0</v>
      </c>
      <c r="I29" s="306">
        <f>=IF(I25=0,I24,I26+I28)</f>
        <v>0</v>
      </c>
      <c r="J29" s="306">
        <f>=IF(J25=0,J24,J26+J28)</f>
        <v>0</v>
      </c>
      <c r="K29" s="306">
        <f>=IF(K25=0,K24,K26+K28)</f>
        <v>0</v>
      </c>
      <c r="L29" s="306">
        <f>=IF(L25=0,L24,L26+L28)</f>
        <v>0</v>
      </c>
      <c r="M29" s="306">
        <f>=IF(M25=0,M24,M26+M28)</f>
        <v>0</v>
      </c>
      <c r="N29" s="306">
        <f>=IF(N25=0,N24,N26+N28)</f>
        <v>0</v>
      </c>
      <c r="O29" s="306">
        <f>=IF(O25=0,O24,O26+O28)</f>
        <v>0</v>
      </c>
      <c r="P29" s="306">
        <f>=IF(P25=0,P24,P26+P28)</f>
        <v>0</v>
      </c>
      <c r="Q29" s="306">
        <f>=IF(Q25=0,Q24,Q26+Q28)</f>
        <v>0</v>
      </c>
      <c r="R29" s="306">
        <f>=IF(R25=0,R24,R26+R28)</f>
        <v>0</v>
      </c>
      <c r="S29" s="306">
        <f>=IF(S25=0,S24,S26+S28)</f>
        <v>0</v>
      </c>
      <c r="T29" s="306">
        <f>=IF(T25=0,T24,T26+T28)</f>
        <v>0</v>
      </c>
      <c r="U29" s="306">
        <f>=IF(U25=0,U24,U26+U28)</f>
        <v>0</v>
      </c>
      <c r="V29" s="306">
        <f>=IF(V25=0,V24,V26+V28)</f>
        <v>0</v>
      </c>
      <c r="W29" s="306">
        <f>=IF(W25=0,W24,W26+W28)</f>
        <v>0</v>
      </c>
      <c r="X29" s="306">
        <f>=IF(X25=0,X24,X26+X28)</f>
        <v>0</v>
      </c>
      <c r="Y29" s="306">
        <f>=IF(Y25=0,Y24,Y26+Y28)</f>
        <v>0</v>
      </c>
      <c r="Z29" s="306">
        <f>=IF(Z25=0,Z24,Z26+Z28)</f>
        <v>0</v>
      </c>
      <c r="AA29" s="188" t="s">
        <v>1243</v>
      </c>
    </row>
    <row r="30" spans="1:26" ht="12" customHeight="true">
      <c r="A30" s="314">
        <v>1.2</v>
      </c>
      <c r="B30" s="580" t="s"/>
      <c r="C30" s="580" t="s"/>
      <c r="D30" s="316" t="s">
        <v>672</v>
      </c>
      <c r="E30" s="581" t="s"/>
      <c r="F30" s="581" t="s"/>
      <c r="G30" s="581" t="s"/>
      <c r="H30" s="581" t="s"/>
      <c r="I30" s="581" t="s"/>
      <c r="J30" s="581" t="s"/>
      <c r="K30" s="581" t="s"/>
      <c r="L30" s="581" t="s"/>
      <c r="M30" s="581" t="s"/>
      <c r="N30" s="581" t="s"/>
      <c r="O30" s="581" t="s"/>
      <c r="P30" s="581" t="s"/>
      <c r="Q30" s="581" t="s"/>
      <c r="R30" s="581" t="s"/>
      <c r="S30" s="581" t="s"/>
      <c r="T30" s="581" t="s"/>
      <c r="U30" s="581" t="s"/>
      <c r="V30" s="581" t="s"/>
      <c r="W30" s="581" t="s"/>
      <c r="X30" s="581" t="s"/>
      <c r="Y30" s="581" t="s"/>
      <c r="Z30" s="581" t="s"/>
    </row>
    <row r="31" spans="1:26" ht="12" customHeight="true">
      <c r="A31" s="314" t="s"/>
      <c r="B31" s="318" t="s">
        <v>688</v>
      </c>
      <c r="C31" s="319" t="s"/>
      <c r="D31" s="582" t="s">
        <v>674</v>
      </c>
      <c r="E31" s="331" t="s"/>
      <c r="F31" s="331" t="s"/>
      <c r="G31" s="331" t="s"/>
      <c r="H31" s="331" t="s"/>
      <c r="I31" s="331" t="s"/>
      <c r="J31" s="331" t="s"/>
      <c r="K31" s="331" t="s"/>
      <c r="L31" s="331" t="s"/>
      <c r="M31" s="331" t="s"/>
      <c r="N31" s="331" t="s"/>
      <c r="O31" s="331" t="s"/>
      <c r="P31" s="331" t="s"/>
      <c r="Q31" s="331" t="s"/>
      <c r="R31" s="331" t="s"/>
      <c r="S31" s="331" t="s"/>
      <c r="T31" s="331" t="s"/>
      <c r="U31" s="331" t="s"/>
      <c r="V31" s="331" t="s"/>
      <c r="W31" s="331" t="s"/>
      <c r="X31" s="331" t="s"/>
      <c r="Y31" s="331" t="s"/>
      <c r="Z31" s="331" t="s"/>
    </row>
    <row r="32" spans="1:26" ht="12" customHeight="true">
      <c r="A32" s="314" t="s"/>
      <c r="B32" s="323" t="s">
        <v>534</v>
      </c>
      <c r="C32" s="324">
        <f>=IF($D31="美元",辅助表1评估项目基础数据表!$C$17,IF($D31="其他外币",辅助表1评估项目基础数据表!$C$18,1))</f>
        <v>1</v>
      </c>
      <c r="D32" s="300" t="s"/>
      <c r="E32" s="325">
        <f>=$C32</f>
        <v>1</v>
      </c>
      <c r="F32" s="325">
        <f>=$C32</f>
        <v>1</v>
      </c>
      <c r="G32" s="325">
        <f>=$C32</f>
        <v>1</v>
      </c>
      <c r="H32" s="325">
        <f>=$C32</f>
        <v>1</v>
      </c>
      <c r="I32" s="325">
        <f>=$C32</f>
        <v>1</v>
      </c>
      <c r="J32" s="325">
        <f>=$C32</f>
        <v>1</v>
      </c>
      <c r="K32" s="325">
        <f>=$C32</f>
        <v>1</v>
      </c>
      <c r="L32" s="325">
        <f>=$C32</f>
        <v>1</v>
      </c>
      <c r="M32" s="325">
        <f>=$C32</f>
        <v>1</v>
      </c>
      <c r="N32" s="325">
        <f>=$C32</f>
        <v>1</v>
      </c>
      <c r="O32" s="325">
        <f>=$C32</f>
        <v>1</v>
      </c>
      <c r="P32" s="325">
        <f>=$C32</f>
        <v>1</v>
      </c>
      <c r="Q32" s="325">
        <f>=$C32</f>
        <v>1</v>
      </c>
      <c r="R32" s="325">
        <f>=$C32</f>
        <v>1</v>
      </c>
      <c r="S32" s="325">
        <f>=$C32</f>
        <v>1</v>
      </c>
      <c r="T32" s="325">
        <f>=$C32</f>
        <v>1</v>
      </c>
      <c r="U32" s="325">
        <f>=$C32</f>
        <v>1</v>
      </c>
      <c r="V32" s="325">
        <f>=$C32</f>
        <v>1</v>
      </c>
      <c r="W32" s="325">
        <f>=$C32</f>
        <v>1</v>
      </c>
      <c r="X32" s="325">
        <f>=$C32</f>
        <v>1</v>
      </c>
      <c r="Y32" s="325">
        <f>=$C32</f>
        <v>1</v>
      </c>
      <c r="Z32" s="325">
        <f>=$C32</f>
        <v>1</v>
      </c>
    </row>
    <row r="33" spans="1:26" ht="12" customHeight="true">
      <c r="A33" s="314" t="s"/>
      <c r="B33" s="326" t="s">
        <v>676</v>
      </c>
      <c r="C33" s="327" t="s"/>
      <c r="D33" s="310" t="s"/>
      <c r="E33" s="328">
        <f>=E31*E32</f>
        <v>0</v>
      </c>
      <c r="F33" s="328">
        <f>=F31*F32</f>
        <v>0</v>
      </c>
      <c r="G33" s="328">
        <f>=G31*G32</f>
        <v>0</v>
      </c>
      <c r="H33" s="328">
        <f>=H31*H32</f>
        <v>0</v>
      </c>
      <c r="I33" s="328">
        <f>=I31*I32</f>
        <v>0</v>
      </c>
      <c r="J33" s="328">
        <f>=J31*J32</f>
        <v>0</v>
      </c>
      <c r="K33" s="328">
        <f>=K31*K32</f>
        <v>0</v>
      </c>
      <c r="L33" s="328">
        <f>=L31*L32</f>
        <v>0</v>
      </c>
      <c r="M33" s="328">
        <f>=M31*M32</f>
        <v>0</v>
      </c>
      <c r="N33" s="328">
        <f>=N31*N32</f>
        <v>0</v>
      </c>
      <c r="O33" s="328">
        <f>=O31*O32</f>
        <v>0</v>
      </c>
      <c r="P33" s="328">
        <f>=P31*P32</f>
        <v>0</v>
      </c>
      <c r="Q33" s="328">
        <f>=Q31*Q32</f>
        <v>0</v>
      </c>
      <c r="R33" s="328">
        <f>=R31*R32</f>
        <v>0</v>
      </c>
      <c r="S33" s="328">
        <f>=S31*S32</f>
        <v>0</v>
      </c>
      <c r="T33" s="328">
        <f>=T31*T32</f>
        <v>0</v>
      </c>
      <c r="U33" s="328">
        <f>=U31*U32</f>
        <v>0</v>
      </c>
      <c r="V33" s="328">
        <f>=V31*V32</f>
        <v>0</v>
      </c>
      <c r="W33" s="328">
        <f>=W31*W32</f>
        <v>0</v>
      </c>
      <c r="X33" s="328">
        <f>=X31*X32</f>
        <v>0</v>
      </c>
      <c r="Y33" s="328">
        <f>=Y31*Y32</f>
        <v>0</v>
      </c>
      <c r="Z33" s="328">
        <f>=Z31*Z32</f>
        <v>0</v>
      </c>
    </row>
    <row r="34" spans="1:26" ht="12" customHeight="true">
      <c r="A34" s="314" t="s"/>
      <c r="B34" s="333" t="s">
        <v>1236</v>
      </c>
      <c r="C34" s="330" t="s"/>
      <c r="D34" s="306">
        <f>=SUM(E34:Z34)</f>
        <v>0</v>
      </c>
      <c r="E34" s="331" t="s"/>
      <c r="F34" s="331" t="s"/>
      <c r="G34" s="331" t="s"/>
      <c r="H34" s="331" t="s"/>
      <c r="I34" s="331" t="s"/>
      <c r="J34" s="331" t="s"/>
      <c r="K34" s="331" t="s"/>
      <c r="L34" s="331" t="s"/>
      <c r="M34" s="331" t="s"/>
      <c r="N34" s="331" t="s"/>
      <c r="O34" s="331" t="s"/>
      <c r="P34" s="331" t="s"/>
      <c r="Q34" s="331" t="s"/>
      <c r="R34" s="331" t="s"/>
      <c r="S34" s="331" t="s"/>
      <c r="T34" s="331" t="s"/>
      <c r="U34" s="331" t="s"/>
      <c r="V34" s="331" t="s"/>
      <c r="W34" s="331" t="s"/>
      <c r="X34" s="331" t="s"/>
      <c r="Y34" s="331" t="s"/>
      <c r="Z34" s="331" t="s"/>
    </row>
    <row r="35" spans="1:26" ht="12" customHeight="true">
      <c r="A35" s="314" t="s"/>
      <c r="B35" s="333" t="s">
        <v>1238</v>
      </c>
      <c r="C35" s="333" t="s"/>
      <c r="D35" s="306">
        <f>=SUM(E35:Z35)</f>
        <v>0</v>
      </c>
      <c r="E35" s="306">
        <f>=E33*E34</f>
        <v>0</v>
      </c>
      <c r="F35" s="306">
        <f>=F33*F34</f>
        <v>0</v>
      </c>
      <c r="G35" s="306">
        <f>=G33*G34</f>
        <v>0</v>
      </c>
      <c r="H35" s="306">
        <f>=H33*H34</f>
        <v>0</v>
      </c>
      <c r="I35" s="306">
        <f>=I33*I34</f>
        <v>0</v>
      </c>
      <c r="J35" s="306">
        <f>=J33*J34</f>
        <v>0</v>
      </c>
      <c r="K35" s="306">
        <f>=K33*K34</f>
        <v>0</v>
      </c>
      <c r="L35" s="306">
        <f>=L33*L34</f>
        <v>0</v>
      </c>
      <c r="M35" s="306">
        <f>=M33*M34</f>
        <v>0</v>
      </c>
      <c r="N35" s="306">
        <f>=N33*N34</f>
        <v>0</v>
      </c>
      <c r="O35" s="306">
        <f>=O33*O34</f>
        <v>0</v>
      </c>
      <c r="P35" s="306">
        <f>=P33*P34</f>
        <v>0</v>
      </c>
      <c r="Q35" s="306">
        <f>=Q33*Q34</f>
        <v>0</v>
      </c>
      <c r="R35" s="306">
        <f>=R33*R34</f>
        <v>0</v>
      </c>
      <c r="S35" s="306">
        <f>=S33*S34</f>
        <v>0</v>
      </c>
      <c r="T35" s="306">
        <f>=T33*T34</f>
        <v>0</v>
      </c>
      <c r="U35" s="306">
        <f>=U33*U34</f>
        <v>0</v>
      </c>
      <c r="V35" s="306">
        <f>=V33*V34</f>
        <v>0</v>
      </c>
      <c r="W35" s="306">
        <f>=W33*W34</f>
        <v>0</v>
      </c>
      <c r="X35" s="306">
        <f>=X33*X34</f>
        <v>0</v>
      </c>
      <c r="Y35" s="306">
        <f>=Y33*Y34</f>
        <v>0</v>
      </c>
      <c r="Z35" s="306">
        <f>=Z33*Z34</f>
        <v>0</v>
      </c>
    </row>
    <row r="36" spans="1:26" ht="12" customHeight="true">
      <c r="A36" s="314" t="s"/>
      <c r="B36" s="334" t="s">
        <v>1240</v>
      </c>
      <c r="C36" s="335" t="s"/>
      <c r="D36" s="310" t="s"/>
      <c r="E36" s="336">
        <f>=$C36</f>
        <v>0</v>
      </c>
      <c r="F36" s="336">
        <f>=$C36</f>
        <v>0</v>
      </c>
      <c r="G36" s="336">
        <f>=$C36</f>
        <v>0</v>
      </c>
      <c r="H36" s="336">
        <f>=$C36</f>
        <v>0</v>
      </c>
      <c r="I36" s="336">
        <f>=$C36</f>
        <v>0</v>
      </c>
      <c r="J36" s="336">
        <f>=$C36</f>
        <v>0</v>
      </c>
      <c r="K36" s="336">
        <f>=$C36</f>
        <v>0</v>
      </c>
      <c r="L36" s="336">
        <f>=$C36</f>
        <v>0</v>
      </c>
      <c r="M36" s="336">
        <f>=$C36</f>
        <v>0</v>
      </c>
      <c r="N36" s="336">
        <f>=$C36</f>
        <v>0</v>
      </c>
      <c r="O36" s="336">
        <f>=$C36</f>
        <v>0</v>
      </c>
      <c r="P36" s="336">
        <f>=$C36</f>
        <v>0</v>
      </c>
      <c r="Q36" s="336">
        <f>=$C36</f>
        <v>0</v>
      </c>
      <c r="R36" s="336">
        <f>=$C36</f>
        <v>0</v>
      </c>
      <c r="S36" s="336">
        <f>=$C36</f>
        <v>0</v>
      </c>
      <c r="T36" s="336">
        <f>=$C36</f>
        <v>0</v>
      </c>
      <c r="U36" s="336">
        <f>=$C36</f>
        <v>0</v>
      </c>
      <c r="V36" s="336">
        <f>=$C36</f>
        <v>0</v>
      </c>
      <c r="W36" s="336">
        <f>=$C36</f>
        <v>0</v>
      </c>
      <c r="X36" s="336">
        <f>=$C36</f>
        <v>0</v>
      </c>
      <c r="Y36" s="336">
        <f>=$C36</f>
        <v>0</v>
      </c>
      <c r="Z36" s="336">
        <f>=$C36</f>
        <v>0</v>
      </c>
    </row>
    <row r="37" spans="1:26" ht="12" customHeight="true">
      <c r="A37" s="314" t="s"/>
      <c r="B37" s="334" t="s">
        <v>1229</v>
      </c>
      <c r="C37" s="310" t="s"/>
      <c r="D37" s="306">
        <f>=SUM(E37:Z37)</f>
        <v>0</v>
      </c>
      <c r="E37" s="306">
        <f>=E35*(1+E36)</f>
        <v>0</v>
      </c>
      <c r="F37" s="306">
        <f>=F35*(1+F36)</f>
        <v>0</v>
      </c>
      <c r="G37" s="306">
        <f>=G35*(1+G36)</f>
        <v>0</v>
      </c>
      <c r="H37" s="306">
        <f>=H35*(1+H36)</f>
        <v>0</v>
      </c>
      <c r="I37" s="306">
        <f>=I35*(1+I36)</f>
        <v>0</v>
      </c>
      <c r="J37" s="306">
        <f>=J35*(1+J36)</f>
        <v>0</v>
      </c>
      <c r="K37" s="306">
        <f>=K35*(1+K36)</f>
        <v>0</v>
      </c>
      <c r="L37" s="306">
        <f>=L35*(1+L36)</f>
        <v>0</v>
      </c>
      <c r="M37" s="306">
        <f>=M35*(1+M36)</f>
        <v>0</v>
      </c>
      <c r="N37" s="306">
        <f>=N35*(1+N36)</f>
        <v>0</v>
      </c>
      <c r="O37" s="306">
        <f>=O35*(1+O36)</f>
        <v>0</v>
      </c>
      <c r="P37" s="306">
        <f>=P35*(1+P36)</f>
        <v>0</v>
      </c>
      <c r="Q37" s="306">
        <f>=Q35*(1+Q36)</f>
        <v>0</v>
      </c>
      <c r="R37" s="306">
        <f>=R35*(1+R36)</f>
        <v>0</v>
      </c>
      <c r="S37" s="306">
        <f>=S35*(1+S36)</f>
        <v>0</v>
      </c>
      <c r="T37" s="306">
        <f>=T35*(1+T36)</f>
        <v>0</v>
      </c>
      <c r="U37" s="306">
        <f>=U35*(1+U36)</f>
        <v>0</v>
      </c>
      <c r="V37" s="306">
        <f>=V35*(1+V36)</f>
        <v>0</v>
      </c>
      <c r="W37" s="306">
        <f>=W35*(1+W36)</f>
        <v>0</v>
      </c>
      <c r="X37" s="306">
        <f>=X35*(1+X36)</f>
        <v>0</v>
      </c>
      <c r="Y37" s="306">
        <f>=Y35*(1+Y36)</f>
        <v>0</v>
      </c>
      <c r="Z37" s="306">
        <f>=Z35*(1+Z36)</f>
        <v>0</v>
      </c>
    </row>
    <row r="38" spans="1:26" ht="12" customHeight="true">
      <c r="A38" s="314" t="s"/>
      <c r="B38" s="334" t="s">
        <v>682</v>
      </c>
      <c r="C38" s="335" t="s"/>
      <c r="D38" s="310" t="s"/>
      <c r="E38" s="336">
        <f>=$C38</f>
        <v>0</v>
      </c>
      <c r="F38" s="336">
        <f>=$C38</f>
        <v>0</v>
      </c>
      <c r="G38" s="336">
        <f>=$C38</f>
        <v>0</v>
      </c>
      <c r="H38" s="336">
        <f>=$C38</f>
        <v>0</v>
      </c>
      <c r="I38" s="336">
        <f>=$C38</f>
        <v>0</v>
      </c>
      <c r="J38" s="336">
        <f>=$C38</f>
        <v>0</v>
      </c>
      <c r="K38" s="336">
        <f>=$C38</f>
        <v>0</v>
      </c>
      <c r="L38" s="336">
        <f>=$C38</f>
        <v>0</v>
      </c>
      <c r="M38" s="336">
        <f>=$C38</f>
        <v>0</v>
      </c>
      <c r="N38" s="336">
        <f>=$C38</f>
        <v>0</v>
      </c>
      <c r="O38" s="336">
        <f>=$C38</f>
        <v>0</v>
      </c>
      <c r="P38" s="336">
        <f>=$C38</f>
        <v>0</v>
      </c>
      <c r="Q38" s="336">
        <f>=$C38</f>
        <v>0</v>
      </c>
      <c r="R38" s="336">
        <f>=$C38</f>
        <v>0</v>
      </c>
      <c r="S38" s="336">
        <f>=$C38</f>
        <v>0</v>
      </c>
      <c r="T38" s="336">
        <f>=$C38</f>
        <v>0</v>
      </c>
      <c r="U38" s="336">
        <f>=$C38</f>
        <v>0</v>
      </c>
      <c r="V38" s="336">
        <f>=$C38</f>
        <v>0</v>
      </c>
      <c r="W38" s="336">
        <f>=$C38</f>
        <v>0</v>
      </c>
      <c r="X38" s="336">
        <f>=$C38</f>
        <v>0</v>
      </c>
      <c r="Y38" s="336">
        <f>=$C38</f>
        <v>0</v>
      </c>
      <c r="Z38" s="336">
        <f>=$C38</f>
        <v>0</v>
      </c>
    </row>
    <row r="39" spans="1:26" ht="12" customHeight="true">
      <c r="A39" s="314" t="s"/>
      <c r="B39" s="334" t="s">
        <v>656</v>
      </c>
      <c r="C39" s="337" t="s"/>
      <c r="D39" s="306">
        <f>=SUM(E39:Z39)</f>
        <v>0</v>
      </c>
      <c r="E39" s="306">
        <f>=IF(E36=0,E37*E38/(1+E38),E37*E38)</f>
        <v>0</v>
      </c>
      <c r="F39" s="306">
        <f>=IF(F36=0,F37*F38/(1+F38),F37*F38)</f>
        <v>0</v>
      </c>
      <c r="G39" s="306">
        <f>=IF(G36=0,G37*G38/(1+G38),G37*G38)</f>
        <v>0</v>
      </c>
      <c r="H39" s="306">
        <f>=IF(H36=0,H37*H38/(1+H38),H37*H38)</f>
        <v>0</v>
      </c>
      <c r="I39" s="306">
        <f>=IF(I36=0,I37*I38/(1+I38),I37*I38)</f>
        <v>0</v>
      </c>
      <c r="J39" s="306">
        <f>=IF(J36=0,J37*J38/(1+J38),J37*J38)</f>
        <v>0</v>
      </c>
      <c r="K39" s="306">
        <f>=IF(K36=0,K37*K38/(1+K38),K37*K38)</f>
        <v>0</v>
      </c>
      <c r="L39" s="306">
        <f>=IF(L36=0,L37*L38/(1+L38),L37*L38)</f>
        <v>0</v>
      </c>
      <c r="M39" s="306">
        <f>=IF(M36=0,M37*M38/(1+M38),M37*M38)</f>
        <v>0</v>
      </c>
      <c r="N39" s="306">
        <f>=IF(N36=0,N37*N38/(1+N38),N37*N38)</f>
        <v>0</v>
      </c>
      <c r="O39" s="306">
        <f>=IF(O36=0,O37*O38/(1+O38),O37*O38)</f>
        <v>0</v>
      </c>
      <c r="P39" s="306">
        <f>=IF(P36=0,P37*P38/(1+P38),P37*P38)</f>
        <v>0</v>
      </c>
      <c r="Q39" s="306">
        <f>=IF(Q36=0,Q37*Q38/(1+Q38),Q37*Q38)</f>
        <v>0</v>
      </c>
      <c r="R39" s="306">
        <f>=IF(R36=0,R37*R38/(1+R38),R37*R38)</f>
        <v>0</v>
      </c>
      <c r="S39" s="306">
        <f>=IF(S36=0,S37*S38/(1+S38),S37*S38)</f>
        <v>0</v>
      </c>
      <c r="T39" s="306">
        <f>=IF(T36=0,T37*T38/(1+T38),T37*T38)</f>
        <v>0</v>
      </c>
      <c r="U39" s="306">
        <f>=IF(U36=0,U37*U38/(1+U38),U37*U38)</f>
        <v>0</v>
      </c>
      <c r="V39" s="306">
        <f>=IF(V36=0,V37*V38/(1+V38),V37*V38)</f>
        <v>0</v>
      </c>
      <c r="W39" s="306">
        <f>=IF(W36=0,W37*W38/(1+W38),W37*W38)</f>
        <v>0</v>
      </c>
      <c r="X39" s="306">
        <f>=IF(X36=0,X37*X38/(1+X38),X37*X38)</f>
        <v>0</v>
      </c>
      <c r="Y39" s="306">
        <f>=IF(Y36=0,Y37*Y38/(1+Y38),Y37*Y38)</f>
        <v>0</v>
      </c>
      <c r="Z39" s="306">
        <f>=IF(Z36=0,Z37*Z38/(1+Z38),Z37*Z38)</f>
        <v>0</v>
      </c>
    </row>
    <row r="40" spans="1:26" ht="12" customHeight="true">
      <c r="A40" s="314" t="s"/>
      <c r="B40" s="334" t="s">
        <v>1242</v>
      </c>
      <c r="C40" s="337" t="s"/>
      <c r="D40" s="306">
        <f>=SUM(E40:Z40)</f>
        <v>0</v>
      </c>
      <c r="E40" s="306">
        <f>=IF(E36=0,E35,E37+E39)</f>
        <v>0</v>
      </c>
      <c r="F40" s="306">
        <f>=IF(F36=0,F35,F37+F39)</f>
        <v>0</v>
      </c>
      <c r="G40" s="306">
        <f>=IF(G36=0,G35,G37+G39)</f>
        <v>0</v>
      </c>
      <c r="H40" s="306">
        <f>=IF(H36=0,H35,H37+H39)</f>
        <v>0</v>
      </c>
      <c r="I40" s="306">
        <f>=IF(I36=0,I35,I37+I39)</f>
        <v>0</v>
      </c>
      <c r="J40" s="306">
        <f>=IF(J36=0,J35,J37+J39)</f>
        <v>0</v>
      </c>
      <c r="K40" s="306">
        <f>=IF(K36=0,K35,K37+K39)</f>
        <v>0</v>
      </c>
      <c r="L40" s="306">
        <f>=IF(L36=0,L35,L37+L39)</f>
        <v>0</v>
      </c>
      <c r="M40" s="306">
        <f>=IF(M36=0,M35,M37+M39)</f>
        <v>0</v>
      </c>
      <c r="N40" s="306">
        <f>=IF(N36=0,N35,N37+N39)</f>
        <v>0</v>
      </c>
      <c r="O40" s="306">
        <f>=IF(O36=0,O35,O37+O39)</f>
        <v>0</v>
      </c>
      <c r="P40" s="306">
        <f>=IF(P36=0,P35,P37+P39)</f>
        <v>0</v>
      </c>
      <c r="Q40" s="306">
        <f>=IF(Q36=0,Q35,Q37+Q39)</f>
        <v>0</v>
      </c>
      <c r="R40" s="306">
        <f>=IF(R36=0,R35,R37+R39)</f>
        <v>0</v>
      </c>
      <c r="S40" s="306">
        <f>=IF(S36=0,S35,S37+S39)</f>
        <v>0</v>
      </c>
      <c r="T40" s="306">
        <f>=IF(T36=0,T35,T37+T39)</f>
        <v>0</v>
      </c>
      <c r="U40" s="306">
        <f>=IF(U36=0,U35,U37+U39)</f>
        <v>0</v>
      </c>
      <c r="V40" s="306">
        <f>=IF(V36=0,V35,V37+V39)</f>
        <v>0</v>
      </c>
      <c r="W40" s="306">
        <f>=IF(W36=0,W35,W37+W39)</f>
        <v>0</v>
      </c>
      <c r="X40" s="306">
        <f>=IF(X36=0,X35,X37+X39)</f>
        <v>0</v>
      </c>
      <c r="Y40" s="306">
        <f>=IF(Y36=0,Y35,Y37+Y39)</f>
        <v>0</v>
      </c>
      <c r="Z40" s="306">
        <f>=IF(Z36=0,Z35,Z37+Z39)</f>
        <v>0</v>
      </c>
    </row>
    <row r="41" spans="1:26" ht="12" customHeight="true">
      <c r="A41" s="314">
        <v>1.3</v>
      </c>
      <c r="B41" s="580" t="s"/>
      <c r="C41" s="580" t="s"/>
      <c r="D41" s="316" t="s">
        <v>672</v>
      </c>
      <c r="E41" s="581" t="s"/>
      <c r="F41" s="581" t="s"/>
      <c r="G41" s="581" t="s"/>
      <c r="H41" s="581" t="s"/>
      <c r="I41" s="581" t="s"/>
      <c r="J41" s="581" t="s"/>
      <c r="K41" s="581" t="s"/>
      <c r="L41" s="581" t="s"/>
      <c r="M41" s="581" t="s"/>
      <c r="N41" s="581" t="s"/>
      <c r="O41" s="581" t="s"/>
      <c r="P41" s="581" t="s"/>
      <c r="Q41" s="581" t="s"/>
      <c r="R41" s="581" t="s"/>
      <c r="S41" s="581" t="s"/>
      <c r="T41" s="581" t="s"/>
      <c r="U41" s="581" t="s"/>
      <c r="V41" s="581" t="s"/>
      <c r="W41" s="581" t="s"/>
      <c r="X41" s="581" t="s"/>
      <c r="Y41" s="581" t="s"/>
      <c r="Z41" s="581" t="s"/>
    </row>
    <row r="42" spans="1:26" ht="12" customHeight="true">
      <c r="A42" s="314" t="s"/>
      <c r="B42" s="318" t="s">
        <v>688</v>
      </c>
      <c r="C42" s="319" t="s"/>
      <c r="D42" s="320" t="s">
        <v>674</v>
      </c>
      <c r="E42" s="331" t="s"/>
      <c r="F42" s="331" t="s"/>
      <c r="G42" s="331" t="s"/>
      <c r="H42" s="331" t="s"/>
      <c r="I42" s="331" t="s"/>
      <c r="J42" s="331" t="s"/>
      <c r="K42" s="331" t="s"/>
      <c r="L42" s="331" t="s"/>
      <c r="M42" s="331" t="s"/>
      <c r="N42" s="331" t="s"/>
      <c r="O42" s="331" t="s"/>
      <c r="P42" s="331" t="s"/>
      <c r="Q42" s="331" t="s"/>
      <c r="R42" s="331" t="s"/>
      <c r="S42" s="331" t="s"/>
      <c r="T42" s="331" t="s"/>
      <c r="U42" s="331" t="s"/>
      <c r="V42" s="331" t="s"/>
      <c r="W42" s="331" t="s"/>
      <c r="X42" s="331" t="s"/>
      <c r="Y42" s="331" t="s"/>
      <c r="Z42" s="331" t="s"/>
    </row>
    <row r="43" spans="1:26" ht="12" customHeight="true">
      <c r="A43" s="314" t="s"/>
      <c r="B43" s="323" t="s">
        <v>534</v>
      </c>
      <c r="C43" s="324">
        <f>=IF($D42="美元",辅助表1评估项目基础数据表!$C$17,IF($D42="其他外币",辅助表1评估项目基础数据表!$C$18,1))</f>
        <v>1</v>
      </c>
      <c r="D43" s="300" t="s"/>
      <c r="E43" s="325">
        <f>=$C43</f>
        <v>1</v>
      </c>
      <c r="F43" s="325">
        <f>=$C43</f>
        <v>1</v>
      </c>
      <c r="G43" s="325">
        <f>=$C43</f>
        <v>1</v>
      </c>
      <c r="H43" s="325">
        <f>=$C43</f>
        <v>1</v>
      </c>
      <c r="I43" s="325">
        <f>=$C43</f>
        <v>1</v>
      </c>
      <c r="J43" s="325">
        <f>=$C43</f>
        <v>1</v>
      </c>
      <c r="K43" s="325">
        <f>=$C43</f>
        <v>1</v>
      </c>
      <c r="L43" s="325">
        <f>=$C43</f>
        <v>1</v>
      </c>
      <c r="M43" s="325">
        <f>=$C43</f>
        <v>1</v>
      </c>
      <c r="N43" s="325">
        <f>=$C43</f>
        <v>1</v>
      </c>
      <c r="O43" s="325">
        <f>=$C43</f>
        <v>1</v>
      </c>
      <c r="P43" s="325">
        <f>=$C43</f>
        <v>1</v>
      </c>
      <c r="Q43" s="325">
        <f>=$C43</f>
        <v>1</v>
      </c>
      <c r="R43" s="325">
        <f>=$C43</f>
        <v>1</v>
      </c>
      <c r="S43" s="325">
        <f>=$C43</f>
        <v>1</v>
      </c>
      <c r="T43" s="325">
        <f>=$C43</f>
        <v>1</v>
      </c>
      <c r="U43" s="325">
        <f>=$C43</f>
        <v>1</v>
      </c>
      <c r="V43" s="325">
        <f>=$C43</f>
        <v>1</v>
      </c>
      <c r="W43" s="325">
        <f>=$C43</f>
        <v>1</v>
      </c>
      <c r="X43" s="325">
        <f>=$C43</f>
        <v>1</v>
      </c>
      <c r="Y43" s="325">
        <f>=$C43</f>
        <v>1</v>
      </c>
      <c r="Z43" s="325">
        <f>=$C43</f>
        <v>1</v>
      </c>
    </row>
    <row r="44" spans="1:26" ht="12" customHeight="true">
      <c r="A44" s="314" t="s"/>
      <c r="B44" s="326" t="s">
        <v>676</v>
      </c>
      <c r="C44" s="327" t="s"/>
      <c r="D44" s="310" t="s"/>
      <c r="E44" s="328">
        <f>=E42*E43</f>
        <v>0</v>
      </c>
      <c r="F44" s="328">
        <f>=F42*F43</f>
        <v>0</v>
      </c>
      <c r="G44" s="328">
        <f>=G42*G43</f>
        <v>0</v>
      </c>
      <c r="H44" s="328">
        <f>=H42*H43</f>
        <v>0</v>
      </c>
      <c r="I44" s="328">
        <f>=I42*I43</f>
        <v>0</v>
      </c>
      <c r="J44" s="328">
        <f>=J42*J43</f>
        <v>0</v>
      </c>
      <c r="K44" s="328">
        <f>=K42*K43</f>
        <v>0</v>
      </c>
      <c r="L44" s="328">
        <f>=L42*L43</f>
        <v>0</v>
      </c>
      <c r="M44" s="328">
        <f>=M42*M43</f>
        <v>0</v>
      </c>
      <c r="N44" s="328">
        <f>=N42*N43</f>
        <v>0</v>
      </c>
      <c r="O44" s="328">
        <f>=O42*O43</f>
        <v>0</v>
      </c>
      <c r="P44" s="328">
        <f>=P42*P43</f>
        <v>0</v>
      </c>
      <c r="Q44" s="328">
        <f>=Q42*Q43</f>
        <v>0</v>
      </c>
      <c r="R44" s="328">
        <f>=R42*R43</f>
        <v>0</v>
      </c>
      <c r="S44" s="328">
        <f>=S42*S43</f>
        <v>0</v>
      </c>
      <c r="T44" s="328">
        <f>=T42*T43</f>
        <v>0</v>
      </c>
      <c r="U44" s="328">
        <f>=U42*U43</f>
        <v>0</v>
      </c>
      <c r="V44" s="328">
        <f>=V42*V43</f>
        <v>0</v>
      </c>
      <c r="W44" s="328">
        <f>=W42*W43</f>
        <v>0</v>
      </c>
      <c r="X44" s="328">
        <f>=X42*X43</f>
        <v>0</v>
      </c>
      <c r="Y44" s="328">
        <f>=Y42*Y43</f>
        <v>0</v>
      </c>
      <c r="Z44" s="328">
        <f>=Z42*Z43</f>
        <v>0</v>
      </c>
    </row>
    <row r="45" spans="1:26" ht="12" customHeight="true">
      <c r="A45" s="314" t="s"/>
      <c r="B45" s="333" t="s">
        <v>1236</v>
      </c>
      <c r="C45" s="330" t="s"/>
      <c r="D45" s="306">
        <f>=SUM(E45:Z45)</f>
        <v>0</v>
      </c>
      <c r="E45" s="331" t="s"/>
      <c r="F45" s="331" t="s"/>
      <c r="G45" s="331" t="s"/>
      <c r="H45" s="331" t="s"/>
      <c r="I45" s="331" t="s"/>
      <c r="J45" s="331" t="s"/>
      <c r="K45" s="331" t="s"/>
      <c r="L45" s="331" t="s"/>
      <c r="M45" s="331" t="s"/>
      <c r="N45" s="331" t="s"/>
      <c r="O45" s="331" t="s"/>
      <c r="P45" s="331" t="s"/>
      <c r="Q45" s="331" t="s"/>
      <c r="R45" s="331" t="s"/>
      <c r="S45" s="331" t="s"/>
      <c r="T45" s="331" t="s"/>
      <c r="U45" s="331" t="s"/>
      <c r="V45" s="331" t="s"/>
      <c r="W45" s="331" t="s"/>
      <c r="X45" s="331" t="s"/>
      <c r="Y45" s="331" t="s"/>
      <c r="Z45" s="331" t="s"/>
    </row>
    <row r="46" spans="1:26" ht="12" customHeight="true">
      <c r="A46" s="314" t="s"/>
      <c r="B46" s="333" t="s">
        <v>1238</v>
      </c>
      <c r="C46" s="333" t="s"/>
      <c r="D46" s="306">
        <f>=SUM(E46:Z46)</f>
        <v>0</v>
      </c>
      <c r="E46" s="306">
        <f>=E44*E45</f>
        <v>0</v>
      </c>
      <c r="F46" s="306">
        <f>=F44*F45</f>
        <v>0</v>
      </c>
      <c r="G46" s="306">
        <f>=G44*G45</f>
        <v>0</v>
      </c>
      <c r="H46" s="306">
        <f>=H44*H45</f>
        <v>0</v>
      </c>
      <c r="I46" s="306">
        <f>=I44*I45</f>
        <v>0</v>
      </c>
      <c r="J46" s="306">
        <f>=J44*J45</f>
        <v>0</v>
      </c>
      <c r="K46" s="306">
        <f>=K44*K45</f>
        <v>0</v>
      </c>
      <c r="L46" s="306">
        <f>=L44*L45</f>
        <v>0</v>
      </c>
      <c r="M46" s="306">
        <f>=M44*M45</f>
        <v>0</v>
      </c>
      <c r="N46" s="306">
        <f>=N44*N45</f>
        <v>0</v>
      </c>
      <c r="O46" s="306">
        <f>=O44*O45</f>
        <v>0</v>
      </c>
      <c r="P46" s="306">
        <f>=P44*P45</f>
        <v>0</v>
      </c>
      <c r="Q46" s="306">
        <f>=Q44*Q45</f>
        <v>0</v>
      </c>
      <c r="R46" s="306">
        <f>=R44*R45</f>
        <v>0</v>
      </c>
      <c r="S46" s="306">
        <f>=S44*S45</f>
        <v>0</v>
      </c>
      <c r="T46" s="306">
        <f>=T44*T45</f>
        <v>0</v>
      </c>
      <c r="U46" s="306">
        <f>=U44*U45</f>
        <v>0</v>
      </c>
      <c r="V46" s="306">
        <f>=V44*V45</f>
        <v>0</v>
      </c>
      <c r="W46" s="306">
        <f>=W44*W45</f>
        <v>0</v>
      </c>
      <c r="X46" s="306">
        <f>=X44*X45</f>
        <v>0</v>
      </c>
      <c r="Y46" s="306">
        <f>=Y44*Y45</f>
        <v>0</v>
      </c>
      <c r="Z46" s="306">
        <f>=Z44*Z45</f>
        <v>0</v>
      </c>
    </row>
    <row r="47" spans="1:26" ht="12" customHeight="true">
      <c r="A47" s="314" t="s"/>
      <c r="B47" s="334" t="s">
        <v>1240</v>
      </c>
      <c r="C47" s="335" t="s"/>
      <c r="D47" s="310" t="s"/>
      <c r="E47" s="336">
        <f>=$C47</f>
        <v>0</v>
      </c>
      <c r="F47" s="336">
        <f>=$C47</f>
        <v>0</v>
      </c>
      <c r="G47" s="336">
        <f>=$C47</f>
        <v>0</v>
      </c>
      <c r="H47" s="336">
        <f>=$C47</f>
        <v>0</v>
      </c>
      <c r="I47" s="336">
        <f>=$C47</f>
        <v>0</v>
      </c>
      <c r="J47" s="336">
        <f>=$C47</f>
        <v>0</v>
      </c>
      <c r="K47" s="336">
        <f>=$C47</f>
        <v>0</v>
      </c>
      <c r="L47" s="336">
        <f>=$C47</f>
        <v>0</v>
      </c>
      <c r="M47" s="336">
        <f>=$C47</f>
        <v>0</v>
      </c>
      <c r="N47" s="336">
        <f>=$C47</f>
        <v>0</v>
      </c>
      <c r="O47" s="336">
        <f>=$C47</f>
        <v>0</v>
      </c>
      <c r="P47" s="336">
        <f>=$C47</f>
        <v>0</v>
      </c>
      <c r="Q47" s="336">
        <f>=$C47</f>
        <v>0</v>
      </c>
      <c r="R47" s="336">
        <f>=$C47</f>
        <v>0</v>
      </c>
      <c r="S47" s="336">
        <f>=$C47</f>
        <v>0</v>
      </c>
      <c r="T47" s="336">
        <f>=$C47</f>
        <v>0</v>
      </c>
      <c r="U47" s="336">
        <f>=$C47</f>
        <v>0</v>
      </c>
      <c r="V47" s="336">
        <f>=$C47</f>
        <v>0</v>
      </c>
      <c r="W47" s="336">
        <f>=$C47</f>
        <v>0</v>
      </c>
      <c r="X47" s="336">
        <f>=$C47</f>
        <v>0</v>
      </c>
      <c r="Y47" s="336">
        <f>=$C47</f>
        <v>0</v>
      </c>
      <c r="Z47" s="336">
        <f>=$C47</f>
        <v>0</v>
      </c>
    </row>
    <row r="48" spans="1:26" ht="12" customHeight="true">
      <c r="A48" s="314" t="s"/>
      <c r="B48" s="334" t="s">
        <v>1229</v>
      </c>
      <c r="C48" s="310" t="s"/>
      <c r="D48" s="306">
        <f>=SUM(E48:Z48)</f>
        <v>0</v>
      </c>
      <c r="E48" s="306">
        <f>=E46*(1+E47)</f>
        <v>0</v>
      </c>
      <c r="F48" s="306">
        <f>=F46*(1+F47)</f>
        <v>0</v>
      </c>
      <c r="G48" s="306">
        <f>=G46*(1+G47)</f>
        <v>0</v>
      </c>
      <c r="H48" s="306">
        <f>=H46*(1+H47)</f>
        <v>0</v>
      </c>
      <c r="I48" s="306">
        <f>=I46*(1+I47)</f>
        <v>0</v>
      </c>
      <c r="J48" s="306">
        <f>=J46*(1+J47)</f>
        <v>0</v>
      </c>
      <c r="K48" s="306">
        <f>=K46*(1+K47)</f>
        <v>0</v>
      </c>
      <c r="L48" s="306">
        <f>=L46*(1+L47)</f>
        <v>0</v>
      </c>
      <c r="M48" s="306">
        <f>=M46*(1+M47)</f>
        <v>0</v>
      </c>
      <c r="N48" s="306">
        <f>=N46*(1+N47)</f>
        <v>0</v>
      </c>
      <c r="O48" s="306">
        <f>=O46*(1+O47)</f>
        <v>0</v>
      </c>
      <c r="P48" s="306">
        <f>=P46*(1+P47)</f>
        <v>0</v>
      </c>
      <c r="Q48" s="306">
        <f>=Q46*(1+Q47)</f>
        <v>0</v>
      </c>
      <c r="R48" s="306">
        <f>=R46*(1+R47)</f>
        <v>0</v>
      </c>
      <c r="S48" s="306">
        <f>=S46*(1+S47)</f>
        <v>0</v>
      </c>
      <c r="T48" s="306">
        <f>=T46*(1+T47)</f>
        <v>0</v>
      </c>
      <c r="U48" s="306">
        <f>=U46*(1+U47)</f>
        <v>0</v>
      </c>
      <c r="V48" s="306">
        <f>=V46*(1+V47)</f>
        <v>0</v>
      </c>
      <c r="W48" s="306">
        <f>=W46*(1+W47)</f>
        <v>0</v>
      </c>
      <c r="X48" s="306">
        <f>=X46*(1+X47)</f>
        <v>0</v>
      </c>
      <c r="Y48" s="306">
        <f>=Y46*(1+Y47)</f>
        <v>0</v>
      </c>
      <c r="Z48" s="306">
        <f>=Z46*(1+Z47)</f>
        <v>0</v>
      </c>
    </row>
    <row r="49" spans="1:26" ht="12" customHeight="true">
      <c r="A49" s="314" t="s"/>
      <c r="B49" s="334" t="s">
        <v>682</v>
      </c>
      <c r="C49" s="335" t="s"/>
      <c r="D49" s="310" t="s"/>
      <c r="E49" s="336">
        <f>=$C49</f>
        <v>0</v>
      </c>
      <c r="F49" s="336">
        <f>=$C49</f>
        <v>0</v>
      </c>
      <c r="G49" s="336">
        <f>=$C49</f>
        <v>0</v>
      </c>
      <c r="H49" s="336">
        <f>=$C49</f>
        <v>0</v>
      </c>
      <c r="I49" s="336">
        <f>=$C49</f>
        <v>0</v>
      </c>
      <c r="J49" s="336">
        <f>=$C49</f>
        <v>0</v>
      </c>
      <c r="K49" s="336">
        <f>=$C49</f>
        <v>0</v>
      </c>
      <c r="L49" s="336">
        <f>=$C49</f>
        <v>0</v>
      </c>
      <c r="M49" s="336">
        <f>=$C49</f>
        <v>0</v>
      </c>
      <c r="N49" s="336">
        <f>=$C49</f>
        <v>0</v>
      </c>
      <c r="O49" s="336">
        <f>=$C49</f>
        <v>0</v>
      </c>
      <c r="P49" s="336">
        <f>=$C49</f>
        <v>0</v>
      </c>
      <c r="Q49" s="336">
        <f>=$C49</f>
        <v>0</v>
      </c>
      <c r="R49" s="336">
        <f>=$C49</f>
        <v>0</v>
      </c>
      <c r="S49" s="336">
        <f>=$C49</f>
        <v>0</v>
      </c>
      <c r="T49" s="336">
        <f>=$C49</f>
        <v>0</v>
      </c>
      <c r="U49" s="336">
        <f>=$C49</f>
        <v>0</v>
      </c>
      <c r="V49" s="336">
        <f>=$C49</f>
        <v>0</v>
      </c>
      <c r="W49" s="336">
        <f>=$C49</f>
        <v>0</v>
      </c>
      <c r="X49" s="336">
        <f>=$C49</f>
        <v>0</v>
      </c>
      <c r="Y49" s="336">
        <f>=$C49</f>
        <v>0</v>
      </c>
      <c r="Z49" s="336">
        <f>=$C49</f>
        <v>0</v>
      </c>
    </row>
    <row r="50" spans="1:26" ht="12" customHeight="true">
      <c r="A50" s="314" t="s"/>
      <c r="B50" s="334" t="s">
        <v>656</v>
      </c>
      <c r="C50" s="337" t="s"/>
      <c r="D50" s="306">
        <f>=SUM(E50:Z50)</f>
        <v>0</v>
      </c>
      <c r="E50" s="306">
        <f>=IF(E47=0,E48*E49/(1+E49),E48*E49)</f>
        <v>0</v>
      </c>
      <c r="F50" s="306">
        <f>=IF(F47=0,F48*F49/(1+F49),F48*F49)</f>
        <v>0</v>
      </c>
      <c r="G50" s="306">
        <f>=IF(G47=0,G48*G49/(1+G49),G48*G49)</f>
        <v>0</v>
      </c>
      <c r="H50" s="306">
        <f>=IF(H47=0,H48*H49/(1+H49),H48*H49)</f>
        <v>0</v>
      </c>
      <c r="I50" s="306">
        <f>=IF(I47=0,I48*I49/(1+I49),I48*I49)</f>
        <v>0</v>
      </c>
      <c r="J50" s="306">
        <f>=IF(J47=0,J48*J49/(1+J49),J48*J49)</f>
        <v>0</v>
      </c>
      <c r="K50" s="306">
        <f>=IF(K47=0,K48*K49/(1+K49),K48*K49)</f>
        <v>0</v>
      </c>
      <c r="L50" s="306">
        <f>=IF(L47=0,L48*L49/(1+L49),L48*L49)</f>
        <v>0</v>
      </c>
      <c r="M50" s="306">
        <f>=IF(M47=0,M48*M49/(1+M49),M48*M49)</f>
        <v>0</v>
      </c>
      <c r="N50" s="306">
        <f>=IF(N47=0,N48*N49/(1+N49),N48*N49)</f>
        <v>0</v>
      </c>
      <c r="O50" s="306">
        <f>=IF(O47=0,O48*O49/(1+O49),O48*O49)</f>
        <v>0</v>
      </c>
      <c r="P50" s="306">
        <f>=IF(P47=0,P48*P49/(1+P49),P48*P49)</f>
        <v>0</v>
      </c>
      <c r="Q50" s="306">
        <f>=IF(Q47=0,Q48*Q49/(1+Q49),Q48*Q49)</f>
        <v>0</v>
      </c>
      <c r="R50" s="306">
        <f>=IF(R47=0,R48*R49/(1+R49),R48*R49)</f>
        <v>0</v>
      </c>
      <c r="S50" s="306">
        <f>=IF(S47=0,S48*S49/(1+S49),S48*S49)</f>
        <v>0</v>
      </c>
      <c r="T50" s="306">
        <f>=IF(T47=0,T48*T49/(1+T49),T48*T49)</f>
        <v>0</v>
      </c>
      <c r="U50" s="306">
        <f>=IF(U47=0,U48*U49/(1+U49),U48*U49)</f>
        <v>0</v>
      </c>
      <c r="V50" s="306">
        <f>=IF(V47=0,V48*V49/(1+V49),V48*V49)</f>
        <v>0</v>
      </c>
      <c r="W50" s="306">
        <f>=IF(W47=0,W48*W49/(1+W49),W48*W49)</f>
        <v>0</v>
      </c>
      <c r="X50" s="306">
        <f>=IF(X47=0,X48*X49/(1+X49),X48*X49)</f>
        <v>0</v>
      </c>
      <c r="Y50" s="306">
        <f>=IF(Y47=0,Y48*Y49/(1+Y49),Y48*Y49)</f>
        <v>0</v>
      </c>
      <c r="Z50" s="306">
        <f>=IF(Z47=0,Z48*Z49/(1+Z49),Z48*Z49)</f>
        <v>0</v>
      </c>
    </row>
    <row r="51" spans="1:26" ht="12" customHeight="true">
      <c r="A51" s="314" t="s"/>
      <c r="B51" s="334" t="s">
        <v>1242</v>
      </c>
      <c r="C51" s="337" t="s"/>
      <c r="D51" s="306">
        <f>=SUM(E51:Z51)</f>
        <v>0</v>
      </c>
      <c r="E51" s="306">
        <f>=IF(E47=0,E46,E48+E50)</f>
        <v>0</v>
      </c>
      <c r="F51" s="306">
        <f>=IF(F47=0,F46,F48+F50)</f>
        <v>0</v>
      </c>
      <c r="G51" s="306">
        <f>=IF(G47=0,G46,G48+G50)</f>
        <v>0</v>
      </c>
      <c r="H51" s="306">
        <f>=IF(H47=0,H46,H48+H50)</f>
        <v>0</v>
      </c>
      <c r="I51" s="306">
        <f>=IF(I47=0,I46,I48+I50)</f>
        <v>0</v>
      </c>
      <c r="J51" s="306">
        <f>=IF(J47=0,J46,J48+J50)</f>
        <v>0</v>
      </c>
      <c r="K51" s="306">
        <f>=IF(K47=0,K46,K48+K50)</f>
        <v>0</v>
      </c>
      <c r="L51" s="306">
        <f>=IF(L47=0,L46,L48+L50)</f>
        <v>0</v>
      </c>
      <c r="M51" s="306">
        <f>=IF(M47=0,M46,M48+M50)</f>
        <v>0</v>
      </c>
      <c r="N51" s="306">
        <f>=IF(N47=0,N46,N48+N50)</f>
        <v>0</v>
      </c>
      <c r="O51" s="306">
        <f>=IF(O47=0,O46,O48+O50)</f>
        <v>0</v>
      </c>
      <c r="P51" s="306">
        <f>=IF(P47=0,P46,P48+P50)</f>
        <v>0</v>
      </c>
      <c r="Q51" s="306">
        <f>=IF(Q47=0,Q46,Q48+Q50)</f>
        <v>0</v>
      </c>
      <c r="R51" s="306">
        <f>=IF(R47=0,R46,R48+R50)</f>
        <v>0</v>
      </c>
      <c r="S51" s="306">
        <f>=IF(S47=0,S46,S48+S50)</f>
        <v>0</v>
      </c>
      <c r="T51" s="306">
        <f>=IF(T47=0,T46,T48+T50)</f>
        <v>0</v>
      </c>
      <c r="U51" s="306">
        <f>=IF(U47=0,U46,U48+U50)</f>
        <v>0</v>
      </c>
      <c r="V51" s="306">
        <f>=IF(V47=0,V46,V48+V50)</f>
        <v>0</v>
      </c>
      <c r="W51" s="306">
        <f>=IF(W47=0,W46,W48+W50)</f>
        <v>0</v>
      </c>
      <c r="X51" s="306">
        <f>=IF(X47=0,X46,X48+X50)</f>
        <v>0</v>
      </c>
      <c r="Y51" s="306">
        <f>=IF(Y47=0,Y46,Y48+Y50)</f>
        <v>0</v>
      </c>
      <c r="Z51" s="306">
        <f>=IF(Z47=0,Z46,Z48+Z50)</f>
        <v>0</v>
      </c>
    </row>
    <row r="52" spans="1:26" ht="12" customHeight="true">
      <c r="A52" s="314">
        <v>1.4</v>
      </c>
      <c r="B52" s="580" t="s"/>
      <c r="C52" s="580" t="s"/>
      <c r="D52" s="316" t="s">
        <v>672</v>
      </c>
      <c r="E52" s="316" t="s"/>
      <c r="F52" s="581" t="s"/>
      <c r="G52" s="581" t="s"/>
      <c r="H52" s="581" t="s"/>
      <c r="I52" s="581" t="s"/>
      <c r="J52" s="581" t="s"/>
      <c r="K52" s="581" t="s"/>
      <c r="L52" s="581" t="s"/>
      <c r="M52" s="581" t="s"/>
      <c r="N52" s="581" t="s"/>
      <c r="O52" s="581" t="s"/>
      <c r="P52" s="581" t="s"/>
      <c r="Q52" s="581" t="s"/>
      <c r="R52" s="581" t="s"/>
      <c r="S52" s="581" t="s"/>
      <c r="T52" s="581" t="s"/>
      <c r="U52" s="581" t="s"/>
      <c r="V52" s="581" t="s"/>
      <c r="W52" s="581" t="s"/>
      <c r="X52" s="581" t="s"/>
      <c r="Y52" s="581" t="s"/>
      <c r="Z52" s="581" t="s"/>
    </row>
    <row r="53" spans="1:26" ht="12" customHeight="true">
      <c r="A53" s="314" t="s"/>
      <c r="B53" s="318" t="s">
        <v>688</v>
      </c>
      <c r="C53" s="319" t="s"/>
      <c r="D53" s="320" t="s">
        <v>674</v>
      </c>
      <c r="E53" s="331" t="s"/>
      <c r="F53" s="331" t="s"/>
      <c r="G53" s="331" t="s"/>
      <c r="H53" s="331" t="s"/>
      <c r="I53" s="331" t="s"/>
      <c r="J53" s="331" t="s"/>
      <c r="K53" s="331" t="s"/>
      <c r="L53" s="331" t="s"/>
      <c r="M53" s="331" t="s"/>
      <c r="N53" s="331" t="s"/>
      <c r="O53" s="331" t="s"/>
      <c r="P53" s="331" t="s"/>
      <c r="Q53" s="331" t="s"/>
      <c r="R53" s="331" t="s"/>
      <c r="S53" s="331" t="s"/>
      <c r="T53" s="331" t="s"/>
      <c r="U53" s="331" t="s"/>
      <c r="V53" s="331" t="s"/>
      <c r="W53" s="331" t="s"/>
      <c r="X53" s="331" t="s"/>
      <c r="Y53" s="331" t="s"/>
      <c r="Z53" s="331" t="s"/>
    </row>
    <row r="54" spans="1:26" ht="12" customHeight="true">
      <c r="A54" s="314" t="s"/>
      <c r="B54" s="323" t="s">
        <v>534</v>
      </c>
      <c r="C54" s="324">
        <f>=IF($D53="美元",辅助表1评估项目基础数据表!$C$17,IF($D53="其他外币",辅助表1评估项目基础数据表!$C$18,1))</f>
        <v>1</v>
      </c>
      <c r="D54" s="300" t="s"/>
      <c r="E54" s="325">
        <f>=$C54</f>
        <v>1</v>
      </c>
      <c r="F54" s="325">
        <f>=$C54</f>
        <v>1</v>
      </c>
      <c r="G54" s="325">
        <f>=$C54</f>
        <v>1</v>
      </c>
      <c r="H54" s="325">
        <f>=$C54</f>
        <v>1</v>
      </c>
      <c r="I54" s="325">
        <f>=$C54</f>
        <v>1</v>
      </c>
      <c r="J54" s="325">
        <f>=$C54</f>
        <v>1</v>
      </c>
      <c r="K54" s="325">
        <f>=$C54</f>
        <v>1</v>
      </c>
      <c r="L54" s="325">
        <f>=$C54</f>
        <v>1</v>
      </c>
      <c r="M54" s="325">
        <f>=$C54</f>
        <v>1</v>
      </c>
      <c r="N54" s="325">
        <f>=$C54</f>
        <v>1</v>
      </c>
      <c r="O54" s="325">
        <f>=$C54</f>
        <v>1</v>
      </c>
      <c r="P54" s="325">
        <f>=$C54</f>
        <v>1</v>
      </c>
      <c r="Q54" s="325">
        <f>=$C54</f>
        <v>1</v>
      </c>
      <c r="R54" s="325">
        <f>=$C54</f>
        <v>1</v>
      </c>
      <c r="S54" s="325">
        <f>=$C54</f>
        <v>1</v>
      </c>
      <c r="T54" s="325">
        <f>=$C54</f>
        <v>1</v>
      </c>
      <c r="U54" s="325">
        <f>=$C54</f>
        <v>1</v>
      </c>
      <c r="V54" s="325">
        <f>=$C54</f>
        <v>1</v>
      </c>
      <c r="W54" s="325">
        <f>=$C54</f>
        <v>1</v>
      </c>
      <c r="X54" s="325">
        <f>=$C54</f>
        <v>1</v>
      </c>
      <c r="Y54" s="325">
        <f>=$C54</f>
        <v>1</v>
      </c>
      <c r="Z54" s="325">
        <f>=$C54</f>
        <v>1</v>
      </c>
    </row>
    <row r="55" spans="1:26" ht="12" customHeight="true">
      <c r="A55" s="314" t="s"/>
      <c r="B55" s="326" t="s">
        <v>676</v>
      </c>
      <c r="C55" s="327" t="s"/>
      <c r="D55" s="310" t="s"/>
      <c r="E55" s="328">
        <f>=E53*E54</f>
        <v>0</v>
      </c>
      <c r="F55" s="328">
        <f>=F53*F54</f>
        <v>0</v>
      </c>
      <c r="G55" s="328">
        <f>=G53*G54</f>
        <v>0</v>
      </c>
      <c r="H55" s="328">
        <f>=H53*H54</f>
        <v>0</v>
      </c>
      <c r="I55" s="328">
        <f>=I53*I54</f>
        <v>0</v>
      </c>
      <c r="J55" s="328">
        <f>=J53*J54</f>
        <v>0</v>
      </c>
      <c r="K55" s="328">
        <f>=K53*K54</f>
        <v>0</v>
      </c>
      <c r="L55" s="328">
        <f>=L53*L54</f>
        <v>0</v>
      </c>
      <c r="M55" s="328">
        <f>=M53*M54</f>
        <v>0</v>
      </c>
      <c r="N55" s="328">
        <f>=N53*N54</f>
        <v>0</v>
      </c>
      <c r="O55" s="328">
        <f>=O53*O54</f>
        <v>0</v>
      </c>
      <c r="P55" s="328">
        <f>=P53*P54</f>
        <v>0</v>
      </c>
      <c r="Q55" s="328">
        <f>=Q53*Q54</f>
        <v>0</v>
      </c>
      <c r="R55" s="328">
        <f>=R53*R54</f>
        <v>0</v>
      </c>
      <c r="S55" s="328">
        <f>=S53*S54</f>
        <v>0</v>
      </c>
      <c r="T55" s="328">
        <f>=T53*T54</f>
        <v>0</v>
      </c>
      <c r="U55" s="328">
        <f>=U53*U54</f>
        <v>0</v>
      </c>
      <c r="V55" s="328">
        <f>=V53*V54</f>
        <v>0</v>
      </c>
      <c r="W55" s="328">
        <f>=W53*W54</f>
        <v>0</v>
      </c>
      <c r="X55" s="328">
        <f>=X53*X54</f>
        <v>0</v>
      </c>
      <c r="Y55" s="328">
        <f>=Y53*Y54</f>
        <v>0</v>
      </c>
      <c r="Z55" s="328">
        <f>=Z53*Z54</f>
        <v>0</v>
      </c>
    </row>
    <row r="56" spans="1:26" ht="12" customHeight="true">
      <c r="A56" s="314" t="s"/>
      <c r="B56" s="333" t="s">
        <v>1236</v>
      </c>
      <c r="C56" s="330" t="s"/>
      <c r="D56" s="306">
        <f>=SUM(E56:Z56)</f>
        <v>0</v>
      </c>
      <c r="E56" s="331" t="s"/>
      <c r="F56" s="331" t="s"/>
      <c r="G56" s="331" t="s"/>
      <c r="H56" s="331" t="s"/>
      <c r="I56" s="331" t="s"/>
      <c r="J56" s="331" t="s"/>
      <c r="K56" s="331" t="s"/>
      <c r="L56" s="331" t="s"/>
      <c r="M56" s="331" t="s"/>
      <c r="N56" s="331" t="s"/>
      <c r="O56" s="331" t="s"/>
      <c r="P56" s="331" t="s"/>
      <c r="Q56" s="331" t="s"/>
      <c r="R56" s="331" t="s"/>
      <c r="S56" s="331" t="s"/>
      <c r="T56" s="331" t="s"/>
      <c r="U56" s="331" t="s"/>
      <c r="V56" s="331" t="s"/>
      <c r="W56" s="331" t="s"/>
      <c r="X56" s="331" t="s"/>
      <c r="Y56" s="331" t="s"/>
      <c r="Z56" s="331" t="s"/>
    </row>
    <row r="57" spans="1:26" ht="12" customHeight="true">
      <c r="A57" s="314" t="s"/>
      <c r="B57" s="333" t="s">
        <v>1238</v>
      </c>
      <c r="C57" s="333" t="s"/>
      <c r="D57" s="306">
        <f>=SUM(E57:Z57)</f>
        <v>0</v>
      </c>
      <c r="E57" s="306">
        <f>=E55*E56</f>
        <v>0</v>
      </c>
      <c r="F57" s="306">
        <f>=F55*F56</f>
        <v>0</v>
      </c>
      <c r="G57" s="306">
        <f>=G55*G56</f>
        <v>0</v>
      </c>
      <c r="H57" s="306">
        <f>=H55*H56</f>
        <v>0</v>
      </c>
      <c r="I57" s="306">
        <f>=I55*I56</f>
        <v>0</v>
      </c>
      <c r="J57" s="306">
        <f>=J55*J56</f>
        <v>0</v>
      </c>
      <c r="K57" s="306">
        <f>=K55*K56</f>
        <v>0</v>
      </c>
      <c r="L57" s="306">
        <f>=L55*L56</f>
        <v>0</v>
      </c>
      <c r="M57" s="306">
        <f>=M55*M56</f>
        <v>0</v>
      </c>
      <c r="N57" s="306">
        <f>=N55*N56</f>
        <v>0</v>
      </c>
      <c r="O57" s="306">
        <f>=O55*O56</f>
        <v>0</v>
      </c>
      <c r="P57" s="306">
        <f>=P55*P56</f>
        <v>0</v>
      </c>
      <c r="Q57" s="306">
        <f>=Q55*Q56</f>
        <v>0</v>
      </c>
      <c r="R57" s="306">
        <f>=R55*R56</f>
        <v>0</v>
      </c>
      <c r="S57" s="306">
        <f>=S55*S56</f>
        <v>0</v>
      </c>
      <c r="T57" s="306">
        <f>=T55*T56</f>
        <v>0</v>
      </c>
      <c r="U57" s="306">
        <f>=U55*U56</f>
        <v>0</v>
      </c>
      <c r="V57" s="306">
        <f>=V55*V56</f>
        <v>0</v>
      </c>
      <c r="W57" s="306">
        <f>=W55*W56</f>
        <v>0</v>
      </c>
      <c r="X57" s="306">
        <f>=X55*X56</f>
        <v>0</v>
      </c>
      <c r="Y57" s="306">
        <f>=Y55*Y56</f>
        <v>0</v>
      </c>
      <c r="Z57" s="306">
        <f>=Z55*Z56</f>
        <v>0</v>
      </c>
    </row>
    <row r="58" spans="1:26" ht="12" customHeight="true">
      <c r="A58" s="314" t="s"/>
      <c r="B58" s="334" t="s">
        <v>1240</v>
      </c>
      <c r="C58" s="335" t="s"/>
      <c r="D58" s="310" t="s"/>
      <c r="E58" s="336">
        <f>=$C58</f>
        <v>0</v>
      </c>
      <c r="F58" s="336">
        <f>=$C58</f>
        <v>0</v>
      </c>
      <c r="G58" s="336">
        <f>=$C58</f>
        <v>0</v>
      </c>
      <c r="H58" s="336">
        <f>=$C58</f>
        <v>0</v>
      </c>
      <c r="I58" s="336">
        <f>=$C58</f>
        <v>0</v>
      </c>
      <c r="J58" s="336">
        <f>=$C58</f>
        <v>0</v>
      </c>
      <c r="K58" s="336">
        <f>=$C58</f>
        <v>0</v>
      </c>
      <c r="L58" s="336">
        <f>=$C58</f>
        <v>0</v>
      </c>
      <c r="M58" s="336">
        <f>=$C58</f>
        <v>0</v>
      </c>
      <c r="N58" s="336">
        <f>=$C58</f>
        <v>0</v>
      </c>
      <c r="O58" s="336">
        <f>=$C58</f>
        <v>0</v>
      </c>
      <c r="P58" s="336">
        <f>=$C58</f>
        <v>0</v>
      </c>
      <c r="Q58" s="336">
        <f>=$C58</f>
        <v>0</v>
      </c>
      <c r="R58" s="336">
        <f>=$C58</f>
        <v>0</v>
      </c>
      <c r="S58" s="336">
        <f>=$C58</f>
        <v>0</v>
      </c>
      <c r="T58" s="336">
        <f>=$C58</f>
        <v>0</v>
      </c>
      <c r="U58" s="336">
        <f>=$C58</f>
        <v>0</v>
      </c>
      <c r="V58" s="336">
        <f>=$C58</f>
        <v>0</v>
      </c>
      <c r="W58" s="336">
        <f>=$C58</f>
        <v>0</v>
      </c>
      <c r="X58" s="336">
        <f>=$C58</f>
        <v>0</v>
      </c>
      <c r="Y58" s="336">
        <f>=$C58</f>
        <v>0</v>
      </c>
      <c r="Z58" s="336">
        <f>=$C58</f>
        <v>0</v>
      </c>
    </row>
    <row r="59" spans="1:26" ht="12" customHeight="true">
      <c r="A59" s="314" t="s"/>
      <c r="B59" s="334" t="s">
        <v>1229</v>
      </c>
      <c r="C59" s="310" t="s"/>
      <c r="D59" s="306">
        <f>=SUM(E59:Z59)</f>
        <v>0</v>
      </c>
      <c r="E59" s="306">
        <f>=E57*(1+E58)</f>
        <v>0</v>
      </c>
      <c r="F59" s="306">
        <f>=F57*(1+F58)</f>
        <v>0</v>
      </c>
      <c r="G59" s="306">
        <f>=G57*(1+G58)</f>
        <v>0</v>
      </c>
      <c r="H59" s="306">
        <f>=H57*(1+H58)</f>
        <v>0</v>
      </c>
      <c r="I59" s="306">
        <f>=I57*(1+I58)</f>
        <v>0</v>
      </c>
      <c r="J59" s="306">
        <f>=J57*(1+J58)</f>
        <v>0</v>
      </c>
      <c r="K59" s="306">
        <f>=K57*(1+K58)</f>
        <v>0</v>
      </c>
      <c r="L59" s="306">
        <f>=L57*(1+L58)</f>
        <v>0</v>
      </c>
      <c r="M59" s="306">
        <f>=M57*(1+M58)</f>
        <v>0</v>
      </c>
      <c r="N59" s="306">
        <f>=N57*(1+N58)</f>
        <v>0</v>
      </c>
      <c r="O59" s="306">
        <f>=O57*(1+O58)</f>
        <v>0</v>
      </c>
      <c r="P59" s="306">
        <f>=P57*(1+P58)</f>
        <v>0</v>
      </c>
      <c r="Q59" s="306">
        <f>=Q57*(1+Q58)</f>
        <v>0</v>
      </c>
      <c r="R59" s="306">
        <f>=R57*(1+R58)</f>
        <v>0</v>
      </c>
      <c r="S59" s="306">
        <f>=S57*(1+S58)</f>
        <v>0</v>
      </c>
      <c r="T59" s="306">
        <f>=T57*(1+T58)</f>
        <v>0</v>
      </c>
      <c r="U59" s="306">
        <f>=U57*(1+U58)</f>
        <v>0</v>
      </c>
      <c r="V59" s="306">
        <f>=V57*(1+V58)</f>
        <v>0</v>
      </c>
      <c r="W59" s="306">
        <f>=W57*(1+W58)</f>
        <v>0</v>
      </c>
      <c r="X59" s="306">
        <f>=X57*(1+X58)</f>
        <v>0</v>
      </c>
      <c r="Y59" s="306">
        <f>=Y57*(1+Y58)</f>
        <v>0</v>
      </c>
      <c r="Z59" s="306">
        <f>=Z57*(1+Z58)</f>
        <v>0</v>
      </c>
    </row>
    <row r="60" spans="1:26" ht="12" customHeight="true">
      <c r="A60" s="314" t="s"/>
      <c r="B60" s="334" t="s">
        <v>682</v>
      </c>
      <c r="C60" s="335" t="s"/>
      <c r="D60" s="310" t="s"/>
      <c r="E60" s="336">
        <f>=$C60</f>
        <v>0</v>
      </c>
      <c r="F60" s="336">
        <f>=$C60</f>
        <v>0</v>
      </c>
      <c r="G60" s="336">
        <f>=$C60</f>
        <v>0</v>
      </c>
      <c r="H60" s="336">
        <f>=$C60</f>
        <v>0</v>
      </c>
      <c r="I60" s="336">
        <f>=$C60</f>
        <v>0</v>
      </c>
      <c r="J60" s="336">
        <f>=$C60</f>
        <v>0</v>
      </c>
      <c r="K60" s="336">
        <f>=$C60</f>
        <v>0</v>
      </c>
      <c r="L60" s="336">
        <f>=$C60</f>
        <v>0</v>
      </c>
      <c r="M60" s="336">
        <f>=$C60</f>
        <v>0</v>
      </c>
      <c r="N60" s="336">
        <f>=$C60</f>
        <v>0</v>
      </c>
      <c r="O60" s="336">
        <f>=$C60</f>
        <v>0</v>
      </c>
      <c r="P60" s="336">
        <f>=$C60</f>
        <v>0</v>
      </c>
      <c r="Q60" s="336">
        <f>=$C60</f>
        <v>0</v>
      </c>
      <c r="R60" s="336">
        <f>=$C60</f>
        <v>0</v>
      </c>
      <c r="S60" s="336">
        <f>=$C60</f>
        <v>0</v>
      </c>
      <c r="T60" s="336">
        <f>=$C60</f>
        <v>0</v>
      </c>
      <c r="U60" s="336">
        <f>=$C60</f>
        <v>0</v>
      </c>
      <c r="V60" s="336">
        <f>=$C60</f>
        <v>0</v>
      </c>
      <c r="W60" s="336">
        <f>=$C60</f>
        <v>0</v>
      </c>
      <c r="X60" s="336">
        <f>=$C60</f>
        <v>0</v>
      </c>
      <c r="Y60" s="336">
        <f>=$C60</f>
        <v>0</v>
      </c>
      <c r="Z60" s="336">
        <f>=$C60</f>
        <v>0</v>
      </c>
    </row>
    <row r="61" spans="1:26" ht="12" customHeight="true">
      <c r="A61" s="314" t="s"/>
      <c r="B61" s="334" t="s">
        <v>656</v>
      </c>
      <c r="C61" s="337" t="s"/>
      <c r="D61" s="306">
        <f>=SUM(E61:Z61)</f>
        <v>0</v>
      </c>
      <c r="E61" s="306">
        <f>=IF(E58=0,E59*E60/(1+E60),E59*E60)</f>
        <v>0</v>
      </c>
      <c r="F61" s="306">
        <f>=IF(F58=0,F59*F60/(1+F60),F59*F60)</f>
        <v>0</v>
      </c>
      <c r="G61" s="306">
        <f>=IF(G58=0,G59*G60/(1+G60),G59*G60)</f>
        <v>0</v>
      </c>
      <c r="H61" s="306">
        <f>=IF(H58=0,H59*H60/(1+H60),H59*H60)</f>
        <v>0</v>
      </c>
      <c r="I61" s="306">
        <f>=IF(I58=0,I59*I60/(1+I60),I59*I60)</f>
        <v>0</v>
      </c>
      <c r="J61" s="306">
        <f>=IF(J58=0,J59*J60/(1+J60),J59*J60)</f>
        <v>0</v>
      </c>
      <c r="K61" s="306">
        <f>=IF(K58=0,K59*K60/(1+K60),K59*K60)</f>
        <v>0</v>
      </c>
      <c r="L61" s="306">
        <f>=IF(L58=0,L59*L60/(1+L60),L59*L60)</f>
        <v>0</v>
      </c>
      <c r="M61" s="306">
        <f>=IF(M58=0,M59*M60/(1+M60),M59*M60)</f>
        <v>0</v>
      </c>
      <c r="N61" s="306">
        <f>=IF(N58=0,N59*N60/(1+N60),N59*N60)</f>
        <v>0</v>
      </c>
      <c r="O61" s="306">
        <f>=IF(O58=0,O59*O60/(1+O60),O59*O60)</f>
        <v>0</v>
      </c>
      <c r="P61" s="306">
        <f>=IF(P58=0,P59*P60/(1+P60),P59*P60)</f>
        <v>0</v>
      </c>
      <c r="Q61" s="306">
        <f>=IF(Q58=0,Q59*Q60/(1+Q60),Q59*Q60)</f>
        <v>0</v>
      </c>
      <c r="R61" s="306">
        <f>=IF(R58=0,R59*R60/(1+R60),R59*R60)</f>
        <v>0</v>
      </c>
      <c r="S61" s="306">
        <f>=IF(S58=0,S59*S60/(1+S60),S59*S60)</f>
        <v>0</v>
      </c>
      <c r="T61" s="306">
        <f>=IF(T58=0,T59*T60/(1+T60),T59*T60)</f>
        <v>0</v>
      </c>
      <c r="U61" s="306">
        <f>=IF(U58=0,U59*U60/(1+U60),U59*U60)</f>
        <v>0</v>
      </c>
      <c r="V61" s="306">
        <f>=IF(V58=0,V59*V60/(1+V60),V59*V60)</f>
        <v>0</v>
      </c>
      <c r="W61" s="306">
        <f>=IF(W58=0,W59*W60/(1+W60),W59*W60)</f>
        <v>0</v>
      </c>
      <c r="X61" s="306">
        <f>=IF(X58=0,X59*X60/(1+X60),X59*X60)</f>
        <v>0</v>
      </c>
      <c r="Y61" s="306">
        <f>=IF(Y58=0,Y59*Y60/(1+Y60),Y59*Y60)</f>
        <v>0</v>
      </c>
      <c r="Z61" s="306">
        <f>=IF(Z58=0,Z59*Z60/(1+Z60),Z59*Z60)</f>
        <v>0</v>
      </c>
    </row>
    <row r="62" spans="1:26" ht="12" customHeight="true">
      <c r="A62" s="314" t="s"/>
      <c r="B62" s="334" t="s">
        <v>1242</v>
      </c>
      <c r="C62" s="337" t="s"/>
      <c r="D62" s="306">
        <f>=SUM(E62:Z62)</f>
        <v>0</v>
      </c>
      <c r="E62" s="306">
        <f>=IF(E58=0,E57,E59+E61)</f>
        <v>0</v>
      </c>
      <c r="F62" s="306">
        <f>=IF(F58=0,F57,F59+F61)</f>
        <v>0</v>
      </c>
      <c r="G62" s="306">
        <f>=IF(G58=0,G57,G59+G61)</f>
        <v>0</v>
      </c>
      <c r="H62" s="306">
        <f>=IF(H58=0,H57,H59+H61)</f>
        <v>0</v>
      </c>
      <c r="I62" s="306">
        <f>=IF(I58=0,I57,I59+I61)</f>
        <v>0</v>
      </c>
      <c r="J62" s="306">
        <f>=IF(J58=0,J57,J59+J61)</f>
        <v>0</v>
      </c>
      <c r="K62" s="306">
        <f>=IF(K58=0,K57,K59+K61)</f>
        <v>0</v>
      </c>
      <c r="L62" s="306">
        <f>=IF(L58=0,L57,L59+L61)</f>
        <v>0</v>
      </c>
      <c r="M62" s="306">
        <f>=IF(M58=0,M57,M59+M61)</f>
        <v>0</v>
      </c>
      <c r="N62" s="306">
        <f>=IF(N58=0,N57,N59+N61)</f>
        <v>0</v>
      </c>
      <c r="O62" s="306">
        <f>=IF(O58=0,O57,O59+O61)</f>
        <v>0</v>
      </c>
      <c r="P62" s="306">
        <f>=IF(P58=0,P57,P59+P61)</f>
        <v>0</v>
      </c>
      <c r="Q62" s="306">
        <f>=IF(Q58=0,Q57,Q59+Q61)</f>
        <v>0</v>
      </c>
      <c r="R62" s="306">
        <f>=IF(R58=0,R57,R59+R61)</f>
        <v>0</v>
      </c>
      <c r="S62" s="306">
        <f>=IF(S58=0,S57,S59+S61)</f>
        <v>0</v>
      </c>
      <c r="T62" s="306">
        <f>=IF(T58=0,T57,T59+T61)</f>
        <v>0</v>
      </c>
      <c r="U62" s="306">
        <f>=IF(U58=0,U57,U59+U61)</f>
        <v>0</v>
      </c>
      <c r="V62" s="306">
        <f>=IF(V58=0,V57,V59+V61)</f>
        <v>0</v>
      </c>
      <c r="W62" s="306">
        <f>=IF(W58=0,W57,W59+W61)</f>
        <v>0</v>
      </c>
      <c r="X62" s="306">
        <f>=IF(X58=0,X57,X59+X61)</f>
        <v>0</v>
      </c>
      <c r="Y62" s="306">
        <f>=IF(Y58=0,Y57,Y59+Y61)</f>
        <v>0</v>
      </c>
      <c r="Z62" s="306">
        <f>=IF(Z58=0,Z57,Z59+Z61)</f>
        <v>0</v>
      </c>
    </row>
    <row r="63" spans="1:26" ht="12" customHeight="true">
      <c r="A63" s="314">
        <v>1.5</v>
      </c>
      <c r="B63" s="580" t="s"/>
      <c r="C63" s="580" t="s"/>
      <c r="D63" s="316" t="s">
        <v>672</v>
      </c>
      <c r="E63" s="316" t="s"/>
      <c r="F63" s="581" t="s"/>
      <c r="G63" s="581" t="s"/>
      <c r="H63" s="581" t="s"/>
      <c r="I63" s="581" t="s"/>
      <c r="J63" s="581" t="s"/>
      <c r="K63" s="581" t="s"/>
      <c r="L63" s="581" t="s"/>
      <c r="M63" s="581" t="s"/>
      <c r="N63" s="581" t="s"/>
      <c r="O63" s="581" t="s"/>
      <c r="P63" s="581" t="s"/>
      <c r="Q63" s="581" t="s"/>
      <c r="R63" s="581" t="s"/>
      <c r="S63" s="581" t="s"/>
      <c r="T63" s="581" t="s"/>
      <c r="U63" s="581" t="s"/>
      <c r="V63" s="581" t="s"/>
      <c r="W63" s="581" t="s"/>
      <c r="X63" s="581" t="s"/>
      <c r="Y63" s="581" t="s"/>
      <c r="Z63" s="581" t="s"/>
    </row>
    <row r="64" spans="1:26" ht="12" customHeight="true">
      <c r="A64" s="314" t="s"/>
      <c r="B64" s="318" t="s">
        <v>688</v>
      </c>
      <c r="C64" s="319" t="s"/>
      <c r="D64" s="320" t="s">
        <v>674</v>
      </c>
      <c r="E64" s="331" t="s"/>
      <c r="F64" s="331" t="s"/>
      <c r="G64" s="331" t="s"/>
      <c r="H64" s="331" t="s"/>
      <c r="I64" s="331" t="s"/>
      <c r="J64" s="331" t="s"/>
      <c r="K64" s="331" t="s"/>
      <c r="L64" s="331" t="s"/>
      <c r="M64" s="331" t="s"/>
      <c r="N64" s="331" t="s"/>
      <c r="O64" s="331" t="s"/>
      <c r="P64" s="331" t="s"/>
      <c r="Q64" s="331" t="s"/>
      <c r="R64" s="331" t="s"/>
      <c r="S64" s="331" t="s"/>
      <c r="T64" s="331" t="s"/>
      <c r="U64" s="331" t="s"/>
      <c r="V64" s="331" t="s"/>
      <c r="W64" s="331" t="s"/>
      <c r="X64" s="331" t="s"/>
      <c r="Y64" s="331" t="s"/>
      <c r="Z64" s="331" t="s"/>
    </row>
    <row r="65" spans="1:26" ht="12" customHeight="true">
      <c r="A65" s="314" t="s"/>
      <c r="B65" s="323" t="s">
        <v>534</v>
      </c>
      <c r="C65" s="324">
        <f>=IF($D64="美元",辅助表1评估项目基础数据表!$C$17,IF($D64="其他外币",辅助表1评估项目基础数据表!$C$18,1))</f>
        <v>1</v>
      </c>
      <c r="D65" s="300" t="s"/>
      <c r="E65" s="325">
        <f>=$C65</f>
        <v>1</v>
      </c>
      <c r="F65" s="325">
        <f>=$C65</f>
        <v>1</v>
      </c>
      <c r="G65" s="325">
        <f>=$C65</f>
        <v>1</v>
      </c>
      <c r="H65" s="325">
        <f>=$C65</f>
        <v>1</v>
      </c>
      <c r="I65" s="325">
        <f>=$C65</f>
        <v>1</v>
      </c>
      <c r="J65" s="325">
        <f>=$C65</f>
        <v>1</v>
      </c>
      <c r="K65" s="325">
        <f>=$C65</f>
        <v>1</v>
      </c>
      <c r="L65" s="325">
        <f>=$C65</f>
        <v>1</v>
      </c>
      <c r="M65" s="325">
        <f>=$C65</f>
        <v>1</v>
      </c>
      <c r="N65" s="325">
        <f>=$C65</f>
        <v>1</v>
      </c>
      <c r="O65" s="325">
        <f>=$C65</f>
        <v>1</v>
      </c>
      <c r="P65" s="325">
        <f>=$C65</f>
        <v>1</v>
      </c>
      <c r="Q65" s="325">
        <f>=$C65</f>
        <v>1</v>
      </c>
      <c r="R65" s="325">
        <f>=$C65</f>
        <v>1</v>
      </c>
      <c r="S65" s="325">
        <f>=$C65</f>
        <v>1</v>
      </c>
      <c r="T65" s="325">
        <f>=$C65</f>
        <v>1</v>
      </c>
      <c r="U65" s="325">
        <f>=$C65</f>
        <v>1</v>
      </c>
      <c r="V65" s="325">
        <f>=$C65</f>
        <v>1</v>
      </c>
      <c r="W65" s="325">
        <f>=$C65</f>
        <v>1</v>
      </c>
      <c r="X65" s="325">
        <f>=$C65</f>
        <v>1</v>
      </c>
      <c r="Y65" s="325">
        <f>=$C65</f>
        <v>1</v>
      </c>
      <c r="Z65" s="325">
        <f>=$C65</f>
        <v>1</v>
      </c>
    </row>
    <row r="66" spans="1:26" ht="12" customHeight="true">
      <c r="A66" s="314" t="s"/>
      <c r="B66" s="326" t="s">
        <v>676</v>
      </c>
      <c r="C66" s="327" t="s"/>
      <c r="D66" s="310" t="s"/>
      <c r="E66" s="328">
        <f>=E64*E65</f>
        <v>0</v>
      </c>
      <c r="F66" s="328">
        <f>=F64*F65</f>
        <v>0</v>
      </c>
      <c r="G66" s="328">
        <f>=G64*G65</f>
        <v>0</v>
      </c>
      <c r="H66" s="328">
        <f>=H64*H65</f>
        <v>0</v>
      </c>
      <c r="I66" s="328">
        <f>=I64*I65</f>
        <v>0</v>
      </c>
      <c r="J66" s="328">
        <f>=J64*J65</f>
        <v>0</v>
      </c>
      <c r="K66" s="328">
        <f>=K64*K65</f>
        <v>0</v>
      </c>
      <c r="L66" s="328">
        <f>=L64*L65</f>
        <v>0</v>
      </c>
      <c r="M66" s="328">
        <f>=M64*M65</f>
        <v>0</v>
      </c>
      <c r="N66" s="328">
        <f>=N64*N65</f>
        <v>0</v>
      </c>
      <c r="O66" s="328">
        <f>=O64*O65</f>
        <v>0</v>
      </c>
      <c r="P66" s="328">
        <f>=P64*P65</f>
        <v>0</v>
      </c>
      <c r="Q66" s="328">
        <f>=Q64*Q65</f>
        <v>0</v>
      </c>
      <c r="R66" s="328">
        <f>=R64*R65</f>
        <v>0</v>
      </c>
      <c r="S66" s="328">
        <f>=S64*S65</f>
        <v>0</v>
      </c>
      <c r="T66" s="328">
        <f>=T64*T65</f>
        <v>0</v>
      </c>
      <c r="U66" s="328">
        <f>=U64*U65</f>
        <v>0</v>
      </c>
      <c r="V66" s="328">
        <f>=V64*V65</f>
        <v>0</v>
      </c>
      <c r="W66" s="328">
        <f>=W64*W65</f>
        <v>0</v>
      </c>
      <c r="X66" s="328">
        <f>=X64*X65</f>
        <v>0</v>
      </c>
      <c r="Y66" s="328">
        <f>=Y64*Y65</f>
        <v>0</v>
      </c>
      <c r="Z66" s="328">
        <f>=Z64*Z65</f>
        <v>0</v>
      </c>
    </row>
    <row r="67" spans="1:26" ht="12" customHeight="true">
      <c r="A67" s="314" t="s"/>
      <c r="B67" s="333" t="s">
        <v>1236</v>
      </c>
      <c r="C67" s="330" t="s"/>
      <c r="D67" s="306">
        <f>=SUM(E67:Z67)</f>
        <v>0</v>
      </c>
      <c r="E67" s="331" t="s"/>
      <c r="F67" s="331" t="s"/>
      <c r="G67" s="331" t="s"/>
      <c r="H67" s="331" t="s"/>
      <c r="I67" s="331" t="s"/>
      <c r="J67" s="331" t="s"/>
      <c r="K67" s="331" t="s"/>
      <c r="L67" s="331" t="s"/>
      <c r="M67" s="331" t="s"/>
      <c r="N67" s="331" t="s"/>
      <c r="O67" s="331" t="s"/>
      <c r="P67" s="331" t="s"/>
      <c r="Q67" s="331" t="s"/>
      <c r="R67" s="331" t="s"/>
      <c r="S67" s="331" t="s"/>
      <c r="T67" s="331" t="s"/>
      <c r="U67" s="331" t="s"/>
      <c r="V67" s="331" t="s"/>
      <c r="W67" s="331" t="s"/>
      <c r="X67" s="331" t="s"/>
      <c r="Y67" s="331" t="s"/>
      <c r="Z67" s="331" t="s"/>
    </row>
    <row r="68" spans="1:26" ht="12" customHeight="true">
      <c r="A68" s="314" t="s"/>
      <c r="B68" s="333" t="s">
        <v>1238</v>
      </c>
      <c r="C68" s="333" t="s"/>
      <c r="D68" s="306">
        <f>=SUM(E68:Z68)</f>
        <v>0</v>
      </c>
      <c r="E68" s="306">
        <f>=E66*E67</f>
        <v>0</v>
      </c>
      <c r="F68" s="306">
        <f>=F66*F67</f>
        <v>0</v>
      </c>
      <c r="G68" s="306">
        <f>=G66*G67</f>
        <v>0</v>
      </c>
      <c r="H68" s="306">
        <f>=H66*H67</f>
        <v>0</v>
      </c>
      <c r="I68" s="306">
        <f>=I66*I67</f>
        <v>0</v>
      </c>
      <c r="J68" s="306">
        <f>=J66*J67</f>
        <v>0</v>
      </c>
      <c r="K68" s="306">
        <f>=K66*K67</f>
        <v>0</v>
      </c>
      <c r="L68" s="306">
        <f>=L66*L67</f>
        <v>0</v>
      </c>
      <c r="M68" s="306">
        <f>=M66*M67</f>
        <v>0</v>
      </c>
      <c r="N68" s="306">
        <f>=N66*N67</f>
        <v>0</v>
      </c>
      <c r="O68" s="306">
        <f>=O66*O67</f>
        <v>0</v>
      </c>
      <c r="P68" s="306">
        <f>=P66*P67</f>
        <v>0</v>
      </c>
      <c r="Q68" s="306">
        <f>=Q66*Q67</f>
        <v>0</v>
      </c>
      <c r="R68" s="306">
        <f>=R66*R67</f>
        <v>0</v>
      </c>
      <c r="S68" s="306">
        <f>=S66*S67</f>
        <v>0</v>
      </c>
      <c r="T68" s="306">
        <f>=T66*T67</f>
        <v>0</v>
      </c>
      <c r="U68" s="306">
        <f>=U66*U67</f>
        <v>0</v>
      </c>
      <c r="V68" s="306">
        <f>=V66*V67</f>
        <v>0</v>
      </c>
      <c r="W68" s="306">
        <f>=W66*W67</f>
        <v>0</v>
      </c>
      <c r="X68" s="306">
        <f>=X66*X67</f>
        <v>0</v>
      </c>
      <c r="Y68" s="306">
        <f>=Y66*Y67</f>
        <v>0</v>
      </c>
      <c r="Z68" s="306">
        <f>=Z66*Z67</f>
        <v>0</v>
      </c>
    </row>
    <row r="69" spans="1:26" ht="12" customHeight="true">
      <c r="A69" s="314" t="s"/>
      <c r="B69" s="334" t="s">
        <v>1240</v>
      </c>
      <c r="C69" s="335" t="s"/>
      <c r="D69" s="310" t="s"/>
      <c r="E69" s="336">
        <f>=$C69</f>
        <v>0</v>
      </c>
      <c r="F69" s="336">
        <f>=$C69</f>
        <v>0</v>
      </c>
      <c r="G69" s="336">
        <f>=$C69</f>
        <v>0</v>
      </c>
      <c r="H69" s="336">
        <f>=$C69</f>
        <v>0</v>
      </c>
      <c r="I69" s="336">
        <f>=$C69</f>
        <v>0</v>
      </c>
      <c r="J69" s="336">
        <f>=$C69</f>
        <v>0</v>
      </c>
      <c r="K69" s="336">
        <f>=$C69</f>
        <v>0</v>
      </c>
      <c r="L69" s="336">
        <f>=$C69</f>
        <v>0</v>
      </c>
      <c r="M69" s="336">
        <f>=$C69</f>
        <v>0</v>
      </c>
      <c r="N69" s="336">
        <f>=$C69</f>
        <v>0</v>
      </c>
      <c r="O69" s="336">
        <f>=$C69</f>
        <v>0</v>
      </c>
      <c r="P69" s="336">
        <f>=$C69</f>
        <v>0</v>
      </c>
      <c r="Q69" s="336">
        <f>=$C69</f>
        <v>0</v>
      </c>
      <c r="R69" s="336">
        <f>=$C69</f>
        <v>0</v>
      </c>
      <c r="S69" s="336">
        <f>=$C69</f>
        <v>0</v>
      </c>
      <c r="T69" s="336">
        <f>=$C69</f>
        <v>0</v>
      </c>
      <c r="U69" s="336">
        <f>=$C69</f>
        <v>0</v>
      </c>
      <c r="V69" s="336">
        <f>=$C69</f>
        <v>0</v>
      </c>
      <c r="W69" s="336">
        <f>=$C69</f>
        <v>0</v>
      </c>
      <c r="X69" s="336">
        <f>=$C69</f>
        <v>0</v>
      </c>
      <c r="Y69" s="336">
        <f>=$C69</f>
        <v>0</v>
      </c>
      <c r="Z69" s="336">
        <f>=$C69</f>
        <v>0</v>
      </c>
    </row>
    <row r="70" spans="1:26" ht="12" customHeight="true">
      <c r="A70" s="314" t="s"/>
      <c r="B70" s="334" t="s">
        <v>1229</v>
      </c>
      <c r="C70" s="310" t="s"/>
      <c r="D70" s="306">
        <f>=SUM(E70:Z70)</f>
        <v>0</v>
      </c>
      <c r="E70" s="306">
        <f>=E68*(1+E69)</f>
        <v>0</v>
      </c>
      <c r="F70" s="306">
        <f>=F68*(1+F69)</f>
        <v>0</v>
      </c>
      <c r="G70" s="306">
        <f>=G68*(1+G69)</f>
        <v>0</v>
      </c>
      <c r="H70" s="306">
        <f>=H68*(1+H69)</f>
        <v>0</v>
      </c>
      <c r="I70" s="306">
        <f>=I68*(1+I69)</f>
        <v>0</v>
      </c>
      <c r="J70" s="306">
        <f>=J68*(1+J69)</f>
        <v>0</v>
      </c>
      <c r="K70" s="306">
        <f>=K68*(1+K69)</f>
        <v>0</v>
      </c>
      <c r="L70" s="306">
        <f>=L68*(1+L69)</f>
        <v>0</v>
      </c>
      <c r="M70" s="306">
        <f>=M68*(1+M69)</f>
        <v>0</v>
      </c>
      <c r="N70" s="306">
        <f>=N68*(1+N69)</f>
        <v>0</v>
      </c>
      <c r="O70" s="306">
        <f>=O68*(1+O69)</f>
        <v>0</v>
      </c>
      <c r="P70" s="306">
        <f>=P68*(1+P69)</f>
        <v>0</v>
      </c>
      <c r="Q70" s="306">
        <f>=Q68*(1+Q69)</f>
        <v>0</v>
      </c>
      <c r="R70" s="306">
        <f>=R68*(1+R69)</f>
        <v>0</v>
      </c>
      <c r="S70" s="306">
        <f>=S68*(1+S69)</f>
        <v>0</v>
      </c>
      <c r="T70" s="306">
        <f>=T68*(1+T69)</f>
        <v>0</v>
      </c>
      <c r="U70" s="306">
        <f>=U68*(1+U69)</f>
        <v>0</v>
      </c>
      <c r="V70" s="306">
        <f>=V68*(1+V69)</f>
        <v>0</v>
      </c>
      <c r="W70" s="306">
        <f>=W68*(1+W69)</f>
        <v>0</v>
      </c>
      <c r="X70" s="306">
        <f>=X68*(1+X69)</f>
        <v>0</v>
      </c>
      <c r="Y70" s="306">
        <f>=Y68*(1+Y69)</f>
        <v>0</v>
      </c>
      <c r="Z70" s="306">
        <f>=Z68*(1+Z69)</f>
        <v>0</v>
      </c>
    </row>
    <row r="71" spans="1:26" ht="12" customHeight="true">
      <c r="A71" s="314" t="s"/>
      <c r="B71" s="334" t="s">
        <v>682</v>
      </c>
      <c r="C71" s="335" t="s"/>
      <c r="D71" s="310" t="s"/>
      <c r="E71" s="336">
        <f>=$C71</f>
        <v>0</v>
      </c>
      <c r="F71" s="336">
        <f>=$C71</f>
        <v>0</v>
      </c>
      <c r="G71" s="336">
        <f>=$C71</f>
        <v>0</v>
      </c>
      <c r="H71" s="336">
        <f>=$C71</f>
        <v>0</v>
      </c>
      <c r="I71" s="336">
        <f>=$C71</f>
        <v>0</v>
      </c>
      <c r="J71" s="336">
        <f>=$C71</f>
        <v>0</v>
      </c>
      <c r="K71" s="336">
        <f>=$C71</f>
        <v>0</v>
      </c>
      <c r="L71" s="336">
        <f>=$C71</f>
        <v>0</v>
      </c>
      <c r="M71" s="336">
        <f>=$C71</f>
        <v>0</v>
      </c>
      <c r="N71" s="336">
        <f>=$C71</f>
        <v>0</v>
      </c>
      <c r="O71" s="336">
        <f>=$C71</f>
        <v>0</v>
      </c>
      <c r="P71" s="336">
        <f>=$C71</f>
        <v>0</v>
      </c>
      <c r="Q71" s="336">
        <f>=$C71</f>
        <v>0</v>
      </c>
      <c r="R71" s="336">
        <f>=$C71</f>
        <v>0</v>
      </c>
      <c r="S71" s="336">
        <f>=$C71</f>
        <v>0</v>
      </c>
      <c r="T71" s="336">
        <f>=$C71</f>
        <v>0</v>
      </c>
      <c r="U71" s="336">
        <f>=$C71</f>
        <v>0</v>
      </c>
      <c r="V71" s="336">
        <f>=$C71</f>
        <v>0</v>
      </c>
      <c r="W71" s="336">
        <f>=$C71</f>
        <v>0</v>
      </c>
      <c r="X71" s="336">
        <f>=$C71</f>
        <v>0</v>
      </c>
      <c r="Y71" s="336">
        <f>=$C71</f>
        <v>0</v>
      </c>
      <c r="Z71" s="336">
        <f>=$C71</f>
        <v>0</v>
      </c>
    </row>
    <row r="72" spans="1:26" ht="12" customHeight="true">
      <c r="A72" s="314" t="s"/>
      <c r="B72" s="334" t="s">
        <v>656</v>
      </c>
      <c r="C72" s="337" t="s"/>
      <c r="D72" s="306">
        <f>=SUM(E72:Z72)</f>
        <v>0</v>
      </c>
      <c r="E72" s="306">
        <f>=IF(E69=0,E70*E71/(1+E71),E70*E71)</f>
        <v>0</v>
      </c>
      <c r="F72" s="306">
        <f>=IF(F69=0,F70*F71/(1+F71),F70*F71)</f>
        <v>0</v>
      </c>
      <c r="G72" s="306">
        <f>=IF(G69=0,G70*G71/(1+G71),G70*G71)</f>
        <v>0</v>
      </c>
      <c r="H72" s="306">
        <f>=IF(H69=0,H70*H71/(1+H71),H70*H71)</f>
        <v>0</v>
      </c>
      <c r="I72" s="306">
        <f>=IF(I69=0,I70*I71/(1+I71),I70*I71)</f>
        <v>0</v>
      </c>
      <c r="J72" s="306">
        <f>=IF(J69=0,J70*J71/(1+J71),J70*J71)</f>
        <v>0</v>
      </c>
      <c r="K72" s="306">
        <f>=IF(K69=0,K70*K71/(1+K71),K70*K71)</f>
        <v>0</v>
      </c>
      <c r="L72" s="306">
        <f>=IF(L69=0,L70*L71/(1+L71),L70*L71)</f>
        <v>0</v>
      </c>
      <c r="M72" s="306">
        <f>=IF(M69=0,M70*M71/(1+M71),M70*M71)</f>
        <v>0</v>
      </c>
      <c r="N72" s="306">
        <f>=IF(N69=0,N70*N71/(1+N71),N70*N71)</f>
        <v>0</v>
      </c>
      <c r="O72" s="306">
        <f>=IF(O69=0,O70*O71/(1+O71),O70*O71)</f>
        <v>0</v>
      </c>
      <c r="P72" s="306">
        <f>=IF(P69=0,P70*P71/(1+P71),P70*P71)</f>
        <v>0</v>
      </c>
      <c r="Q72" s="306">
        <f>=IF(Q69=0,Q70*Q71/(1+Q71),Q70*Q71)</f>
        <v>0</v>
      </c>
      <c r="R72" s="306">
        <f>=IF(R69=0,R70*R71/(1+R71),R70*R71)</f>
        <v>0</v>
      </c>
      <c r="S72" s="306">
        <f>=IF(S69=0,S70*S71/(1+S71),S70*S71)</f>
        <v>0</v>
      </c>
      <c r="T72" s="306">
        <f>=IF(T69=0,T70*T71/(1+T71),T70*T71)</f>
        <v>0</v>
      </c>
      <c r="U72" s="306">
        <f>=IF(U69=0,U70*U71/(1+U71),U70*U71)</f>
        <v>0</v>
      </c>
      <c r="V72" s="306">
        <f>=IF(V69=0,V70*V71/(1+V71),V70*V71)</f>
        <v>0</v>
      </c>
      <c r="W72" s="306">
        <f>=IF(W69=0,W70*W71/(1+W71),W70*W71)</f>
        <v>0</v>
      </c>
      <c r="X72" s="306">
        <f>=IF(X69=0,X70*X71/(1+X71),X70*X71)</f>
        <v>0</v>
      </c>
      <c r="Y72" s="306">
        <f>=IF(Y69=0,Y70*Y71/(1+Y71),Y70*Y71)</f>
        <v>0</v>
      </c>
      <c r="Z72" s="306">
        <f>=IF(Z69=0,Z70*Z71/(1+Z71),Z70*Z71)</f>
        <v>0</v>
      </c>
    </row>
    <row r="73" spans="1:26" ht="12" customHeight="true">
      <c r="A73" s="314" t="s"/>
      <c r="B73" s="334" t="s">
        <v>1242</v>
      </c>
      <c r="C73" s="337" t="s"/>
      <c r="D73" s="306">
        <f>=SUM(E73:Z73)</f>
        <v>0</v>
      </c>
      <c r="E73" s="306">
        <f>=IF(E69=0,E68,E70+E72)</f>
        <v>0</v>
      </c>
      <c r="F73" s="306">
        <f>=IF(F69=0,F68,F70+F72)</f>
        <v>0</v>
      </c>
      <c r="G73" s="306">
        <f>=IF(G69=0,G68,G70+G72)</f>
        <v>0</v>
      </c>
      <c r="H73" s="306">
        <f>=IF(H69=0,H68,H70+H72)</f>
        <v>0</v>
      </c>
      <c r="I73" s="306">
        <f>=IF(I69=0,I68,I70+I72)</f>
        <v>0</v>
      </c>
      <c r="J73" s="306">
        <f>=IF(J69=0,J68,J70+J72)</f>
        <v>0</v>
      </c>
      <c r="K73" s="306">
        <f>=IF(K69=0,K68,K70+K72)</f>
        <v>0</v>
      </c>
      <c r="L73" s="306">
        <f>=IF(L69=0,L68,L70+L72)</f>
        <v>0</v>
      </c>
      <c r="M73" s="306">
        <f>=IF(M69=0,M68,M70+M72)</f>
        <v>0</v>
      </c>
      <c r="N73" s="306">
        <f>=IF(N69=0,N68,N70+N72)</f>
        <v>0</v>
      </c>
      <c r="O73" s="306">
        <f>=IF(O69=0,O68,O70+O72)</f>
        <v>0</v>
      </c>
      <c r="P73" s="306">
        <f>=IF(P69=0,P68,P70+P72)</f>
        <v>0</v>
      </c>
      <c r="Q73" s="306">
        <f>=IF(Q69=0,Q68,Q70+Q72)</f>
        <v>0</v>
      </c>
      <c r="R73" s="306">
        <f>=IF(R69=0,R68,R70+R72)</f>
        <v>0</v>
      </c>
      <c r="S73" s="306">
        <f>=IF(S69=0,S68,S70+S72)</f>
        <v>0</v>
      </c>
      <c r="T73" s="306">
        <f>=IF(T69=0,T68,T70+T72)</f>
        <v>0</v>
      </c>
      <c r="U73" s="306">
        <f>=IF(U69=0,U68,U70+U72)</f>
        <v>0</v>
      </c>
      <c r="V73" s="306">
        <f>=IF(V69=0,V68,V70+V72)</f>
        <v>0</v>
      </c>
      <c r="W73" s="306">
        <f>=IF(W69=0,W68,W70+W72)</f>
        <v>0</v>
      </c>
      <c r="X73" s="306">
        <f>=IF(X69=0,X68,X70+X72)</f>
        <v>0</v>
      </c>
      <c r="Y73" s="306">
        <f>=IF(Y69=0,Y68,Y70+Y72)</f>
        <v>0</v>
      </c>
      <c r="Z73" s="306">
        <f>=IF(Z69=0,Z68,Z70+Z72)</f>
        <v>0</v>
      </c>
    </row>
    <row r="74" spans="1:26" ht="12" customHeight="true">
      <c r="A74" s="314">
        <v>1.6</v>
      </c>
      <c r="B74" s="580" t="s"/>
      <c r="C74" s="580" t="s"/>
      <c r="D74" s="316" t="s">
        <v>672</v>
      </c>
      <c r="E74" s="316" t="s"/>
      <c r="F74" s="581" t="s"/>
      <c r="G74" s="581" t="s"/>
      <c r="H74" s="581" t="s"/>
      <c r="I74" s="581" t="s"/>
      <c r="J74" s="581" t="s"/>
      <c r="K74" s="581" t="s"/>
      <c r="L74" s="581" t="s"/>
      <c r="M74" s="581" t="s"/>
      <c r="N74" s="581" t="s"/>
      <c r="O74" s="581" t="s"/>
      <c r="P74" s="581" t="s"/>
      <c r="Q74" s="581" t="s"/>
      <c r="R74" s="581" t="s"/>
      <c r="S74" s="581" t="s"/>
      <c r="T74" s="581" t="s"/>
      <c r="U74" s="581" t="s"/>
      <c r="V74" s="581" t="s"/>
      <c r="W74" s="581" t="s"/>
      <c r="X74" s="581" t="s"/>
      <c r="Y74" s="581" t="s"/>
      <c r="Z74" s="581" t="s"/>
    </row>
    <row r="75" spans="1:26" ht="12" customHeight="true">
      <c r="A75" s="314" t="s"/>
      <c r="B75" s="318" t="s">
        <v>688</v>
      </c>
      <c r="C75" s="319" t="s"/>
      <c r="D75" s="320" t="s">
        <v>674</v>
      </c>
      <c r="E75" s="331" t="s"/>
      <c r="F75" s="331" t="s"/>
      <c r="G75" s="331" t="s"/>
      <c r="H75" s="331" t="s"/>
      <c r="I75" s="331" t="s"/>
      <c r="J75" s="331" t="s"/>
      <c r="K75" s="331" t="s"/>
      <c r="L75" s="331" t="s"/>
      <c r="M75" s="331" t="s"/>
      <c r="N75" s="331" t="s"/>
      <c r="O75" s="331" t="s"/>
      <c r="P75" s="331" t="s"/>
      <c r="Q75" s="331" t="s"/>
      <c r="R75" s="331" t="s"/>
      <c r="S75" s="331" t="s"/>
      <c r="T75" s="331" t="s"/>
      <c r="U75" s="331" t="s"/>
      <c r="V75" s="331" t="s"/>
      <c r="W75" s="331" t="s"/>
      <c r="X75" s="331" t="s"/>
      <c r="Y75" s="331" t="s"/>
      <c r="Z75" s="331" t="s"/>
    </row>
    <row r="76" spans="1:26" ht="12" customHeight="true">
      <c r="A76" s="314" t="s"/>
      <c r="B76" s="323" t="s">
        <v>534</v>
      </c>
      <c r="C76" s="324">
        <f>=IF($D75="美元",辅助表1评估项目基础数据表!$C$17,IF($D75="其他外币",辅助表1评估项目基础数据表!$C$18,1))</f>
        <v>1</v>
      </c>
      <c r="D76" s="300" t="s"/>
      <c r="E76" s="325">
        <f>=$C76</f>
        <v>1</v>
      </c>
      <c r="F76" s="325">
        <f>=$C76</f>
        <v>1</v>
      </c>
      <c r="G76" s="325">
        <f>=$C76</f>
        <v>1</v>
      </c>
      <c r="H76" s="325">
        <f>=$C76</f>
        <v>1</v>
      </c>
      <c r="I76" s="325">
        <f>=$C76</f>
        <v>1</v>
      </c>
      <c r="J76" s="325">
        <f>=$C76</f>
        <v>1</v>
      </c>
      <c r="K76" s="325">
        <f>=$C76</f>
        <v>1</v>
      </c>
      <c r="L76" s="325">
        <f>=$C76</f>
        <v>1</v>
      </c>
      <c r="M76" s="325">
        <f>=$C76</f>
        <v>1</v>
      </c>
      <c r="N76" s="325">
        <f>=$C76</f>
        <v>1</v>
      </c>
      <c r="O76" s="325">
        <f>=$C76</f>
        <v>1</v>
      </c>
      <c r="P76" s="325">
        <f>=$C76</f>
        <v>1</v>
      </c>
      <c r="Q76" s="325">
        <f>=$C76</f>
        <v>1</v>
      </c>
      <c r="R76" s="325">
        <f>=$C76</f>
        <v>1</v>
      </c>
      <c r="S76" s="325">
        <f>=$C76</f>
        <v>1</v>
      </c>
      <c r="T76" s="325">
        <f>=$C76</f>
        <v>1</v>
      </c>
      <c r="U76" s="325">
        <f>=$C76</f>
        <v>1</v>
      </c>
      <c r="V76" s="325">
        <f>=$C76</f>
        <v>1</v>
      </c>
      <c r="W76" s="325">
        <f>=$C76</f>
        <v>1</v>
      </c>
      <c r="X76" s="325">
        <f>=$C76</f>
        <v>1</v>
      </c>
      <c r="Y76" s="325">
        <f>=$C76</f>
        <v>1</v>
      </c>
      <c r="Z76" s="325">
        <f>=$C76</f>
        <v>1</v>
      </c>
    </row>
    <row r="77" spans="1:26" ht="12" customHeight="true">
      <c r="A77" s="314" t="s"/>
      <c r="B77" s="326" t="s">
        <v>676</v>
      </c>
      <c r="C77" s="327" t="s"/>
      <c r="D77" s="310" t="s"/>
      <c r="E77" s="328">
        <f>=E75*E76</f>
        <v>0</v>
      </c>
      <c r="F77" s="328">
        <f>=F75*F76</f>
        <v>0</v>
      </c>
      <c r="G77" s="328">
        <f>=G75*G76</f>
        <v>0</v>
      </c>
      <c r="H77" s="328">
        <f>=H75*H76</f>
        <v>0</v>
      </c>
      <c r="I77" s="328">
        <f>=I75*I76</f>
        <v>0</v>
      </c>
      <c r="J77" s="328">
        <f>=J75*J76</f>
        <v>0</v>
      </c>
      <c r="K77" s="328">
        <f>=K75*K76</f>
        <v>0</v>
      </c>
      <c r="L77" s="328">
        <f>=L75*L76</f>
        <v>0</v>
      </c>
      <c r="M77" s="328">
        <f>=M75*M76</f>
        <v>0</v>
      </c>
      <c r="N77" s="328">
        <f>=N75*N76</f>
        <v>0</v>
      </c>
      <c r="O77" s="328">
        <f>=O75*O76</f>
        <v>0</v>
      </c>
      <c r="P77" s="328">
        <f>=P75*P76</f>
        <v>0</v>
      </c>
      <c r="Q77" s="328">
        <f>=Q75*Q76</f>
        <v>0</v>
      </c>
      <c r="R77" s="328">
        <f>=R75*R76</f>
        <v>0</v>
      </c>
      <c r="S77" s="328">
        <f>=S75*S76</f>
        <v>0</v>
      </c>
      <c r="T77" s="328">
        <f>=T75*T76</f>
        <v>0</v>
      </c>
      <c r="U77" s="328">
        <f>=U75*U76</f>
        <v>0</v>
      </c>
      <c r="V77" s="328">
        <f>=V75*V76</f>
        <v>0</v>
      </c>
      <c r="W77" s="328">
        <f>=W75*W76</f>
        <v>0</v>
      </c>
      <c r="X77" s="328">
        <f>=X75*X76</f>
        <v>0</v>
      </c>
      <c r="Y77" s="328">
        <f>=Y75*Y76</f>
        <v>0</v>
      </c>
      <c r="Z77" s="328">
        <f>=Z75*Z76</f>
        <v>0</v>
      </c>
    </row>
    <row r="78" spans="1:26" ht="12" customHeight="true">
      <c r="A78" s="314" t="s"/>
      <c r="B78" s="333" t="s">
        <v>1236</v>
      </c>
      <c r="C78" s="330" t="s"/>
      <c r="D78" s="306">
        <f>=SUM(E78:Z78)</f>
        <v>0</v>
      </c>
      <c r="E78" s="331" t="s"/>
      <c r="F78" s="331" t="s"/>
      <c r="G78" s="331" t="s"/>
      <c r="H78" s="331" t="s"/>
      <c r="I78" s="331" t="s"/>
      <c r="J78" s="331" t="s"/>
      <c r="K78" s="331" t="s"/>
      <c r="L78" s="331" t="s"/>
      <c r="M78" s="331" t="s"/>
      <c r="N78" s="331" t="s"/>
      <c r="O78" s="331" t="s"/>
      <c r="P78" s="331" t="s"/>
      <c r="Q78" s="331" t="s"/>
      <c r="R78" s="331" t="s"/>
      <c r="S78" s="331" t="s"/>
      <c r="T78" s="331" t="s"/>
      <c r="U78" s="331" t="s"/>
      <c r="V78" s="331" t="s"/>
      <c r="W78" s="331" t="s"/>
      <c r="X78" s="331" t="s"/>
      <c r="Y78" s="331" t="s"/>
      <c r="Z78" s="331" t="s"/>
    </row>
    <row r="79" spans="1:26" ht="12" customHeight="true">
      <c r="A79" s="314" t="s"/>
      <c r="B79" s="333" t="s">
        <v>1238</v>
      </c>
      <c r="C79" s="333" t="s"/>
      <c r="D79" s="306">
        <f>=SUM(E79:Z79)</f>
        <v>0</v>
      </c>
      <c r="E79" s="306">
        <f>=E77*E78</f>
        <v>0</v>
      </c>
      <c r="F79" s="306">
        <f>=F77*F78</f>
        <v>0</v>
      </c>
      <c r="G79" s="306">
        <f>=G77*G78</f>
        <v>0</v>
      </c>
      <c r="H79" s="306">
        <f>=H77*H78</f>
        <v>0</v>
      </c>
      <c r="I79" s="306">
        <f>=I77*I78</f>
        <v>0</v>
      </c>
      <c r="J79" s="306">
        <f>=J77*J78</f>
        <v>0</v>
      </c>
      <c r="K79" s="306">
        <f>=K77*K78</f>
        <v>0</v>
      </c>
      <c r="L79" s="306">
        <f>=L77*L78</f>
        <v>0</v>
      </c>
      <c r="M79" s="306">
        <f>=M77*M78</f>
        <v>0</v>
      </c>
      <c r="N79" s="306">
        <f>=N77*N78</f>
        <v>0</v>
      </c>
      <c r="O79" s="306">
        <f>=O77*O78</f>
        <v>0</v>
      </c>
      <c r="P79" s="306">
        <f>=P77*P78</f>
        <v>0</v>
      </c>
      <c r="Q79" s="306">
        <f>=Q77*Q78</f>
        <v>0</v>
      </c>
      <c r="R79" s="306">
        <f>=R77*R78</f>
        <v>0</v>
      </c>
      <c r="S79" s="306">
        <f>=S77*S78</f>
        <v>0</v>
      </c>
      <c r="T79" s="306">
        <f>=T77*T78</f>
        <v>0</v>
      </c>
      <c r="U79" s="306">
        <f>=U77*U78</f>
        <v>0</v>
      </c>
      <c r="V79" s="306">
        <f>=V77*V78</f>
        <v>0</v>
      </c>
      <c r="W79" s="306">
        <f>=W77*W78</f>
        <v>0</v>
      </c>
      <c r="X79" s="306">
        <f>=X77*X78</f>
        <v>0</v>
      </c>
      <c r="Y79" s="306">
        <f>=Y77*Y78</f>
        <v>0</v>
      </c>
      <c r="Z79" s="306">
        <f>=Z77*Z78</f>
        <v>0</v>
      </c>
    </row>
    <row r="80" spans="1:26" ht="12" customHeight="true">
      <c r="A80" s="314" t="s"/>
      <c r="B80" s="334" t="s">
        <v>1240</v>
      </c>
      <c r="C80" s="335" t="s"/>
      <c r="D80" s="310" t="s"/>
      <c r="E80" s="336">
        <f>=$C80</f>
        <v>0</v>
      </c>
      <c r="F80" s="336">
        <f>=$C80</f>
        <v>0</v>
      </c>
      <c r="G80" s="336">
        <f>=$C80</f>
        <v>0</v>
      </c>
      <c r="H80" s="336">
        <f>=$C80</f>
        <v>0</v>
      </c>
      <c r="I80" s="336">
        <f>=$C80</f>
        <v>0</v>
      </c>
      <c r="J80" s="336">
        <f>=$C80</f>
        <v>0</v>
      </c>
      <c r="K80" s="336">
        <f>=$C80</f>
        <v>0</v>
      </c>
      <c r="L80" s="336">
        <f>=$C80</f>
        <v>0</v>
      </c>
      <c r="M80" s="336">
        <f>=$C80</f>
        <v>0</v>
      </c>
      <c r="N80" s="336">
        <f>=$C80</f>
        <v>0</v>
      </c>
      <c r="O80" s="336">
        <f>=$C80</f>
        <v>0</v>
      </c>
      <c r="P80" s="336">
        <f>=$C80</f>
        <v>0</v>
      </c>
      <c r="Q80" s="336">
        <f>=$C80</f>
        <v>0</v>
      </c>
      <c r="R80" s="336">
        <f>=$C80</f>
        <v>0</v>
      </c>
      <c r="S80" s="336">
        <f>=$C80</f>
        <v>0</v>
      </c>
      <c r="T80" s="336">
        <f>=$C80</f>
        <v>0</v>
      </c>
      <c r="U80" s="336">
        <f>=$C80</f>
        <v>0</v>
      </c>
      <c r="V80" s="336">
        <f>=$C80</f>
        <v>0</v>
      </c>
      <c r="W80" s="336">
        <f>=$C80</f>
        <v>0</v>
      </c>
      <c r="X80" s="336">
        <f>=$C80</f>
        <v>0</v>
      </c>
      <c r="Y80" s="336">
        <f>=$C80</f>
        <v>0</v>
      </c>
      <c r="Z80" s="336">
        <f>=$C80</f>
        <v>0</v>
      </c>
    </row>
    <row r="81" spans="1:26" ht="12" customHeight="true">
      <c r="A81" s="314" t="s"/>
      <c r="B81" s="334" t="s">
        <v>1229</v>
      </c>
      <c r="C81" s="310" t="s"/>
      <c r="D81" s="306">
        <f>=SUM(E81:Z81)</f>
        <v>0</v>
      </c>
      <c r="E81" s="306">
        <f>=E79*(1+E80)</f>
        <v>0</v>
      </c>
      <c r="F81" s="306">
        <f>=F79*(1+F80)</f>
        <v>0</v>
      </c>
      <c r="G81" s="306">
        <f>=G79*(1+G80)</f>
        <v>0</v>
      </c>
      <c r="H81" s="306">
        <f>=H79*(1+H80)</f>
        <v>0</v>
      </c>
      <c r="I81" s="306">
        <f>=I79*(1+I80)</f>
        <v>0</v>
      </c>
      <c r="J81" s="306">
        <f>=J79*(1+J80)</f>
        <v>0</v>
      </c>
      <c r="K81" s="306">
        <f>=K79*(1+K80)</f>
        <v>0</v>
      </c>
      <c r="L81" s="306">
        <f>=L79*(1+L80)</f>
        <v>0</v>
      </c>
      <c r="M81" s="306">
        <f>=M79*(1+M80)</f>
        <v>0</v>
      </c>
      <c r="N81" s="306">
        <f>=N79*(1+N80)</f>
        <v>0</v>
      </c>
      <c r="O81" s="306">
        <f>=O79*(1+O80)</f>
        <v>0</v>
      </c>
      <c r="P81" s="306">
        <f>=P79*(1+P80)</f>
        <v>0</v>
      </c>
      <c r="Q81" s="306">
        <f>=Q79*(1+Q80)</f>
        <v>0</v>
      </c>
      <c r="R81" s="306">
        <f>=R79*(1+R80)</f>
        <v>0</v>
      </c>
      <c r="S81" s="306">
        <f>=S79*(1+S80)</f>
        <v>0</v>
      </c>
      <c r="T81" s="306">
        <f>=T79*(1+T80)</f>
        <v>0</v>
      </c>
      <c r="U81" s="306">
        <f>=U79*(1+U80)</f>
        <v>0</v>
      </c>
      <c r="V81" s="306">
        <f>=V79*(1+V80)</f>
        <v>0</v>
      </c>
      <c r="W81" s="306">
        <f>=W79*(1+W80)</f>
        <v>0</v>
      </c>
      <c r="X81" s="306">
        <f>=X79*(1+X80)</f>
        <v>0</v>
      </c>
      <c r="Y81" s="306">
        <f>=Y79*(1+Y80)</f>
        <v>0</v>
      </c>
      <c r="Z81" s="306">
        <f>=Z79*(1+Z80)</f>
        <v>0</v>
      </c>
    </row>
    <row r="82" spans="1:26" ht="12" customHeight="true">
      <c r="A82" s="314" t="s"/>
      <c r="B82" s="334" t="s">
        <v>682</v>
      </c>
      <c r="C82" s="335" t="s"/>
      <c r="D82" s="310" t="s"/>
      <c r="E82" s="336">
        <f>=$C82</f>
        <v>0</v>
      </c>
      <c r="F82" s="336">
        <f>=$C82</f>
        <v>0</v>
      </c>
      <c r="G82" s="336">
        <f>=$C82</f>
        <v>0</v>
      </c>
      <c r="H82" s="336">
        <f>=$C82</f>
        <v>0</v>
      </c>
      <c r="I82" s="336">
        <f>=$C82</f>
        <v>0</v>
      </c>
      <c r="J82" s="336">
        <f>=$C82</f>
        <v>0</v>
      </c>
      <c r="K82" s="336">
        <f>=$C82</f>
        <v>0</v>
      </c>
      <c r="L82" s="336">
        <f>=$C82</f>
        <v>0</v>
      </c>
      <c r="M82" s="336">
        <f>=$C82</f>
        <v>0</v>
      </c>
      <c r="N82" s="336">
        <f>=$C82</f>
        <v>0</v>
      </c>
      <c r="O82" s="336">
        <f>=$C82</f>
        <v>0</v>
      </c>
      <c r="P82" s="336">
        <f>=$C82</f>
        <v>0</v>
      </c>
      <c r="Q82" s="336">
        <f>=$C82</f>
        <v>0</v>
      </c>
      <c r="R82" s="336">
        <f>=$C82</f>
        <v>0</v>
      </c>
      <c r="S82" s="336">
        <f>=$C82</f>
        <v>0</v>
      </c>
      <c r="T82" s="336">
        <f>=$C82</f>
        <v>0</v>
      </c>
      <c r="U82" s="336">
        <f>=$C82</f>
        <v>0</v>
      </c>
      <c r="V82" s="336">
        <f>=$C82</f>
        <v>0</v>
      </c>
      <c r="W82" s="336">
        <f>=$C82</f>
        <v>0</v>
      </c>
      <c r="X82" s="336">
        <f>=$C82</f>
        <v>0</v>
      </c>
      <c r="Y82" s="336">
        <f>=$C82</f>
        <v>0</v>
      </c>
      <c r="Z82" s="336">
        <f>=$C82</f>
        <v>0</v>
      </c>
    </row>
    <row r="83" spans="1:26" ht="12" customHeight="true">
      <c r="A83" s="314" t="s"/>
      <c r="B83" s="334" t="s">
        <v>656</v>
      </c>
      <c r="C83" s="337" t="s"/>
      <c r="D83" s="306">
        <f>=SUM(E83:Z83)</f>
        <v>0</v>
      </c>
      <c r="E83" s="306">
        <f>=IF(E80=0,E81*E82/(1+E82),E81*E82)</f>
        <v>0</v>
      </c>
      <c r="F83" s="306">
        <f>=IF(F80=0,F81*F82/(1+F82),F81*F82)</f>
        <v>0</v>
      </c>
      <c r="G83" s="306">
        <f>=IF(G80=0,G81*G82/(1+G82),G81*G82)</f>
        <v>0</v>
      </c>
      <c r="H83" s="306">
        <f>=IF(H80=0,H81*H82/(1+H82),H81*H82)</f>
        <v>0</v>
      </c>
      <c r="I83" s="306">
        <f>=IF(I80=0,I81*I82/(1+I82),I81*I82)</f>
        <v>0</v>
      </c>
      <c r="J83" s="306">
        <f>=IF(J80=0,J81*J82/(1+J82),J81*J82)</f>
        <v>0</v>
      </c>
      <c r="K83" s="306">
        <f>=IF(K80=0,K81*K82/(1+K82),K81*K82)</f>
        <v>0</v>
      </c>
      <c r="L83" s="306">
        <f>=IF(L80=0,L81*L82/(1+L82),L81*L82)</f>
        <v>0</v>
      </c>
      <c r="M83" s="306">
        <f>=IF(M80=0,M81*M82/(1+M82),M81*M82)</f>
        <v>0</v>
      </c>
      <c r="N83" s="306">
        <f>=IF(N80=0,N81*N82/(1+N82),N81*N82)</f>
        <v>0</v>
      </c>
      <c r="O83" s="306">
        <f>=IF(O80=0,O81*O82/(1+O82),O81*O82)</f>
        <v>0</v>
      </c>
      <c r="P83" s="306">
        <f>=IF(P80=0,P81*P82/(1+P82),P81*P82)</f>
        <v>0</v>
      </c>
      <c r="Q83" s="306">
        <f>=IF(Q80=0,Q81*Q82/(1+Q82),Q81*Q82)</f>
        <v>0</v>
      </c>
      <c r="R83" s="306">
        <f>=IF(R80=0,R81*R82/(1+R82),R81*R82)</f>
        <v>0</v>
      </c>
      <c r="S83" s="306">
        <f>=IF(S80=0,S81*S82/(1+S82),S81*S82)</f>
        <v>0</v>
      </c>
      <c r="T83" s="306">
        <f>=IF(T80=0,T81*T82/(1+T82),T81*T82)</f>
        <v>0</v>
      </c>
      <c r="U83" s="306">
        <f>=IF(U80=0,U81*U82/(1+U82),U81*U82)</f>
        <v>0</v>
      </c>
      <c r="V83" s="306">
        <f>=IF(V80=0,V81*V82/(1+V82),V81*V82)</f>
        <v>0</v>
      </c>
      <c r="W83" s="306">
        <f>=IF(W80=0,W81*W82/(1+W82),W81*W82)</f>
        <v>0</v>
      </c>
      <c r="X83" s="306">
        <f>=IF(X80=0,X81*X82/(1+X82),X81*X82)</f>
        <v>0</v>
      </c>
      <c r="Y83" s="306">
        <f>=IF(Y80=0,Y81*Y82/(1+Y82),Y81*Y82)</f>
        <v>0</v>
      </c>
      <c r="Z83" s="306">
        <f>=IF(Z80=0,Z81*Z82/(1+Z82),Z81*Z82)</f>
        <v>0</v>
      </c>
    </row>
    <row r="84" spans="1:26" ht="12" customHeight="true">
      <c r="A84" s="314" t="s"/>
      <c r="B84" s="334" t="s">
        <v>1242</v>
      </c>
      <c r="C84" s="337" t="s"/>
      <c r="D84" s="306">
        <f>=SUM(E84:Z84)</f>
        <v>0</v>
      </c>
      <c r="E84" s="306">
        <f>=IF(E80=0,E79,E81+E83)</f>
        <v>0</v>
      </c>
      <c r="F84" s="306">
        <f>=IF(F80=0,F79,F81+F83)</f>
        <v>0</v>
      </c>
      <c r="G84" s="306">
        <f>=IF(G80=0,G79,G81+G83)</f>
        <v>0</v>
      </c>
      <c r="H84" s="306">
        <f>=IF(H80=0,H79,H81+H83)</f>
        <v>0</v>
      </c>
      <c r="I84" s="306">
        <f>=IF(I80=0,I79,I81+I83)</f>
        <v>0</v>
      </c>
      <c r="J84" s="306">
        <f>=IF(J80=0,J79,J81+J83)</f>
        <v>0</v>
      </c>
      <c r="K84" s="306">
        <f>=IF(K80=0,K79,K81+K83)</f>
        <v>0</v>
      </c>
      <c r="L84" s="306">
        <f>=IF(L80=0,L79,L81+L83)</f>
        <v>0</v>
      </c>
      <c r="M84" s="306">
        <f>=IF(M80=0,M79,M81+M83)</f>
        <v>0</v>
      </c>
      <c r="N84" s="306">
        <f>=IF(N80=0,N79,N81+N83)</f>
        <v>0</v>
      </c>
      <c r="O84" s="306">
        <f>=IF(O80=0,O79,O81+O83)</f>
        <v>0</v>
      </c>
      <c r="P84" s="306">
        <f>=IF(P80=0,P79,P81+P83)</f>
        <v>0</v>
      </c>
      <c r="Q84" s="306">
        <f>=IF(Q80=0,Q79,Q81+Q83)</f>
        <v>0</v>
      </c>
      <c r="R84" s="306">
        <f>=IF(R80=0,R79,R81+R83)</f>
        <v>0</v>
      </c>
      <c r="S84" s="306">
        <f>=IF(S80=0,S79,S81+S83)</f>
        <v>0</v>
      </c>
      <c r="T84" s="306">
        <f>=IF(T80=0,T79,T81+T83)</f>
        <v>0</v>
      </c>
      <c r="U84" s="306">
        <f>=IF(U80=0,U79,U81+U83)</f>
        <v>0</v>
      </c>
      <c r="V84" s="306">
        <f>=IF(V80=0,V79,V81+V83)</f>
        <v>0</v>
      </c>
      <c r="W84" s="306">
        <f>=IF(W80=0,W79,W81+W83)</f>
        <v>0</v>
      </c>
      <c r="X84" s="306">
        <f>=IF(X80=0,X79,X81+X83)</f>
        <v>0</v>
      </c>
      <c r="Y84" s="306">
        <f>=IF(Y80=0,Y79,Y81+Y83)</f>
        <v>0</v>
      </c>
      <c r="Z84" s="306">
        <f>=IF(Z80=0,Z79,Z81+Z83)</f>
        <v>0</v>
      </c>
    </row>
    <row r="85" spans="1:26" ht="12" customHeight="true">
      <c r="A85" s="314">
        <v>1.7</v>
      </c>
      <c r="B85" s="580" t="s"/>
      <c r="C85" s="580" t="s"/>
      <c r="D85" s="316" t="s">
        <v>672</v>
      </c>
      <c r="E85" s="316" t="s"/>
      <c r="F85" s="581" t="s"/>
      <c r="G85" s="581" t="s"/>
      <c r="H85" s="581" t="s"/>
      <c r="I85" s="581" t="s"/>
      <c r="J85" s="581" t="s"/>
      <c r="K85" s="581" t="s"/>
      <c r="L85" s="581" t="s"/>
      <c r="M85" s="581" t="s"/>
      <c r="N85" s="581" t="s"/>
      <c r="O85" s="581" t="s"/>
      <c r="P85" s="581" t="s"/>
      <c r="Q85" s="581" t="s"/>
      <c r="R85" s="581" t="s"/>
      <c r="S85" s="581" t="s"/>
      <c r="T85" s="581" t="s"/>
      <c r="U85" s="581" t="s"/>
      <c r="V85" s="581" t="s"/>
      <c r="W85" s="581" t="s"/>
      <c r="X85" s="581" t="s"/>
      <c r="Y85" s="581" t="s"/>
      <c r="Z85" s="581" t="s"/>
    </row>
    <row r="86" spans="1:26" ht="12" customHeight="true">
      <c r="A86" s="314" t="s"/>
      <c r="B86" s="318" t="s">
        <v>688</v>
      </c>
      <c r="C86" s="319" t="s"/>
      <c r="D86" s="320" t="s">
        <v>674</v>
      </c>
      <c r="E86" s="331" t="s"/>
      <c r="F86" s="331" t="s"/>
      <c r="G86" s="331" t="s"/>
      <c r="H86" s="331" t="s"/>
      <c r="I86" s="331" t="s"/>
      <c r="J86" s="331" t="s"/>
      <c r="K86" s="331" t="s"/>
      <c r="L86" s="331" t="s"/>
      <c r="M86" s="331" t="s"/>
      <c r="N86" s="331" t="s"/>
      <c r="O86" s="331" t="s"/>
      <c r="P86" s="331" t="s"/>
      <c r="Q86" s="331" t="s"/>
      <c r="R86" s="331" t="s"/>
      <c r="S86" s="331" t="s"/>
      <c r="T86" s="331" t="s"/>
      <c r="U86" s="331" t="s"/>
      <c r="V86" s="331" t="s"/>
      <c r="W86" s="331" t="s"/>
      <c r="X86" s="331" t="s"/>
      <c r="Y86" s="331" t="s"/>
      <c r="Z86" s="331" t="s"/>
    </row>
    <row r="87" spans="1:26" ht="12" customHeight="true">
      <c r="A87" s="314" t="s"/>
      <c r="B87" s="323" t="s">
        <v>534</v>
      </c>
      <c r="C87" s="324">
        <f>=IF($D86="美元",辅助表1评估项目基础数据表!$C$17,IF($D86="其他外币",辅助表1评估项目基础数据表!$C$18,1))</f>
        <v>1</v>
      </c>
      <c r="D87" s="300" t="s"/>
      <c r="E87" s="325">
        <f>=$C87</f>
        <v>1</v>
      </c>
      <c r="F87" s="325">
        <f>=$C87</f>
        <v>1</v>
      </c>
      <c r="G87" s="325">
        <f>=$C87</f>
        <v>1</v>
      </c>
      <c r="H87" s="325">
        <f>=$C87</f>
        <v>1</v>
      </c>
      <c r="I87" s="325">
        <f>=$C87</f>
        <v>1</v>
      </c>
      <c r="J87" s="325">
        <f>=$C87</f>
        <v>1</v>
      </c>
      <c r="K87" s="325">
        <f>=$C87</f>
        <v>1</v>
      </c>
      <c r="L87" s="325">
        <f>=$C87</f>
        <v>1</v>
      </c>
      <c r="M87" s="325">
        <f>=$C87</f>
        <v>1</v>
      </c>
      <c r="N87" s="325">
        <f>=$C87</f>
        <v>1</v>
      </c>
      <c r="O87" s="325">
        <f>=$C87</f>
        <v>1</v>
      </c>
      <c r="P87" s="325">
        <f>=$C87</f>
        <v>1</v>
      </c>
      <c r="Q87" s="325">
        <f>=$C87</f>
        <v>1</v>
      </c>
      <c r="R87" s="325">
        <f>=$C87</f>
        <v>1</v>
      </c>
      <c r="S87" s="325">
        <f>=$C87</f>
        <v>1</v>
      </c>
      <c r="T87" s="325">
        <f>=$C87</f>
        <v>1</v>
      </c>
      <c r="U87" s="325">
        <f>=$C87</f>
        <v>1</v>
      </c>
      <c r="V87" s="325">
        <f>=$C87</f>
        <v>1</v>
      </c>
      <c r="W87" s="325">
        <f>=$C87</f>
        <v>1</v>
      </c>
      <c r="X87" s="325">
        <f>=$C87</f>
        <v>1</v>
      </c>
      <c r="Y87" s="325">
        <f>=$C87</f>
        <v>1</v>
      </c>
      <c r="Z87" s="325">
        <f>=$C87</f>
        <v>1</v>
      </c>
    </row>
    <row r="88" spans="1:26" ht="12" customHeight="true">
      <c r="A88" s="314" t="s"/>
      <c r="B88" s="326" t="s">
        <v>676</v>
      </c>
      <c r="C88" s="327" t="s"/>
      <c r="D88" s="310" t="s"/>
      <c r="E88" s="328">
        <f>=E86*E87</f>
        <v>0</v>
      </c>
      <c r="F88" s="328">
        <f>=F86*F87</f>
        <v>0</v>
      </c>
      <c r="G88" s="328">
        <f>=G86*G87</f>
        <v>0</v>
      </c>
      <c r="H88" s="328">
        <f>=H86*H87</f>
        <v>0</v>
      </c>
      <c r="I88" s="328">
        <f>=I86*I87</f>
        <v>0</v>
      </c>
      <c r="J88" s="328">
        <f>=J86*J87</f>
        <v>0</v>
      </c>
      <c r="K88" s="328">
        <f>=K86*K87</f>
        <v>0</v>
      </c>
      <c r="L88" s="328">
        <f>=L86*L87</f>
        <v>0</v>
      </c>
      <c r="M88" s="328">
        <f>=M86*M87</f>
        <v>0</v>
      </c>
      <c r="N88" s="328">
        <f>=N86*N87</f>
        <v>0</v>
      </c>
      <c r="O88" s="328">
        <f>=O86*O87</f>
        <v>0</v>
      </c>
      <c r="P88" s="328">
        <f>=P86*P87</f>
        <v>0</v>
      </c>
      <c r="Q88" s="328">
        <f>=Q86*Q87</f>
        <v>0</v>
      </c>
      <c r="R88" s="328">
        <f>=R86*R87</f>
        <v>0</v>
      </c>
      <c r="S88" s="328">
        <f>=S86*S87</f>
        <v>0</v>
      </c>
      <c r="T88" s="328">
        <f>=T86*T87</f>
        <v>0</v>
      </c>
      <c r="U88" s="328">
        <f>=U86*U87</f>
        <v>0</v>
      </c>
      <c r="V88" s="328">
        <f>=V86*V87</f>
        <v>0</v>
      </c>
      <c r="W88" s="328">
        <f>=W86*W87</f>
        <v>0</v>
      </c>
      <c r="X88" s="328">
        <f>=X86*X87</f>
        <v>0</v>
      </c>
      <c r="Y88" s="328">
        <f>=Y86*Y87</f>
        <v>0</v>
      </c>
      <c r="Z88" s="328">
        <f>=Z86*Z87</f>
        <v>0</v>
      </c>
    </row>
    <row r="89" spans="1:26" ht="12" customHeight="true">
      <c r="A89" s="314" t="s"/>
      <c r="B89" s="333" t="s">
        <v>1236</v>
      </c>
      <c r="C89" s="330" t="s"/>
      <c r="D89" s="306">
        <f>=SUM(E89:Z89)</f>
        <v>0</v>
      </c>
      <c r="E89" s="331" t="s"/>
      <c r="F89" s="331" t="s"/>
      <c r="G89" s="331" t="s"/>
      <c r="H89" s="331" t="s"/>
      <c r="I89" s="331" t="s"/>
      <c r="J89" s="331" t="s"/>
      <c r="K89" s="331" t="s"/>
      <c r="L89" s="331" t="s"/>
      <c r="M89" s="331" t="s"/>
      <c r="N89" s="331" t="s"/>
      <c r="O89" s="331" t="s"/>
      <c r="P89" s="331" t="s"/>
      <c r="Q89" s="331" t="s"/>
      <c r="R89" s="331" t="s"/>
      <c r="S89" s="331" t="s"/>
      <c r="T89" s="331" t="s"/>
      <c r="U89" s="331" t="s"/>
      <c r="V89" s="331" t="s"/>
      <c r="W89" s="331" t="s"/>
      <c r="X89" s="331" t="s"/>
      <c r="Y89" s="331" t="s"/>
      <c r="Z89" s="331" t="s"/>
    </row>
    <row r="90" spans="1:26" ht="12" customHeight="true">
      <c r="A90" s="314" t="s"/>
      <c r="B90" s="333" t="s">
        <v>1238</v>
      </c>
      <c r="C90" s="333" t="s"/>
      <c r="D90" s="306">
        <f>=SUM(E90:Z90)</f>
        <v>0</v>
      </c>
      <c r="E90" s="306">
        <f>=E88*E89</f>
        <v>0</v>
      </c>
      <c r="F90" s="306">
        <f>=F88*F89</f>
        <v>0</v>
      </c>
      <c r="G90" s="306">
        <f>=G88*G89</f>
        <v>0</v>
      </c>
      <c r="H90" s="306">
        <f>=H88*H89</f>
        <v>0</v>
      </c>
      <c r="I90" s="306">
        <f>=I88*I89</f>
        <v>0</v>
      </c>
      <c r="J90" s="306">
        <f>=J88*J89</f>
        <v>0</v>
      </c>
      <c r="K90" s="306">
        <f>=K88*K89</f>
        <v>0</v>
      </c>
      <c r="L90" s="306">
        <f>=L88*L89</f>
        <v>0</v>
      </c>
      <c r="M90" s="306">
        <f>=M88*M89</f>
        <v>0</v>
      </c>
      <c r="N90" s="306">
        <f>=N88*N89</f>
        <v>0</v>
      </c>
      <c r="O90" s="306">
        <f>=O88*O89</f>
        <v>0</v>
      </c>
      <c r="P90" s="306">
        <f>=P88*P89</f>
        <v>0</v>
      </c>
      <c r="Q90" s="306">
        <f>=Q88*Q89</f>
        <v>0</v>
      </c>
      <c r="R90" s="306">
        <f>=R88*R89</f>
        <v>0</v>
      </c>
      <c r="S90" s="306">
        <f>=S88*S89</f>
        <v>0</v>
      </c>
      <c r="T90" s="306">
        <f>=T88*T89</f>
        <v>0</v>
      </c>
      <c r="U90" s="306">
        <f>=U88*U89</f>
        <v>0</v>
      </c>
      <c r="V90" s="306">
        <f>=V88*V89</f>
        <v>0</v>
      </c>
      <c r="W90" s="306">
        <f>=W88*W89</f>
        <v>0</v>
      </c>
      <c r="X90" s="306">
        <f>=X88*X89</f>
        <v>0</v>
      </c>
      <c r="Y90" s="306">
        <f>=Y88*Y89</f>
        <v>0</v>
      </c>
      <c r="Z90" s="306">
        <f>=Z88*Z89</f>
        <v>0</v>
      </c>
    </row>
    <row r="91" spans="1:26" ht="12" customHeight="true">
      <c r="A91" s="314" t="s"/>
      <c r="B91" s="334" t="s">
        <v>1240</v>
      </c>
      <c r="C91" s="335" t="s"/>
      <c r="D91" s="310" t="s"/>
      <c r="E91" s="336">
        <f>=$C91</f>
        <v>0</v>
      </c>
      <c r="F91" s="336">
        <f>=$C91</f>
        <v>0</v>
      </c>
      <c r="G91" s="336">
        <f>=$C91</f>
        <v>0</v>
      </c>
      <c r="H91" s="336">
        <f>=$C91</f>
        <v>0</v>
      </c>
      <c r="I91" s="336">
        <f>=$C91</f>
        <v>0</v>
      </c>
      <c r="J91" s="336">
        <f>=$C91</f>
        <v>0</v>
      </c>
      <c r="K91" s="336">
        <f>=$C91</f>
        <v>0</v>
      </c>
      <c r="L91" s="336">
        <f>=$C91</f>
        <v>0</v>
      </c>
      <c r="M91" s="336">
        <f>=$C91</f>
        <v>0</v>
      </c>
      <c r="N91" s="336">
        <f>=$C91</f>
        <v>0</v>
      </c>
      <c r="O91" s="336">
        <f>=$C91</f>
        <v>0</v>
      </c>
      <c r="P91" s="336">
        <f>=$C91</f>
        <v>0</v>
      </c>
      <c r="Q91" s="336">
        <f>=$C91</f>
        <v>0</v>
      </c>
      <c r="R91" s="336">
        <f>=$C91</f>
        <v>0</v>
      </c>
      <c r="S91" s="336">
        <f>=$C91</f>
        <v>0</v>
      </c>
      <c r="T91" s="336">
        <f>=$C91</f>
        <v>0</v>
      </c>
      <c r="U91" s="336">
        <f>=$C91</f>
        <v>0</v>
      </c>
      <c r="V91" s="336">
        <f>=$C91</f>
        <v>0</v>
      </c>
      <c r="W91" s="336">
        <f>=$C91</f>
        <v>0</v>
      </c>
      <c r="X91" s="336">
        <f>=$C91</f>
        <v>0</v>
      </c>
      <c r="Y91" s="336">
        <f>=$C91</f>
        <v>0</v>
      </c>
      <c r="Z91" s="336">
        <f>=$C91</f>
        <v>0</v>
      </c>
    </row>
    <row r="92" spans="1:26" ht="12" customHeight="true">
      <c r="A92" s="314" t="s"/>
      <c r="B92" s="334" t="s">
        <v>1229</v>
      </c>
      <c r="C92" s="310" t="s"/>
      <c r="D92" s="306">
        <f>=SUM(E92:Z92)</f>
        <v>0</v>
      </c>
      <c r="E92" s="306">
        <f>=E90*(1+E91)</f>
        <v>0</v>
      </c>
      <c r="F92" s="306">
        <f>=F90*(1+F91)</f>
        <v>0</v>
      </c>
      <c r="G92" s="306">
        <f>=G90*(1+G91)</f>
        <v>0</v>
      </c>
      <c r="H92" s="306">
        <f>=H90*(1+H91)</f>
        <v>0</v>
      </c>
      <c r="I92" s="306">
        <f>=I90*(1+I91)</f>
        <v>0</v>
      </c>
      <c r="J92" s="306">
        <f>=J90*(1+J91)</f>
        <v>0</v>
      </c>
      <c r="K92" s="306">
        <f>=K90*(1+K91)</f>
        <v>0</v>
      </c>
      <c r="L92" s="306">
        <f>=L90*(1+L91)</f>
        <v>0</v>
      </c>
      <c r="M92" s="306">
        <f>=M90*(1+M91)</f>
        <v>0</v>
      </c>
      <c r="N92" s="306">
        <f>=N90*(1+N91)</f>
        <v>0</v>
      </c>
      <c r="O92" s="306">
        <f>=O90*(1+O91)</f>
        <v>0</v>
      </c>
      <c r="P92" s="306">
        <f>=P90*(1+P91)</f>
        <v>0</v>
      </c>
      <c r="Q92" s="306">
        <f>=Q90*(1+Q91)</f>
        <v>0</v>
      </c>
      <c r="R92" s="306">
        <f>=R90*(1+R91)</f>
        <v>0</v>
      </c>
      <c r="S92" s="306">
        <f>=S90*(1+S91)</f>
        <v>0</v>
      </c>
      <c r="T92" s="306">
        <f>=T90*(1+T91)</f>
        <v>0</v>
      </c>
      <c r="U92" s="306">
        <f>=U90*(1+U91)</f>
        <v>0</v>
      </c>
      <c r="V92" s="306">
        <f>=V90*(1+V91)</f>
        <v>0</v>
      </c>
      <c r="W92" s="306">
        <f>=W90*(1+W91)</f>
        <v>0</v>
      </c>
      <c r="X92" s="306">
        <f>=X90*(1+X91)</f>
        <v>0</v>
      </c>
      <c r="Y92" s="306">
        <f>=Y90*(1+Y91)</f>
        <v>0</v>
      </c>
      <c r="Z92" s="306">
        <f>=Z90*(1+Z91)</f>
        <v>0</v>
      </c>
    </row>
    <row r="93" spans="1:26" ht="12" customHeight="true">
      <c r="A93" s="314" t="s"/>
      <c r="B93" s="334" t="s">
        <v>682</v>
      </c>
      <c r="C93" s="335" t="s"/>
      <c r="D93" s="310" t="s"/>
      <c r="E93" s="336">
        <f>=$C93</f>
        <v>0</v>
      </c>
      <c r="F93" s="336">
        <f>=$C93</f>
        <v>0</v>
      </c>
      <c r="G93" s="336">
        <f>=$C93</f>
        <v>0</v>
      </c>
      <c r="H93" s="336">
        <f>=$C93</f>
        <v>0</v>
      </c>
      <c r="I93" s="336">
        <f>=$C93</f>
        <v>0</v>
      </c>
      <c r="J93" s="336">
        <f>=$C93</f>
        <v>0</v>
      </c>
      <c r="K93" s="336">
        <f>=$C93</f>
        <v>0</v>
      </c>
      <c r="L93" s="336">
        <f>=$C93</f>
        <v>0</v>
      </c>
      <c r="M93" s="336">
        <f>=$C93</f>
        <v>0</v>
      </c>
      <c r="N93" s="336">
        <f>=$C93</f>
        <v>0</v>
      </c>
      <c r="O93" s="336">
        <f>=$C93</f>
        <v>0</v>
      </c>
      <c r="P93" s="336">
        <f>=$C93</f>
        <v>0</v>
      </c>
      <c r="Q93" s="336">
        <f>=$C93</f>
        <v>0</v>
      </c>
      <c r="R93" s="336">
        <f>=$C93</f>
        <v>0</v>
      </c>
      <c r="S93" s="336">
        <f>=$C93</f>
        <v>0</v>
      </c>
      <c r="T93" s="336">
        <f>=$C93</f>
        <v>0</v>
      </c>
      <c r="U93" s="336">
        <f>=$C93</f>
        <v>0</v>
      </c>
      <c r="V93" s="336">
        <f>=$C93</f>
        <v>0</v>
      </c>
      <c r="W93" s="336">
        <f>=$C93</f>
        <v>0</v>
      </c>
      <c r="X93" s="336">
        <f>=$C93</f>
        <v>0</v>
      </c>
      <c r="Y93" s="336">
        <f>=$C93</f>
        <v>0</v>
      </c>
      <c r="Z93" s="336">
        <f>=$C93</f>
        <v>0</v>
      </c>
    </row>
    <row r="94" spans="1:26" ht="12" customHeight="true">
      <c r="A94" s="314" t="s"/>
      <c r="B94" s="334" t="s">
        <v>656</v>
      </c>
      <c r="C94" s="337" t="s"/>
      <c r="D94" s="306">
        <f>=SUM(E94:Z94)</f>
        <v>0</v>
      </c>
      <c r="E94" s="306">
        <f>=IF(E91=0,E92*E93/(1+E93),E92*E93)</f>
        <v>0</v>
      </c>
      <c r="F94" s="306">
        <f>=IF(F91=0,F92*F93/(1+F93),F92*F93)</f>
        <v>0</v>
      </c>
      <c r="G94" s="306">
        <f>=IF(G91=0,G92*G93/(1+G93),G92*G93)</f>
        <v>0</v>
      </c>
      <c r="H94" s="306">
        <f>=IF(H91=0,H92*H93/(1+H93),H92*H93)</f>
        <v>0</v>
      </c>
      <c r="I94" s="306">
        <f>=IF(I91=0,I92*I93/(1+I93),I92*I93)</f>
        <v>0</v>
      </c>
      <c r="J94" s="306">
        <f>=IF(J91=0,J92*J93/(1+J93),J92*J93)</f>
        <v>0</v>
      </c>
      <c r="K94" s="306">
        <f>=IF(K91=0,K92*K93/(1+K93),K92*K93)</f>
        <v>0</v>
      </c>
      <c r="L94" s="306">
        <f>=IF(L91=0,L92*L93/(1+L93),L92*L93)</f>
        <v>0</v>
      </c>
      <c r="M94" s="306">
        <f>=IF(M91=0,M92*M93/(1+M93),M92*M93)</f>
        <v>0</v>
      </c>
      <c r="N94" s="306">
        <f>=IF(N91=0,N92*N93/(1+N93),N92*N93)</f>
        <v>0</v>
      </c>
      <c r="O94" s="306">
        <f>=IF(O91=0,O92*O93/(1+O93),O92*O93)</f>
        <v>0</v>
      </c>
      <c r="P94" s="306">
        <f>=IF(P91=0,P92*P93/(1+P93),P92*P93)</f>
        <v>0</v>
      </c>
      <c r="Q94" s="306">
        <f>=IF(Q91=0,Q92*Q93/(1+Q93),Q92*Q93)</f>
        <v>0</v>
      </c>
      <c r="R94" s="306">
        <f>=IF(R91=0,R92*R93/(1+R93),R92*R93)</f>
        <v>0</v>
      </c>
      <c r="S94" s="306">
        <f>=IF(S91=0,S92*S93/(1+S93),S92*S93)</f>
        <v>0</v>
      </c>
      <c r="T94" s="306">
        <f>=IF(T91=0,T92*T93/(1+T93),T92*T93)</f>
        <v>0</v>
      </c>
      <c r="U94" s="306">
        <f>=IF(U91=0,U92*U93/(1+U93),U92*U93)</f>
        <v>0</v>
      </c>
      <c r="V94" s="306">
        <f>=IF(V91=0,V92*V93/(1+V93),V92*V93)</f>
        <v>0</v>
      </c>
      <c r="W94" s="306">
        <f>=IF(W91=0,W92*W93/(1+W93),W92*W93)</f>
        <v>0</v>
      </c>
      <c r="X94" s="306">
        <f>=IF(X91=0,X92*X93/(1+X93),X92*X93)</f>
        <v>0</v>
      </c>
      <c r="Y94" s="306">
        <f>=IF(Y91=0,Y92*Y93/(1+Y93),Y92*Y93)</f>
        <v>0</v>
      </c>
      <c r="Z94" s="306">
        <f>=IF(Z91=0,Z92*Z93/(1+Z93),Z92*Z93)</f>
        <v>0</v>
      </c>
    </row>
    <row r="95" spans="1:26" ht="12" customHeight="true">
      <c r="A95" s="314" t="s"/>
      <c r="B95" s="334" t="s">
        <v>1242</v>
      </c>
      <c r="C95" s="337" t="s"/>
      <c r="D95" s="306">
        <f>=SUM(E95:Z95)</f>
        <v>0</v>
      </c>
      <c r="E95" s="306">
        <f>=IF(E91=0,E90,E92+E94)</f>
        <v>0</v>
      </c>
      <c r="F95" s="306">
        <f>=IF(F91=0,F90,F92+F94)</f>
        <v>0</v>
      </c>
      <c r="G95" s="306">
        <f>=IF(G91=0,G90,G92+G94)</f>
        <v>0</v>
      </c>
      <c r="H95" s="306">
        <f>=IF(H91=0,H90,H92+H94)</f>
        <v>0</v>
      </c>
      <c r="I95" s="306">
        <f>=IF(I91=0,I90,I92+I94)</f>
        <v>0</v>
      </c>
      <c r="J95" s="306">
        <f>=IF(J91=0,J90,J92+J94)</f>
        <v>0</v>
      </c>
      <c r="K95" s="306">
        <f>=IF(K91=0,K90,K92+K94)</f>
        <v>0</v>
      </c>
      <c r="L95" s="306">
        <f>=IF(L91=0,L90,L92+L94)</f>
        <v>0</v>
      </c>
      <c r="M95" s="306">
        <f>=IF(M91=0,M90,M92+M94)</f>
        <v>0</v>
      </c>
      <c r="N95" s="306">
        <f>=IF(N91=0,N90,N92+N94)</f>
        <v>0</v>
      </c>
      <c r="O95" s="306">
        <f>=IF(O91=0,O90,O92+O94)</f>
        <v>0</v>
      </c>
      <c r="P95" s="306">
        <f>=IF(P91=0,P90,P92+P94)</f>
        <v>0</v>
      </c>
      <c r="Q95" s="306">
        <f>=IF(Q91=0,Q90,Q92+Q94)</f>
        <v>0</v>
      </c>
      <c r="R95" s="306">
        <f>=IF(R91=0,R90,R92+R94)</f>
        <v>0</v>
      </c>
      <c r="S95" s="306">
        <f>=IF(S91=0,S90,S92+S94)</f>
        <v>0</v>
      </c>
      <c r="T95" s="306">
        <f>=IF(T91=0,T90,T92+T94)</f>
        <v>0</v>
      </c>
      <c r="U95" s="306">
        <f>=IF(U91=0,U90,U92+U94)</f>
        <v>0</v>
      </c>
      <c r="V95" s="306">
        <f>=IF(V91=0,V90,V92+V94)</f>
        <v>0</v>
      </c>
      <c r="W95" s="306">
        <f>=IF(W91=0,W90,W92+W94)</f>
        <v>0</v>
      </c>
      <c r="X95" s="306">
        <f>=IF(X91=0,X90,X92+X94)</f>
        <v>0</v>
      </c>
      <c r="Y95" s="306">
        <f>=IF(Y91=0,Y90,Y92+Y94)</f>
        <v>0</v>
      </c>
      <c r="Z95" s="306">
        <f>=IF(Z91=0,Z90,Z92+Z94)</f>
        <v>0</v>
      </c>
    </row>
    <row r="96" spans="1:26" ht="12" customHeight="true">
      <c r="A96" s="314">
        <v>1.8</v>
      </c>
      <c r="B96" s="580" t="s"/>
      <c r="C96" s="580" t="s"/>
      <c r="D96" s="316" t="s">
        <v>672</v>
      </c>
      <c r="E96" s="316" t="s"/>
      <c r="F96" s="581" t="s"/>
      <c r="G96" s="581" t="s"/>
      <c r="H96" s="581" t="s"/>
      <c r="I96" s="581" t="s"/>
      <c r="J96" s="581" t="s"/>
      <c r="K96" s="581" t="s"/>
      <c r="L96" s="581" t="s"/>
      <c r="M96" s="581" t="s"/>
      <c r="N96" s="581" t="s"/>
      <c r="O96" s="581" t="s"/>
      <c r="P96" s="581" t="s"/>
      <c r="Q96" s="581" t="s"/>
      <c r="R96" s="581" t="s"/>
      <c r="S96" s="581" t="s"/>
      <c r="T96" s="581" t="s"/>
      <c r="U96" s="581" t="s"/>
      <c r="V96" s="581" t="s"/>
      <c r="W96" s="581" t="s"/>
      <c r="X96" s="581" t="s"/>
      <c r="Y96" s="581" t="s"/>
      <c r="Z96" s="581" t="s"/>
    </row>
    <row r="97" spans="1:26" ht="12" customHeight="true">
      <c r="A97" s="314" t="s"/>
      <c r="B97" s="318" t="s">
        <v>688</v>
      </c>
      <c r="C97" s="319" t="s"/>
      <c r="D97" s="320" t="s">
        <v>674</v>
      </c>
      <c r="E97" s="331" t="s"/>
      <c r="F97" s="331" t="s"/>
      <c r="G97" s="331" t="s"/>
      <c r="H97" s="331" t="s"/>
      <c r="I97" s="331" t="s"/>
      <c r="J97" s="331" t="s"/>
      <c r="K97" s="331" t="s"/>
      <c r="L97" s="331" t="s"/>
      <c r="M97" s="331" t="s"/>
      <c r="N97" s="331" t="s"/>
      <c r="O97" s="331" t="s"/>
      <c r="P97" s="331" t="s"/>
      <c r="Q97" s="331" t="s"/>
      <c r="R97" s="331" t="s"/>
      <c r="S97" s="331" t="s"/>
      <c r="T97" s="331" t="s"/>
      <c r="U97" s="331" t="s"/>
      <c r="V97" s="331" t="s"/>
      <c r="W97" s="331" t="s"/>
      <c r="X97" s="331" t="s"/>
      <c r="Y97" s="331" t="s"/>
      <c r="Z97" s="331" t="s"/>
    </row>
    <row r="98" spans="1:26" ht="12" customHeight="true">
      <c r="A98" s="314" t="s"/>
      <c r="B98" s="323" t="s">
        <v>534</v>
      </c>
      <c r="C98" s="324">
        <f>=IF($D97="美元",辅助表1评估项目基础数据表!$C$17,IF($D97="其他外币",辅助表1评估项目基础数据表!$C$18,1))</f>
        <v>1</v>
      </c>
      <c r="D98" s="300" t="s"/>
      <c r="E98" s="343">
        <f>=$C98</f>
        <v>1</v>
      </c>
      <c r="F98" s="325">
        <f>=$C98</f>
        <v>1</v>
      </c>
      <c r="G98" s="325">
        <f>=$C98</f>
        <v>1</v>
      </c>
      <c r="H98" s="325">
        <f>=$C98</f>
        <v>1</v>
      </c>
      <c r="I98" s="325">
        <f>=$C98</f>
        <v>1</v>
      </c>
      <c r="J98" s="325">
        <f>=$C98</f>
        <v>1</v>
      </c>
      <c r="K98" s="325">
        <f>=$C98</f>
        <v>1</v>
      </c>
      <c r="L98" s="325">
        <f>=$C98</f>
        <v>1</v>
      </c>
      <c r="M98" s="325">
        <f>=$C98</f>
        <v>1</v>
      </c>
      <c r="N98" s="325">
        <f>=$C98</f>
        <v>1</v>
      </c>
      <c r="O98" s="325">
        <f>=$C98</f>
        <v>1</v>
      </c>
      <c r="P98" s="325">
        <f>=$C98</f>
        <v>1</v>
      </c>
      <c r="Q98" s="325">
        <f>=$C98</f>
        <v>1</v>
      </c>
      <c r="R98" s="325">
        <f>=$C98</f>
        <v>1</v>
      </c>
      <c r="S98" s="325">
        <f>=$C98</f>
        <v>1</v>
      </c>
      <c r="T98" s="325">
        <f>=$C98</f>
        <v>1</v>
      </c>
      <c r="U98" s="325">
        <f>=$C98</f>
        <v>1</v>
      </c>
      <c r="V98" s="325">
        <f>=$C98</f>
        <v>1</v>
      </c>
      <c r="W98" s="325">
        <f>=$C98</f>
        <v>1</v>
      </c>
      <c r="X98" s="325">
        <f>=$C98</f>
        <v>1</v>
      </c>
      <c r="Y98" s="325">
        <f>=$C98</f>
        <v>1</v>
      </c>
      <c r="Z98" s="325">
        <f>=$C98</f>
        <v>1</v>
      </c>
    </row>
    <row r="99" spans="1:26" ht="12" customHeight="true">
      <c r="A99" s="314" t="s"/>
      <c r="B99" s="326" t="s">
        <v>676</v>
      </c>
      <c r="C99" s="327" t="s"/>
      <c r="D99" s="310" t="s"/>
      <c r="E99" s="344">
        <f>=E97*E98</f>
        <v>0</v>
      </c>
      <c r="F99" s="328">
        <f>=F97*F98</f>
        <v>0</v>
      </c>
      <c r="G99" s="328">
        <f>=G97*G98</f>
        <v>0</v>
      </c>
      <c r="H99" s="328">
        <f>=H97*H98</f>
        <v>0</v>
      </c>
      <c r="I99" s="328">
        <f>=I97*I98</f>
        <v>0</v>
      </c>
      <c r="J99" s="328">
        <f>=J97*J98</f>
        <v>0</v>
      </c>
      <c r="K99" s="328">
        <f>=K97*K98</f>
        <v>0</v>
      </c>
      <c r="L99" s="328">
        <f>=L97*L98</f>
        <v>0</v>
      </c>
      <c r="M99" s="328">
        <f>=M97*M98</f>
        <v>0</v>
      </c>
      <c r="N99" s="328">
        <f>=N97*N98</f>
        <v>0</v>
      </c>
      <c r="O99" s="328">
        <f>=O97*O98</f>
        <v>0</v>
      </c>
      <c r="P99" s="328">
        <f>=P97*P98</f>
        <v>0</v>
      </c>
      <c r="Q99" s="328">
        <f>=Q97*Q98</f>
        <v>0</v>
      </c>
      <c r="R99" s="328">
        <f>=R97*R98</f>
        <v>0</v>
      </c>
      <c r="S99" s="328">
        <f>=S97*S98</f>
        <v>0</v>
      </c>
      <c r="T99" s="328">
        <f>=T97*T98</f>
        <v>0</v>
      </c>
      <c r="U99" s="328">
        <f>=U97*U98</f>
        <v>0</v>
      </c>
      <c r="V99" s="328">
        <f>=V97*V98</f>
        <v>0</v>
      </c>
      <c r="W99" s="328">
        <f>=W97*W98</f>
        <v>0</v>
      </c>
      <c r="X99" s="328">
        <f>=X97*X98</f>
        <v>0</v>
      </c>
      <c r="Y99" s="328">
        <f>=Y97*Y98</f>
        <v>0</v>
      </c>
      <c r="Z99" s="328">
        <f>=Z97*Z98</f>
        <v>0</v>
      </c>
    </row>
    <row r="100" spans="1:26" ht="12" customHeight="true">
      <c r="A100" s="314" t="s"/>
      <c r="B100" s="333" t="s">
        <v>1236</v>
      </c>
      <c r="C100" s="330" t="s"/>
      <c r="D100" s="306">
        <f>=SUM(E100:Z100)</f>
        <v>0</v>
      </c>
      <c r="E100" s="331" t="s"/>
      <c r="F100" s="331" t="s"/>
      <c r="G100" s="331" t="s"/>
      <c r="H100" s="331" t="s"/>
      <c r="I100" s="331" t="s"/>
      <c r="J100" s="331" t="s"/>
      <c r="K100" s="331" t="s"/>
      <c r="L100" s="331" t="s"/>
      <c r="M100" s="331" t="s"/>
      <c r="N100" s="331" t="s"/>
      <c r="O100" s="331" t="s"/>
      <c r="P100" s="331" t="s"/>
      <c r="Q100" s="331" t="s"/>
      <c r="R100" s="331" t="s"/>
      <c r="S100" s="331" t="s"/>
      <c r="T100" s="331" t="s"/>
      <c r="U100" s="331" t="s"/>
      <c r="V100" s="331" t="s"/>
      <c r="W100" s="331" t="s"/>
      <c r="X100" s="331" t="s"/>
      <c r="Y100" s="331" t="s"/>
      <c r="Z100" s="331" t="s"/>
    </row>
    <row r="101" spans="1:26" ht="12" customHeight="true">
      <c r="A101" s="314" t="s"/>
      <c r="B101" s="333" t="s">
        <v>1238</v>
      </c>
      <c r="C101" s="333" t="s"/>
      <c r="D101" s="306">
        <f>=SUM(E101:Z101)</f>
        <v>0</v>
      </c>
      <c r="E101" s="306">
        <f>=E99*E100</f>
        <v>0</v>
      </c>
      <c r="F101" s="306">
        <f>=F99*F100</f>
        <v>0</v>
      </c>
      <c r="G101" s="306">
        <f>=G99*G100</f>
        <v>0</v>
      </c>
      <c r="H101" s="306">
        <f>=H99*H100</f>
        <v>0</v>
      </c>
      <c r="I101" s="306">
        <f>=I99*I100</f>
        <v>0</v>
      </c>
      <c r="J101" s="306">
        <f>=J99*J100</f>
        <v>0</v>
      </c>
      <c r="K101" s="306">
        <f>=K99*K100</f>
        <v>0</v>
      </c>
      <c r="L101" s="306">
        <f>=L99*L100</f>
        <v>0</v>
      </c>
      <c r="M101" s="306">
        <f>=M99*M100</f>
        <v>0</v>
      </c>
      <c r="N101" s="306">
        <f>=N99*N100</f>
        <v>0</v>
      </c>
      <c r="O101" s="306">
        <f>=O99*O100</f>
        <v>0</v>
      </c>
      <c r="P101" s="306">
        <f>=P99*P100</f>
        <v>0</v>
      </c>
      <c r="Q101" s="306">
        <f>=Q99*Q100</f>
        <v>0</v>
      </c>
      <c r="R101" s="306">
        <f>=R99*R100</f>
        <v>0</v>
      </c>
      <c r="S101" s="306">
        <f>=S99*S100</f>
        <v>0</v>
      </c>
      <c r="T101" s="306">
        <f>=T99*T100</f>
        <v>0</v>
      </c>
      <c r="U101" s="306">
        <f>=U99*U100</f>
        <v>0</v>
      </c>
      <c r="V101" s="306">
        <f>=V99*V100</f>
        <v>0</v>
      </c>
      <c r="W101" s="306">
        <f>=W99*W100</f>
        <v>0</v>
      </c>
      <c r="X101" s="306">
        <f>=X99*X100</f>
        <v>0</v>
      </c>
      <c r="Y101" s="306">
        <f>=Y99*Y100</f>
        <v>0</v>
      </c>
      <c r="Z101" s="306">
        <f>=Z99*Z100</f>
        <v>0</v>
      </c>
    </row>
    <row r="102" spans="1:26" ht="12" customHeight="true">
      <c r="A102" s="314" t="s"/>
      <c r="B102" s="334" t="s">
        <v>1240</v>
      </c>
      <c r="C102" s="335" t="s"/>
      <c r="D102" s="310" t="s"/>
      <c r="E102" s="336">
        <f>=$C102</f>
        <v>0</v>
      </c>
      <c r="F102" s="336">
        <f>=$C102</f>
        <v>0</v>
      </c>
      <c r="G102" s="336">
        <f>=$C102</f>
        <v>0</v>
      </c>
      <c r="H102" s="336">
        <f>=$C102</f>
        <v>0</v>
      </c>
      <c r="I102" s="336">
        <f>=$C102</f>
        <v>0</v>
      </c>
      <c r="J102" s="336">
        <f>=$C102</f>
        <v>0</v>
      </c>
      <c r="K102" s="336">
        <f>=$C102</f>
        <v>0</v>
      </c>
      <c r="L102" s="336">
        <f>=$C102</f>
        <v>0</v>
      </c>
      <c r="M102" s="336">
        <f>=$C102</f>
        <v>0</v>
      </c>
      <c r="N102" s="336">
        <f>=$C102</f>
        <v>0</v>
      </c>
      <c r="O102" s="336">
        <f>=$C102</f>
        <v>0</v>
      </c>
      <c r="P102" s="336">
        <f>=$C102</f>
        <v>0</v>
      </c>
      <c r="Q102" s="336">
        <f>=$C102</f>
        <v>0</v>
      </c>
      <c r="R102" s="336">
        <f>=$C102</f>
        <v>0</v>
      </c>
      <c r="S102" s="336">
        <f>=$C102</f>
        <v>0</v>
      </c>
      <c r="T102" s="336">
        <f>=$C102</f>
        <v>0</v>
      </c>
      <c r="U102" s="336">
        <f>=$C102</f>
        <v>0</v>
      </c>
      <c r="V102" s="336">
        <f>=$C102</f>
        <v>0</v>
      </c>
      <c r="W102" s="336">
        <f>=$C102</f>
        <v>0</v>
      </c>
      <c r="X102" s="336">
        <f>=$C102</f>
        <v>0</v>
      </c>
      <c r="Y102" s="336">
        <f>=$C102</f>
        <v>0</v>
      </c>
      <c r="Z102" s="336">
        <f>=$C102</f>
        <v>0</v>
      </c>
    </row>
    <row r="103" spans="1:26" ht="12" customHeight="true">
      <c r="A103" s="314" t="s"/>
      <c r="B103" s="334" t="s">
        <v>1229</v>
      </c>
      <c r="C103" s="310" t="s"/>
      <c r="D103" s="306">
        <f>=SUM(E103:Z103)</f>
        <v>0</v>
      </c>
      <c r="E103" s="306">
        <f>=E101*(1+E102)</f>
        <v>0</v>
      </c>
      <c r="F103" s="306">
        <f>=F101*(1+F102)</f>
        <v>0</v>
      </c>
      <c r="G103" s="306">
        <f>=G101*(1+G102)</f>
        <v>0</v>
      </c>
      <c r="H103" s="306">
        <f>=H101*(1+H102)</f>
        <v>0</v>
      </c>
      <c r="I103" s="306">
        <f>=I101*(1+I102)</f>
        <v>0</v>
      </c>
      <c r="J103" s="306">
        <f>=J101*(1+J102)</f>
        <v>0</v>
      </c>
      <c r="K103" s="306">
        <f>=K101*(1+K102)</f>
        <v>0</v>
      </c>
      <c r="L103" s="306">
        <f>=L101*(1+L102)</f>
        <v>0</v>
      </c>
      <c r="M103" s="306">
        <f>=M101*(1+M102)</f>
        <v>0</v>
      </c>
      <c r="N103" s="306">
        <f>=N101*(1+N102)</f>
        <v>0</v>
      </c>
      <c r="O103" s="306">
        <f>=O101*(1+O102)</f>
        <v>0</v>
      </c>
      <c r="P103" s="306">
        <f>=P101*(1+P102)</f>
        <v>0</v>
      </c>
      <c r="Q103" s="306">
        <f>=Q101*(1+Q102)</f>
        <v>0</v>
      </c>
      <c r="R103" s="306">
        <f>=R101*(1+R102)</f>
        <v>0</v>
      </c>
      <c r="S103" s="306">
        <f>=S101*(1+S102)</f>
        <v>0</v>
      </c>
      <c r="T103" s="306">
        <f>=T101*(1+T102)</f>
        <v>0</v>
      </c>
      <c r="U103" s="306">
        <f>=U101*(1+U102)</f>
        <v>0</v>
      </c>
      <c r="V103" s="306">
        <f>=V101*(1+V102)</f>
        <v>0</v>
      </c>
      <c r="W103" s="306">
        <f>=W101*(1+W102)</f>
        <v>0</v>
      </c>
      <c r="X103" s="306">
        <f>=X101*(1+X102)</f>
        <v>0</v>
      </c>
      <c r="Y103" s="306">
        <f>=Y101*(1+Y102)</f>
        <v>0</v>
      </c>
      <c r="Z103" s="306">
        <f>=Z101*(1+Z102)</f>
        <v>0</v>
      </c>
    </row>
    <row r="104" spans="1:26" ht="12" customHeight="true">
      <c r="A104" s="314" t="s"/>
      <c r="B104" s="334" t="s">
        <v>682</v>
      </c>
      <c r="C104" s="335" t="s"/>
      <c r="D104" s="310" t="s"/>
      <c r="E104" s="336">
        <f>=$C104</f>
        <v>0</v>
      </c>
      <c r="F104" s="336">
        <f>=$C104</f>
        <v>0</v>
      </c>
      <c r="G104" s="336">
        <f>=$C104</f>
        <v>0</v>
      </c>
      <c r="H104" s="336">
        <f>=$C104</f>
        <v>0</v>
      </c>
      <c r="I104" s="336">
        <f>=$C104</f>
        <v>0</v>
      </c>
      <c r="J104" s="336">
        <f>=$C104</f>
        <v>0</v>
      </c>
      <c r="K104" s="336">
        <f>=$C104</f>
        <v>0</v>
      </c>
      <c r="L104" s="336">
        <f>=$C104</f>
        <v>0</v>
      </c>
      <c r="M104" s="336">
        <f>=$C104</f>
        <v>0</v>
      </c>
      <c r="N104" s="336">
        <f>=$C104</f>
        <v>0</v>
      </c>
      <c r="O104" s="336">
        <f>=$C104</f>
        <v>0</v>
      </c>
      <c r="P104" s="336">
        <f>=$C104</f>
        <v>0</v>
      </c>
      <c r="Q104" s="336">
        <f>=$C104</f>
        <v>0</v>
      </c>
      <c r="R104" s="336">
        <f>=$C104</f>
        <v>0</v>
      </c>
      <c r="S104" s="336">
        <f>=$C104</f>
        <v>0</v>
      </c>
      <c r="T104" s="336">
        <f>=$C104</f>
        <v>0</v>
      </c>
      <c r="U104" s="336">
        <f>=$C104</f>
        <v>0</v>
      </c>
      <c r="V104" s="336">
        <f>=$C104</f>
        <v>0</v>
      </c>
      <c r="W104" s="336">
        <f>=$C104</f>
        <v>0</v>
      </c>
      <c r="X104" s="336">
        <f>=$C104</f>
        <v>0</v>
      </c>
      <c r="Y104" s="336">
        <f>=$C104</f>
        <v>0</v>
      </c>
      <c r="Z104" s="336">
        <f>=$C104</f>
        <v>0</v>
      </c>
    </row>
    <row r="105" spans="1:26" ht="12" customHeight="true">
      <c r="A105" s="314" t="s"/>
      <c r="B105" s="334" t="s">
        <v>656</v>
      </c>
      <c r="C105" s="337" t="s"/>
      <c r="D105" s="306">
        <f>=SUM(E105:Z105)</f>
        <v>0</v>
      </c>
      <c r="E105" s="306">
        <f>=IF(E102=0,E103*E104/(1+E104),E103*E104)</f>
        <v>0</v>
      </c>
      <c r="F105" s="306">
        <f>=IF(F102=0,F103*F104/(1+F104),F103*F104)</f>
        <v>0</v>
      </c>
      <c r="G105" s="306">
        <f>=IF(G102=0,G103*G104/(1+G104),G103*G104)</f>
        <v>0</v>
      </c>
      <c r="H105" s="306">
        <f>=IF(H102=0,H103*H104/(1+H104),H103*H104)</f>
        <v>0</v>
      </c>
      <c r="I105" s="306">
        <f>=IF(I102=0,I103*I104/(1+I104),I103*I104)</f>
        <v>0</v>
      </c>
      <c r="J105" s="306">
        <f>=IF(J102=0,J103*J104/(1+J104),J103*J104)</f>
        <v>0</v>
      </c>
      <c r="K105" s="306">
        <f>=IF(K102=0,K103*K104/(1+K104),K103*K104)</f>
        <v>0</v>
      </c>
      <c r="L105" s="306">
        <f>=IF(L102=0,L103*L104/(1+L104),L103*L104)</f>
        <v>0</v>
      </c>
      <c r="M105" s="306">
        <f>=IF(M102=0,M103*M104/(1+M104),M103*M104)</f>
        <v>0</v>
      </c>
      <c r="N105" s="306">
        <f>=IF(N102=0,N103*N104/(1+N104),N103*N104)</f>
        <v>0</v>
      </c>
      <c r="O105" s="306">
        <f>=IF(O102=0,O103*O104/(1+O104),O103*O104)</f>
        <v>0</v>
      </c>
      <c r="P105" s="306">
        <f>=IF(P102=0,P103*P104/(1+P104),P103*P104)</f>
        <v>0</v>
      </c>
      <c r="Q105" s="306">
        <f>=IF(Q102=0,Q103*Q104/(1+Q104),Q103*Q104)</f>
        <v>0</v>
      </c>
      <c r="R105" s="306">
        <f>=IF(R102=0,R103*R104/(1+R104),R103*R104)</f>
        <v>0</v>
      </c>
      <c r="S105" s="306">
        <f>=IF(S102=0,S103*S104/(1+S104),S103*S104)</f>
        <v>0</v>
      </c>
      <c r="T105" s="306">
        <f>=IF(T102=0,T103*T104/(1+T104),T103*T104)</f>
        <v>0</v>
      </c>
      <c r="U105" s="306">
        <f>=IF(U102=0,U103*U104/(1+U104),U103*U104)</f>
        <v>0</v>
      </c>
      <c r="V105" s="306">
        <f>=IF(V102=0,V103*V104/(1+V104),V103*V104)</f>
        <v>0</v>
      </c>
      <c r="W105" s="306">
        <f>=IF(W102=0,W103*W104/(1+W104),W103*W104)</f>
        <v>0</v>
      </c>
      <c r="X105" s="306">
        <f>=IF(X102=0,X103*X104/(1+X104),X103*X104)</f>
        <v>0</v>
      </c>
      <c r="Y105" s="306">
        <f>=IF(Y102=0,Y103*Y104/(1+Y104),Y103*Y104)</f>
        <v>0</v>
      </c>
      <c r="Z105" s="306">
        <f>=IF(Z102=0,Z103*Z104/(1+Z104),Z103*Z104)</f>
        <v>0</v>
      </c>
    </row>
    <row r="106" spans="1:26" ht="12" customHeight="true">
      <c r="A106" s="314" t="s"/>
      <c r="B106" s="334" t="s">
        <v>1242</v>
      </c>
      <c r="C106" s="337" t="s"/>
      <c r="D106" s="306">
        <f>=SUM(E106:Z106)</f>
        <v>0</v>
      </c>
      <c r="E106" s="306">
        <f>=IF(E102=0,E101,E103+E105)</f>
        <v>0</v>
      </c>
      <c r="F106" s="306">
        <f>=IF(F102=0,F101,F103+F105)</f>
        <v>0</v>
      </c>
      <c r="G106" s="306">
        <f>=IF(G102=0,G101,G103+G105)</f>
        <v>0</v>
      </c>
      <c r="H106" s="306">
        <f>=IF(H102=0,H101,H103+H105)</f>
        <v>0</v>
      </c>
      <c r="I106" s="306">
        <f>=IF(I102=0,I101,I103+I105)</f>
        <v>0</v>
      </c>
      <c r="J106" s="306">
        <f>=IF(J102=0,J101,J103+J105)</f>
        <v>0</v>
      </c>
      <c r="K106" s="306">
        <f>=IF(K102=0,K101,K103+K105)</f>
        <v>0</v>
      </c>
      <c r="L106" s="306">
        <f>=IF(L102=0,L101,L103+L105)</f>
        <v>0</v>
      </c>
      <c r="M106" s="306">
        <f>=IF(M102=0,M101,M103+M105)</f>
        <v>0</v>
      </c>
      <c r="N106" s="306">
        <f>=IF(N102=0,N101,N103+N105)</f>
        <v>0</v>
      </c>
      <c r="O106" s="306">
        <f>=IF(O102=0,O101,O103+O105)</f>
        <v>0</v>
      </c>
      <c r="P106" s="306">
        <f>=IF(P102=0,P101,P103+P105)</f>
        <v>0</v>
      </c>
      <c r="Q106" s="306">
        <f>=IF(Q102=0,Q101,Q103+Q105)</f>
        <v>0</v>
      </c>
      <c r="R106" s="306">
        <f>=IF(R102=0,R101,R103+R105)</f>
        <v>0</v>
      </c>
      <c r="S106" s="306">
        <f>=IF(S102=0,S101,S103+S105)</f>
        <v>0</v>
      </c>
      <c r="T106" s="306">
        <f>=IF(T102=0,T101,T103+T105)</f>
        <v>0</v>
      </c>
      <c r="U106" s="306">
        <f>=IF(U102=0,U101,U103+U105)</f>
        <v>0</v>
      </c>
      <c r="V106" s="306">
        <f>=IF(V102=0,V101,V103+V105)</f>
        <v>0</v>
      </c>
      <c r="W106" s="306">
        <f>=IF(W102=0,W101,W103+W105)</f>
        <v>0</v>
      </c>
      <c r="X106" s="306">
        <f>=IF(X102=0,X101,X103+X105)</f>
        <v>0</v>
      </c>
      <c r="Y106" s="306">
        <f>=IF(Y102=0,Y101,Y103+Y105)</f>
        <v>0</v>
      </c>
      <c r="Z106" s="306">
        <f>=IF(Z102=0,Z101,Z103+Z105)</f>
        <v>0</v>
      </c>
    </row>
    <row r="107" spans="1:26" ht="12" customHeight="true">
      <c r="A107" s="314">
        <v>1.9</v>
      </c>
      <c r="B107" s="580" t="s"/>
      <c r="C107" s="580" t="s"/>
      <c r="D107" s="316" t="s">
        <v>672</v>
      </c>
      <c r="E107" s="316" t="s"/>
      <c r="F107" s="581" t="s"/>
      <c r="G107" s="581" t="s"/>
      <c r="H107" s="581" t="s"/>
      <c r="I107" s="581" t="s"/>
      <c r="J107" s="581" t="s"/>
      <c r="K107" s="581" t="s"/>
      <c r="L107" s="581" t="s"/>
      <c r="M107" s="581" t="s"/>
      <c r="N107" s="581" t="s"/>
      <c r="O107" s="581" t="s"/>
      <c r="P107" s="581" t="s"/>
      <c r="Q107" s="581" t="s"/>
      <c r="R107" s="581" t="s"/>
      <c r="S107" s="581" t="s"/>
      <c r="T107" s="581" t="s"/>
      <c r="U107" s="581" t="s"/>
      <c r="V107" s="581" t="s"/>
      <c r="W107" s="581" t="s"/>
      <c r="X107" s="581" t="s"/>
      <c r="Y107" s="581" t="s"/>
      <c r="Z107" s="581" t="s"/>
    </row>
    <row r="108" spans="1:26" ht="12" customHeight="true">
      <c r="A108" s="314" t="s"/>
      <c r="B108" s="318" t="s">
        <v>688</v>
      </c>
      <c r="C108" s="319" t="s"/>
      <c r="D108" s="320" t="s">
        <v>674</v>
      </c>
      <c r="E108" s="331" t="s"/>
      <c r="F108" s="331" t="s"/>
      <c r="G108" s="331" t="s"/>
      <c r="H108" s="331" t="s"/>
      <c r="I108" s="331" t="s"/>
      <c r="J108" s="331" t="s"/>
      <c r="K108" s="331" t="s"/>
      <c r="L108" s="331" t="s"/>
      <c r="M108" s="331" t="s"/>
      <c r="N108" s="331" t="s"/>
      <c r="O108" s="331" t="s"/>
      <c r="P108" s="331" t="s"/>
      <c r="Q108" s="331" t="s"/>
      <c r="R108" s="331" t="s"/>
      <c r="S108" s="331" t="s"/>
      <c r="T108" s="331" t="s"/>
      <c r="U108" s="331" t="s"/>
      <c r="V108" s="331" t="s"/>
      <c r="W108" s="331" t="s"/>
      <c r="X108" s="331" t="s"/>
      <c r="Y108" s="331" t="s"/>
      <c r="Z108" s="331" t="s"/>
    </row>
    <row r="109" spans="1:26" ht="12" customHeight="true">
      <c r="A109" s="314" t="s"/>
      <c r="B109" s="323" t="s">
        <v>534</v>
      </c>
      <c r="C109" s="324">
        <f>=IF($D108="美元",辅助表1评估项目基础数据表!$C$17,IF($D108="其他外币",辅助表1评估项目基础数据表!$C$18,1))</f>
        <v>1</v>
      </c>
      <c r="D109" s="300" t="s"/>
      <c r="E109" s="325">
        <f>=$C109</f>
        <v>1</v>
      </c>
      <c r="F109" s="325">
        <f>=$C109</f>
        <v>1</v>
      </c>
      <c r="G109" s="325">
        <f>=$C109</f>
        <v>1</v>
      </c>
      <c r="H109" s="325">
        <f>=$C109</f>
        <v>1</v>
      </c>
      <c r="I109" s="325">
        <f>=$C109</f>
        <v>1</v>
      </c>
      <c r="J109" s="325">
        <f>=$C109</f>
        <v>1</v>
      </c>
      <c r="K109" s="325">
        <f>=$C109</f>
        <v>1</v>
      </c>
      <c r="L109" s="325">
        <f>=$C109</f>
        <v>1</v>
      </c>
      <c r="M109" s="325">
        <f>=$C109</f>
        <v>1</v>
      </c>
      <c r="N109" s="325">
        <f>=$C109</f>
        <v>1</v>
      </c>
      <c r="O109" s="325">
        <f>=$C109</f>
        <v>1</v>
      </c>
      <c r="P109" s="325">
        <f>=$C109</f>
        <v>1</v>
      </c>
      <c r="Q109" s="325">
        <f>=$C109</f>
        <v>1</v>
      </c>
      <c r="R109" s="325">
        <f>=$C109</f>
        <v>1</v>
      </c>
      <c r="S109" s="325">
        <f>=$C109</f>
        <v>1</v>
      </c>
      <c r="T109" s="325">
        <f>=$C109</f>
        <v>1</v>
      </c>
      <c r="U109" s="325">
        <f>=$C109</f>
        <v>1</v>
      </c>
      <c r="V109" s="325">
        <f>=$C109</f>
        <v>1</v>
      </c>
      <c r="W109" s="325">
        <f>=$C109</f>
        <v>1</v>
      </c>
      <c r="X109" s="325">
        <f>=$C109</f>
        <v>1</v>
      </c>
      <c r="Y109" s="325">
        <f>=$C109</f>
        <v>1</v>
      </c>
      <c r="Z109" s="325">
        <f>=$C109</f>
        <v>1</v>
      </c>
    </row>
    <row r="110" spans="1:26" ht="12" customHeight="true">
      <c r="A110" s="314" t="s"/>
      <c r="B110" s="326" t="s">
        <v>676</v>
      </c>
      <c r="C110" s="327" t="s"/>
      <c r="D110" s="310" t="s"/>
      <c r="E110" s="328">
        <f>=E108*E109</f>
        <v>0</v>
      </c>
      <c r="F110" s="328">
        <f>=F108*F109</f>
        <v>0</v>
      </c>
      <c r="G110" s="328">
        <f>=G108*G109</f>
        <v>0</v>
      </c>
      <c r="H110" s="328">
        <f>=H108*H109</f>
        <v>0</v>
      </c>
      <c r="I110" s="328">
        <f>=I108*I109</f>
        <v>0</v>
      </c>
      <c r="J110" s="328">
        <f>=J108*J109</f>
        <v>0</v>
      </c>
      <c r="K110" s="328">
        <f>=K108*K109</f>
        <v>0</v>
      </c>
      <c r="L110" s="328">
        <f>=L108*L109</f>
        <v>0</v>
      </c>
      <c r="M110" s="328">
        <f>=M108*M109</f>
        <v>0</v>
      </c>
      <c r="N110" s="328">
        <f>=N108*N109</f>
        <v>0</v>
      </c>
      <c r="O110" s="328">
        <f>=O108*O109</f>
        <v>0</v>
      </c>
      <c r="P110" s="328">
        <f>=P108*P109</f>
        <v>0</v>
      </c>
      <c r="Q110" s="328">
        <f>=Q108*Q109</f>
        <v>0</v>
      </c>
      <c r="R110" s="328">
        <f>=R108*R109</f>
        <v>0</v>
      </c>
      <c r="S110" s="328">
        <f>=S108*S109</f>
        <v>0</v>
      </c>
      <c r="T110" s="328">
        <f>=T108*T109</f>
        <v>0</v>
      </c>
      <c r="U110" s="328">
        <f>=U108*U109</f>
        <v>0</v>
      </c>
      <c r="V110" s="328">
        <f>=V108*V109</f>
        <v>0</v>
      </c>
      <c r="W110" s="328">
        <f>=W108*W109</f>
        <v>0</v>
      </c>
      <c r="X110" s="328">
        <f>=X108*X109</f>
        <v>0</v>
      </c>
      <c r="Y110" s="328">
        <f>=Y108*Y109</f>
        <v>0</v>
      </c>
      <c r="Z110" s="328">
        <f>=Z108*Z109</f>
        <v>0</v>
      </c>
    </row>
    <row r="111" spans="1:26" ht="12" customHeight="true">
      <c r="A111" s="314" t="s"/>
      <c r="B111" s="333" t="s">
        <v>1236</v>
      </c>
      <c r="C111" s="330" t="s"/>
      <c r="D111" s="306">
        <f>=SUM(E111:Z111)</f>
        <v>0</v>
      </c>
      <c r="E111" s="331" t="s"/>
      <c r="F111" s="331" t="s"/>
      <c r="G111" s="331" t="s"/>
      <c r="H111" s="331" t="s"/>
      <c r="I111" s="331" t="s"/>
      <c r="J111" s="331" t="s"/>
      <c r="K111" s="331" t="s"/>
      <c r="L111" s="331" t="s"/>
      <c r="M111" s="331" t="s"/>
      <c r="N111" s="331" t="s"/>
      <c r="O111" s="331" t="s"/>
      <c r="P111" s="331" t="s"/>
      <c r="Q111" s="331" t="s"/>
      <c r="R111" s="331" t="s"/>
      <c r="S111" s="331" t="s"/>
      <c r="T111" s="331" t="s"/>
      <c r="U111" s="331" t="s"/>
      <c r="V111" s="331" t="s"/>
      <c r="W111" s="331" t="s"/>
      <c r="X111" s="331" t="s"/>
      <c r="Y111" s="331" t="s"/>
      <c r="Z111" s="331" t="s"/>
    </row>
    <row r="112" spans="1:26" ht="12" customHeight="true">
      <c r="A112" s="314" t="s"/>
      <c r="B112" s="333" t="s">
        <v>1238</v>
      </c>
      <c r="C112" s="333" t="s"/>
      <c r="D112" s="306">
        <f>=SUM(E112:Z112)</f>
        <v>0</v>
      </c>
      <c r="E112" s="306">
        <f>=E110*E111</f>
        <v>0</v>
      </c>
      <c r="F112" s="306">
        <f>=F110*F111</f>
        <v>0</v>
      </c>
      <c r="G112" s="306">
        <f>=G110*G111</f>
        <v>0</v>
      </c>
      <c r="H112" s="306">
        <f>=H110*H111</f>
        <v>0</v>
      </c>
      <c r="I112" s="306">
        <f>=I110*I111</f>
        <v>0</v>
      </c>
      <c r="J112" s="306">
        <f>=J110*J111</f>
        <v>0</v>
      </c>
      <c r="K112" s="306">
        <f>=K110*K111</f>
        <v>0</v>
      </c>
      <c r="L112" s="306">
        <f>=L110*L111</f>
        <v>0</v>
      </c>
      <c r="M112" s="306">
        <f>=M110*M111</f>
        <v>0</v>
      </c>
      <c r="N112" s="306">
        <f>=N110*N111</f>
        <v>0</v>
      </c>
      <c r="O112" s="306">
        <f>=O110*O111</f>
        <v>0</v>
      </c>
      <c r="P112" s="306">
        <f>=P110*P111</f>
        <v>0</v>
      </c>
      <c r="Q112" s="306">
        <f>=Q110*Q111</f>
        <v>0</v>
      </c>
      <c r="R112" s="306">
        <f>=R110*R111</f>
        <v>0</v>
      </c>
      <c r="S112" s="306">
        <f>=S110*S111</f>
        <v>0</v>
      </c>
      <c r="T112" s="306">
        <f>=T110*T111</f>
        <v>0</v>
      </c>
      <c r="U112" s="306">
        <f>=U110*U111</f>
        <v>0</v>
      </c>
      <c r="V112" s="306">
        <f>=V110*V111</f>
        <v>0</v>
      </c>
      <c r="W112" s="306">
        <f>=W110*W111</f>
        <v>0</v>
      </c>
      <c r="X112" s="306">
        <f>=X110*X111</f>
        <v>0</v>
      </c>
      <c r="Y112" s="306">
        <f>=Y110*Y111</f>
        <v>0</v>
      </c>
      <c r="Z112" s="306">
        <f>=Z110*Z111</f>
        <v>0</v>
      </c>
    </row>
    <row r="113" spans="1:26" ht="12" customHeight="true">
      <c r="A113" s="314" t="s"/>
      <c r="B113" s="334" t="s">
        <v>1240</v>
      </c>
      <c r="C113" s="335" t="s"/>
      <c r="D113" s="310" t="s"/>
      <c r="E113" s="336">
        <f>=$C113</f>
        <v>0</v>
      </c>
      <c r="F113" s="336">
        <f>=$C113</f>
        <v>0</v>
      </c>
      <c r="G113" s="336">
        <f>=$C113</f>
        <v>0</v>
      </c>
      <c r="H113" s="336">
        <f>=$C113</f>
        <v>0</v>
      </c>
      <c r="I113" s="336">
        <f>=$C113</f>
        <v>0</v>
      </c>
      <c r="J113" s="336">
        <f>=$C113</f>
        <v>0</v>
      </c>
      <c r="K113" s="336">
        <f>=$C113</f>
        <v>0</v>
      </c>
      <c r="L113" s="336">
        <f>=$C113</f>
        <v>0</v>
      </c>
      <c r="M113" s="336">
        <f>=$C113</f>
        <v>0</v>
      </c>
      <c r="N113" s="336">
        <f>=$C113</f>
        <v>0</v>
      </c>
      <c r="O113" s="336">
        <f>=$C113</f>
        <v>0</v>
      </c>
      <c r="P113" s="336">
        <f>=$C113</f>
        <v>0</v>
      </c>
      <c r="Q113" s="336">
        <f>=$C113</f>
        <v>0</v>
      </c>
      <c r="R113" s="336">
        <f>=$C113</f>
        <v>0</v>
      </c>
      <c r="S113" s="336">
        <f>=$C113</f>
        <v>0</v>
      </c>
      <c r="T113" s="336">
        <f>=$C113</f>
        <v>0</v>
      </c>
      <c r="U113" s="336">
        <f>=$C113</f>
        <v>0</v>
      </c>
      <c r="V113" s="336">
        <f>=$C113</f>
        <v>0</v>
      </c>
      <c r="W113" s="336">
        <f>=$C113</f>
        <v>0</v>
      </c>
      <c r="X113" s="336">
        <f>=$C113</f>
        <v>0</v>
      </c>
      <c r="Y113" s="336">
        <f>=$C113</f>
        <v>0</v>
      </c>
      <c r="Z113" s="336">
        <f>=$C113</f>
        <v>0</v>
      </c>
    </row>
    <row r="114" spans="1:26" ht="12" customHeight="true">
      <c r="A114" s="314" t="s"/>
      <c r="B114" s="334" t="s">
        <v>1229</v>
      </c>
      <c r="C114" s="310" t="s"/>
      <c r="D114" s="306">
        <f>=SUM(E114:Z114)</f>
        <v>0</v>
      </c>
      <c r="E114" s="306">
        <f>=E112*(1+E113)</f>
        <v>0</v>
      </c>
      <c r="F114" s="306">
        <f>=F112*(1+F113)</f>
        <v>0</v>
      </c>
      <c r="G114" s="306">
        <f>=G112*(1+G113)</f>
        <v>0</v>
      </c>
      <c r="H114" s="306">
        <f>=H112*(1+H113)</f>
        <v>0</v>
      </c>
      <c r="I114" s="306">
        <f>=I112*(1+I113)</f>
        <v>0</v>
      </c>
      <c r="J114" s="306">
        <f>=J112*(1+J113)</f>
        <v>0</v>
      </c>
      <c r="K114" s="306">
        <f>=K112*(1+K113)</f>
        <v>0</v>
      </c>
      <c r="L114" s="306">
        <f>=L112*(1+L113)</f>
        <v>0</v>
      </c>
      <c r="M114" s="306">
        <f>=M112*(1+M113)</f>
        <v>0</v>
      </c>
      <c r="N114" s="306">
        <f>=N112*(1+N113)</f>
        <v>0</v>
      </c>
      <c r="O114" s="306">
        <f>=O112*(1+O113)</f>
        <v>0</v>
      </c>
      <c r="P114" s="306">
        <f>=P112*(1+P113)</f>
        <v>0</v>
      </c>
      <c r="Q114" s="306">
        <f>=Q112*(1+Q113)</f>
        <v>0</v>
      </c>
      <c r="R114" s="306">
        <f>=R112*(1+R113)</f>
        <v>0</v>
      </c>
      <c r="S114" s="306">
        <f>=S112*(1+S113)</f>
        <v>0</v>
      </c>
      <c r="T114" s="306">
        <f>=T112*(1+T113)</f>
        <v>0</v>
      </c>
      <c r="U114" s="306">
        <f>=U112*(1+U113)</f>
        <v>0</v>
      </c>
      <c r="V114" s="306">
        <f>=V112*(1+V113)</f>
        <v>0</v>
      </c>
      <c r="W114" s="306">
        <f>=W112*(1+W113)</f>
        <v>0</v>
      </c>
      <c r="X114" s="306">
        <f>=X112*(1+X113)</f>
        <v>0</v>
      </c>
      <c r="Y114" s="306">
        <f>=Y112*(1+Y113)</f>
        <v>0</v>
      </c>
      <c r="Z114" s="306">
        <f>=Z112*(1+Z113)</f>
        <v>0</v>
      </c>
    </row>
    <row r="115" spans="1:26" ht="12" customHeight="true">
      <c r="A115" s="314" t="s"/>
      <c r="B115" s="334" t="s">
        <v>682</v>
      </c>
      <c r="C115" s="335" t="s"/>
      <c r="D115" s="310" t="s"/>
      <c r="E115" s="336">
        <f>=$C115</f>
        <v>0</v>
      </c>
      <c r="F115" s="336">
        <f>=$C115</f>
        <v>0</v>
      </c>
      <c r="G115" s="336">
        <f>=$C115</f>
        <v>0</v>
      </c>
      <c r="H115" s="336">
        <f>=$C115</f>
        <v>0</v>
      </c>
      <c r="I115" s="336">
        <f>=$C115</f>
        <v>0</v>
      </c>
      <c r="J115" s="336">
        <f>=$C115</f>
        <v>0</v>
      </c>
      <c r="K115" s="336">
        <f>=$C115</f>
        <v>0</v>
      </c>
      <c r="L115" s="336">
        <f>=$C115</f>
        <v>0</v>
      </c>
      <c r="M115" s="336">
        <f>=$C115</f>
        <v>0</v>
      </c>
      <c r="N115" s="336">
        <f>=$C115</f>
        <v>0</v>
      </c>
      <c r="O115" s="336">
        <f>=$C115</f>
        <v>0</v>
      </c>
      <c r="P115" s="336">
        <f>=$C115</f>
        <v>0</v>
      </c>
      <c r="Q115" s="336">
        <f>=$C115</f>
        <v>0</v>
      </c>
      <c r="R115" s="336">
        <f>=$C115</f>
        <v>0</v>
      </c>
      <c r="S115" s="336">
        <f>=$C115</f>
        <v>0</v>
      </c>
      <c r="T115" s="336">
        <f>=$C115</f>
        <v>0</v>
      </c>
      <c r="U115" s="336">
        <f>=$C115</f>
        <v>0</v>
      </c>
      <c r="V115" s="336">
        <f>=$C115</f>
        <v>0</v>
      </c>
      <c r="W115" s="336">
        <f>=$C115</f>
        <v>0</v>
      </c>
      <c r="X115" s="336">
        <f>=$C115</f>
        <v>0</v>
      </c>
      <c r="Y115" s="336">
        <f>=$C115</f>
        <v>0</v>
      </c>
      <c r="Z115" s="336">
        <f>=$C115</f>
        <v>0</v>
      </c>
    </row>
    <row r="116" spans="1:26" ht="12" customHeight="true">
      <c r="A116" s="314" t="s"/>
      <c r="B116" s="334" t="s">
        <v>656</v>
      </c>
      <c r="C116" s="337" t="s"/>
      <c r="D116" s="306">
        <f>=SUM(E116:Z116)</f>
        <v>0</v>
      </c>
      <c r="E116" s="306">
        <f>=IF(E113=0,E114*E115/(1+E115),E114*E115)</f>
        <v>0</v>
      </c>
      <c r="F116" s="306">
        <f>=IF(F113=0,F114*F115/(1+F115),F114*F115)</f>
        <v>0</v>
      </c>
      <c r="G116" s="306">
        <f>=IF(G113=0,G114*G115/(1+G115),G114*G115)</f>
        <v>0</v>
      </c>
      <c r="H116" s="306">
        <f>=IF(H113=0,H114*H115/(1+H115),H114*H115)</f>
        <v>0</v>
      </c>
      <c r="I116" s="306">
        <f>=IF(I113=0,I114*I115/(1+I115),I114*I115)</f>
        <v>0</v>
      </c>
      <c r="J116" s="306">
        <f>=IF(J113=0,J114*J115/(1+J115),J114*J115)</f>
        <v>0</v>
      </c>
      <c r="K116" s="306">
        <f>=IF(K113=0,K114*K115/(1+K115),K114*K115)</f>
        <v>0</v>
      </c>
      <c r="L116" s="306">
        <f>=IF(L113=0,L114*L115/(1+L115),L114*L115)</f>
        <v>0</v>
      </c>
      <c r="M116" s="306">
        <f>=IF(M113=0,M114*M115/(1+M115),M114*M115)</f>
        <v>0</v>
      </c>
      <c r="N116" s="306">
        <f>=IF(N113=0,N114*N115/(1+N115),N114*N115)</f>
        <v>0</v>
      </c>
      <c r="O116" s="306">
        <f>=IF(O113=0,O114*O115/(1+O115),O114*O115)</f>
        <v>0</v>
      </c>
      <c r="P116" s="306">
        <f>=IF(P113=0,P114*P115/(1+P115),P114*P115)</f>
        <v>0</v>
      </c>
      <c r="Q116" s="306">
        <f>=IF(Q113=0,Q114*Q115/(1+Q115),Q114*Q115)</f>
        <v>0</v>
      </c>
      <c r="R116" s="306">
        <f>=IF(R113=0,R114*R115/(1+R115),R114*R115)</f>
        <v>0</v>
      </c>
      <c r="S116" s="306">
        <f>=IF(S113=0,S114*S115/(1+S115),S114*S115)</f>
        <v>0</v>
      </c>
      <c r="T116" s="306">
        <f>=IF(T113=0,T114*T115/(1+T115),T114*T115)</f>
        <v>0</v>
      </c>
      <c r="U116" s="306">
        <f>=IF(U113=0,U114*U115/(1+U115),U114*U115)</f>
        <v>0</v>
      </c>
      <c r="V116" s="306">
        <f>=IF(V113=0,V114*V115/(1+V115),V114*V115)</f>
        <v>0</v>
      </c>
      <c r="W116" s="306">
        <f>=IF(W113=0,W114*W115/(1+W115),W114*W115)</f>
        <v>0</v>
      </c>
      <c r="X116" s="306">
        <f>=IF(X113=0,X114*X115/(1+X115),X114*X115)</f>
        <v>0</v>
      </c>
      <c r="Y116" s="306">
        <f>=IF(Y113=0,Y114*Y115/(1+Y115),Y114*Y115)</f>
        <v>0</v>
      </c>
      <c r="Z116" s="306">
        <f>=IF(Z113=0,Z114*Z115/(1+Z115),Z114*Z115)</f>
        <v>0</v>
      </c>
    </row>
    <row r="117" spans="1:26" ht="12" customHeight="true">
      <c r="A117" s="314" t="s"/>
      <c r="B117" s="334" t="s">
        <v>1242</v>
      </c>
      <c r="C117" s="337" t="s"/>
      <c r="D117" s="306">
        <f>=SUM(E117:Z117)</f>
        <v>0</v>
      </c>
      <c r="E117" s="306">
        <f>=IF(E113=0,E112,E114+E116)</f>
        <v>0</v>
      </c>
      <c r="F117" s="306">
        <f>=IF(F113=0,F112,F114+F116)</f>
        <v>0</v>
      </c>
      <c r="G117" s="306">
        <f>=IF(G113=0,G112,G114+G116)</f>
        <v>0</v>
      </c>
      <c r="H117" s="306">
        <f>=IF(H113=0,H112,H114+H116)</f>
        <v>0</v>
      </c>
      <c r="I117" s="306">
        <f>=IF(I113=0,I112,I114+I116)</f>
        <v>0</v>
      </c>
      <c r="J117" s="306">
        <f>=IF(J113=0,J112,J114+J116)</f>
        <v>0</v>
      </c>
      <c r="K117" s="306">
        <f>=IF(K113=0,K112,K114+K116)</f>
        <v>0</v>
      </c>
      <c r="L117" s="306">
        <f>=IF(L113=0,L112,L114+L116)</f>
        <v>0</v>
      </c>
      <c r="M117" s="306">
        <f>=IF(M113=0,M112,M114+M116)</f>
        <v>0</v>
      </c>
      <c r="N117" s="306">
        <f>=IF(N113=0,N112,N114+N116)</f>
        <v>0</v>
      </c>
      <c r="O117" s="306">
        <f>=IF(O113=0,O112,O114+O116)</f>
        <v>0</v>
      </c>
      <c r="P117" s="306">
        <f>=IF(P113=0,P112,P114+P116)</f>
        <v>0</v>
      </c>
      <c r="Q117" s="306">
        <f>=IF(Q113=0,Q112,Q114+Q116)</f>
        <v>0</v>
      </c>
      <c r="R117" s="306">
        <f>=IF(R113=0,R112,R114+R116)</f>
        <v>0</v>
      </c>
      <c r="S117" s="306">
        <f>=IF(S113=0,S112,S114+S116)</f>
        <v>0</v>
      </c>
      <c r="T117" s="306">
        <f>=IF(T113=0,T112,T114+T116)</f>
        <v>0</v>
      </c>
      <c r="U117" s="306">
        <f>=IF(U113=0,U112,U114+U116)</f>
        <v>0</v>
      </c>
      <c r="V117" s="306">
        <f>=IF(V113=0,V112,V114+V116)</f>
        <v>0</v>
      </c>
      <c r="W117" s="306">
        <f>=IF(W113=0,W112,W114+W116)</f>
        <v>0</v>
      </c>
      <c r="X117" s="306">
        <f>=IF(X113=0,X112,X114+X116)</f>
        <v>0</v>
      </c>
      <c r="Y117" s="306">
        <f>=IF(Y113=0,Y112,Y114+Y116)</f>
        <v>0</v>
      </c>
      <c r="Z117" s="306">
        <f>=IF(Z113=0,Z112,Z114+Z116)</f>
        <v>0</v>
      </c>
    </row>
    <row r="118" spans="1:26" ht="12" customHeight="true">
      <c r="A118" s="583" t="s">
        <v>1244</v>
      </c>
      <c r="B118" s="580" t="s"/>
      <c r="C118" s="580" t="s"/>
      <c r="D118" s="316" t="s">
        <v>672</v>
      </c>
      <c r="E118" s="581" t="s"/>
      <c r="F118" s="581" t="s"/>
      <c r="G118" s="581" t="s"/>
      <c r="H118" s="581" t="s"/>
      <c r="I118" s="581" t="s"/>
      <c r="J118" s="581" t="s"/>
      <c r="K118" s="581" t="s"/>
      <c r="L118" s="581" t="s"/>
      <c r="M118" s="581" t="s"/>
      <c r="N118" s="581" t="s"/>
      <c r="O118" s="581" t="s"/>
      <c r="P118" s="581" t="s"/>
      <c r="Q118" s="581" t="s"/>
      <c r="R118" s="581" t="s"/>
      <c r="S118" s="581" t="s"/>
      <c r="T118" s="581" t="s"/>
      <c r="U118" s="581" t="s"/>
      <c r="V118" s="581" t="s"/>
      <c r="W118" s="581" t="s"/>
      <c r="X118" s="581" t="s"/>
      <c r="Y118" s="581" t="s"/>
      <c r="Z118" s="581" t="s"/>
    </row>
    <row r="119" spans="1:26" ht="12" customHeight="true">
      <c r="A119" s="314" t="s"/>
      <c r="B119" s="318" t="s">
        <v>688</v>
      </c>
      <c r="C119" s="319" t="s"/>
      <c r="D119" s="320" t="s">
        <v>674</v>
      </c>
      <c r="E119" s="331" t="s"/>
      <c r="F119" s="331" t="s"/>
      <c r="G119" s="331" t="s"/>
      <c r="H119" s="331" t="s"/>
      <c r="I119" s="331" t="s"/>
      <c r="J119" s="331" t="s"/>
      <c r="K119" s="331" t="s"/>
      <c r="L119" s="331" t="s"/>
      <c r="M119" s="331" t="s"/>
      <c r="N119" s="331" t="s"/>
      <c r="O119" s="331" t="s"/>
      <c r="P119" s="331" t="s"/>
      <c r="Q119" s="331" t="s"/>
      <c r="R119" s="331" t="s"/>
      <c r="S119" s="331" t="s"/>
      <c r="T119" s="331" t="s"/>
      <c r="U119" s="331" t="s"/>
      <c r="V119" s="331" t="s"/>
      <c r="W119" s="331" t="s"/>
      <c r="X119" s="331" t="s"/>
      <c r="Y119" s="331" t="s"/>
      <c r="Z119" s="331" t="s"/>
    </row>
    <row r="120" spans="1:26" ht="12" customHeight="true">
      <c r="A120" s="314" t="s"/>
      <c r="B120" s="323" t="s">
        <v>534</v>
      </c>
      <c r="C120" s="324">
        <f>=IF($D119="美元",辅助表1评估项目基础数据表!$C$17,IF($D119="其他外币",辅助表1评估项目基础数据表!$C$18,1))</f>
        <v>1</v>
      </c>
      <c r="D120" s="300" t="s"/>
      <c r="E120" s="325">
        <f>=$C120</f>
        <v>1</v>
      </c>
      <c r="F120" s="325">
        <f>=$C120</f>
        <v>1</v>
      </c>
      <c r="G120" s="325">
        <f>=$C120</f>
        <v>1</v>
      </c>
      <c r="H120" s="325">
        <f>=$C120</f>
        <v>1</v>
      </c>
      <c r="I120" s="325">
        <f>=$C120</f>
        <v>1</v>
      </c>
      <c r="J120" s="325">
        <f>=$C120</f>
        <v>1</v>
      </c>
      <c r="K120" s="325">
        <f>=$C120</f>
        <v>1</v>
      </c>
      <c r="L120" s="325">
        <f>=$C120</f>
        <v>1</v>
      </c>
      <c r="M120" s="325">
        <f>=$C120</f>
        <v>1</v>
      </c>
      <c r="N120" s="325">
        <f>=$C120</f>
        <v>1</v>
      </c>
      <c r="O120" s="325">
        <f>=$C120</f>
        <v>1</v>
      </c>
      <c r="P120" s="325">
        <f>=$C120</f>
        <v>1</v>
      </c>
      <c r="Q120" s="325">
        <f>=$C120</f>
        <v>1</v>
      </c>
      <c r="R120" s="325">
        <f>=$C120</f>
        <v>1</v>
      </c>
      <c r="S120" s="325">
        <f>=$C120</f>
        <v>1</v>
      </c>
      <c r="T120" s="325">
        <f>=$C120</f>
        <v>1</v>
      </c>
      <c r="U120" s="325">
        <f>=$C120</f>
        <v>1</v>
      </c>
      <c r="V120" s="325">
        <f>=$C120</f>
        <v>1</v>
      </c>
      <c r="W120" s="325">
        <f>=$C120</f>
        <v>1</v>
      </c>
      <c r="X120" s="325">
        <f>=$C120</f>
        <v>1</v>
      </c>
      <c r="Y120" s="325">
        <f>=$C120</f>
        <v>1</v>
      </c>
      <c r="Z120" s="325">
        <f>=$C120</f>
        <v>1</v>
      </c>
    </row>
    <row r="121" spans="1:26" ht="12" customHeight="true">
      <c r="A121" s="314" t="s"/>
      <c r="B121" s="326" t="s">
        <v>676</v>
      </c>
      <c r="C121" s="327" t="s"/>
      <c r="D121" s="310" t="s"/>
      <c r="E121" s="328">
        <f>=E119*E120</f>
        <v>0</v>
      </c>
      <c r="F121" s="328">
        <f>=F119*F120</f>
        <v>0</v>
      </c>
      <c r="G121" s="328">
        <f>=G119*G120</f>
        <v>0</v>
      </c>
      <c r="H121" s="328">
        <f>=H119*H120</f>
        <v>0</v>
      </c>
      <c r="I121" s="328">
        <f>=I119*I120</f>
        <v>0</v>
      </c>
      <c r="J121" s="328">
        <f>=J119*J120</f>
        <v>0</v>
      </c>
      <c r="K121" s="328">
        <f>=K119*K120</f>
        <v>0</v>
      </c>
      <c r="L121" s="328">
        <f>=L119*L120</f>
        <v>0</v>
      </c>
      <c r="M121" s="328">
        <f>=M119*M120</f>
        <v>0</v>
      </c>
      <c r="N121" s="328">
        <f>=N119*N120</f>
        <v>0</v>
      </c>
      <c r="O121" s="328">
        <f>=O119*O120</f>
        <v>0</v>
      </c>
      <c r="P121" s="328">
        <f>=P119*P120</f>
        <v>0</v>
      </c>
      <c r="Q121" s="328">
        <f>=Q119*Q120</f>
        <v>0</v>
      </c>
      <c r="R121" s="328">
        <f>=R119*R120</f>
        <v>0</v>
      </c>
      <c r="S121" s="328">
        <f>=S119*S120</f>
        <v>0</v>
      </c>
      <c r="T121" s="328">
        <f>=T119*T120</f>
        <v>0</v>
      </c>
      <c r="U121" s="328">
        <f>=U119*U120</f>
        <v>0</v>
      </c>
      <c r="V121" s="328">
        <f>=V119*V120</f>
        <v>0</v>
      </c>
      <c r="W121" s="328">
        <f>=W119*W120</f>
        <v>0</v>
      </c>
      <c r="X121" s="328">
        <f>=X119*X120</f>
        <v>0</v>
      </c>
      <c r="Y121" s="328">
        <f>=Y119*Y120</f>
        <v>0</v>
      </c>
      <c r="Z121" s="328">
        <f>=Z119*Z120</f>
        <v>0</v>
      </c>
    </row>
    <row r="122" spans="1:26" ht="12" customHeight="true">
      <c r="A122" s="314" t="s"/>
      <c r="B122" s="333" t="s">
        <v>1236</v>
      </c>
      <c r="C122" s="330" t="s"/>
      <c r="D122" s="306">
        <f>=SUM(E122:Z122)</f>
        <v>0</v>
      </c>
      <c r="E122" s="331" t="s"/>
      <c r="F122" s="331" t="s"/>
      <c r="G122" s="331" t="s"/>
      <c r="H122" s="331" t="s"/>
      <c r="I122" s="331" t="s"/>
      <c r="J122" s="331" t="s"/>
      <c r="K122" s="331" t="s"/>
      <c r="L122" s="331" t="s"/>
      <c r="M122" s="331" t="s"/>
      <c r="N122" s="331" t="s"/>
      <c r="O122" s="331" t="s"/>
      <c r="P122" s="331" t="s"/>
      <c r="Q122" s="331" t="s"/>
      <c r="R122" s="331" t="s"/>
      <c r="S122" s="331" t="s"/>
      <c r="T122" s="331" t="s"/>
      <c r="U122" s="331" t="s"/>
      <c r="V122" s="331" t="s"/>
      <c r="W122" s="331" t="s"/>
      <c r="X122" s="331" t="s"/>
      <c r="Y122" s="331" t="s"/>
      <c r="Z122" s="331" t="s"/>
    </row>
    <row r="123" spans="1:26" ht="12" customHeight="true">
      <c r="A123" s="314" t="s"/>
      <c r="B123" s="333" t="s">
        <v>1238</v>
      </c>
      <c r="C123" s="333" t="s"/>
      <c r="D123" s="306">
        <f>=SUM(E123:Z123)</f>
        <v>0</v>
      </c>
      <c r="E123" s="306">
        <f>=E121*E122</f>
        <v>0</v>
      </c>
      <c r="F123" s="306">
        <f>=F121*F122</f>
        <v>0</v>
      </c>
      <c r="G123" s="306">
        <f>=G121*G122</f>
        <v>0</v>
      </c>
      <c r="H123" s="306">
        <f>=H121*H122</f>
        <v>0</v>
      </c>
      <c r="I123" s="306">
        <f>=I121*I122</f>
        <v>0</v>
      </c>
      <c r="J123" s="306">
        <f>=J121*J122</f>
        <v>0</v>
      </c>
      <c r="K123" s="306">
        <f>=K121*K122</f>
        <v>0</v>
      </c>
      <c r="L123" s="306">
        <f>=L121*L122</f>
        <v>0</v>
      </c>
      <c r="M123" s="306">
        <f>=M121*M122</f>
        <v>0</v>
      </c>
      <c r="N123" s="306">
        <f>=N121*N122</f>
        <v>0</v>
      </c>
      <c r="O123" s="306">
        <f>=O121*O122</f>
        <v>0</v>
      </c>
      <c r="P123" s="306">
        <f>=P121*P122</f>
        <v>0</v>
      </c>
      <c r="Q123" s="306">
        <f>=Q121*Q122</f>
        <v>0</v>
      </c>
      <c r="R123" s="306">
        <f>=R121*R122</f>
        <v>0</v>
      </c>
      <c r="S123" s="306">
        <f>=S121*S122</f>
        <v>0</v>
      </c>
      <c r="T123" s="306">
        <f>=T121*T122</f>
        <v>0</v>
      </c>
      <c r="U123" s="306">
        <f>=U121*U122</f>
        <v>0</v>
      </c>
      <c r="V123" s="306">
        <f>=V121*V122</f>
        <v>0</v>
      </c>
      <c r="W123" s="306">
        <f>=W121*W122</f>
        <v>0</v>
      </c>
      <c r="X123" s="306">
        <f>=X121*X122</f>
        <v>0</v>
      </c>
      <c r="Y123" s="306">
        <f>=Y121*Y122</f>
        <v>0</v>
      </c>
      <c r="Z123" s="306">
        <f>=Z121*Z122</f>
        <v>0</v>
      </c>
    </row>
    <row r="124" spans="1:26" ht="12" customHeight="true">
      <c r="A124" s="314" t="s"/>
      <c r="B124" s="334" t="s">
        <v>1240</v>
      </c>
      <c r="C124" s="335" t="s"/>
      <c r="D124" s="310" t="s"/>
      <c r="E124" s="336">
        <f>=$C124</f>
        <v>0</v>
      </c>
      <c r="F124" s="336">
        <f>=$C124</f>
        <v>0</v>
      </c>
      <c r="G124" s="336">
        <f>=$C124</f>
        <v>0</v>
      </c>
      <c r="H124" s="336">
        <f>=$C124</f>
        <v>0</v>
      </c>
      <c r="I124" s="336">
        <f>=$C124</f>
        <v>0</v>
      </c>
      <c r="J124" s="336">
        <f>=$C124</f>
        <v>0</v>
      </c>
      <c r="K124" s="336">
        <f>=$C124</f>
        <v>0</v>
      </c>
      <c r="L124" s="336">
        <f>=$C124</f>
        <v>0</v>
      </c>
      <c r="M124" s="336">
        <f>=$C124</f>
        <v>0</v>
      </c>
      <c r="N124" s="336">
        <f>=$C124</f>
        <v>0</v>
      </c>
      <c r="O124" s="336">
        <f>=$C124</f>
        <v>0</v>
      </c>
      <c r="P124" s="336">
        <f>=$C124</f>
        <v>0</v>
      </c>
      <c r="Q124" s="336">
        <f>=$C124</f>
        <v>0</v>
      </c>
      <c r="R124" s="336">
        <f>=$C124</f>
        <v>0</v>
      </c>
      <c r="S124" s="336">
        <f>=$C124</f>
        <v>0</v>
      </c>
      <c r="T124" s="336">
        <f>=$C124</f>
        <v>0</v>
      </c>
      <c r="U124" s="336">
        <f>=$C124</f>
        <v>0</v>
      </c>
      <c r="V124" s="336">
        <f>=$C124</f>
        <v>0</v>
      </c>
      <c r="W124" s="336">
        <f>=$C124</f>
        <v>0</v>
      </c>
      <c r="X124" s="336">
        <f>=$C124</f>
        <v>0</v>
      </c>
      <c r="Y124" s="336">
        <f>=$C124</f>
        <v>0</v>
      </c>
      <c r="Z124" s="336">
        <f>=$C124</f>
        <v>0</v>
      </c>
    </row>
    <row r="125" spans="1:26" ht="12" customHeight="true">
      <c r="A125" s="314" t="s"/>
      <c r="B125" s="334" t="s">
        <v>1229</v>
      </c>
      <c r="C125" s="310" t="s"/>
      <c r="D125" s="306">
        <f>=SUM(E125:Z125)</f>
        <v>0</v>
      </c>
      <c r="E125" s="306">
        <f>=E123*(1+E124)</f>
        <v>0</v>
      </c>
      <c r="F125" s="306">
        <f>=F123*(1+F124)</f>
        <v>0</v>
      </c>
      <c r="G125" s="306">
        <f>=G123*(1+G124)</f>
        <v>0</v>
      </c>
      <c r="H125" s="306">
        <f>=H123*(1+H124)</f>
        <v>0</v>
      </c>
      <c r="I125" s="306">
        <f>=I123*(1+I124)</f>
        <v>0</v>
      </c>
      <c r="J125" s="306">
        <f>=J123*(1+J124)</f>
        <v>0</v>
      </c>
      <c r="K125" s="306">
        <f>=K123*(1+K124)</f>
        <v>0</v>
      </c>
      <c r="L125" s="306">
        <f>=L123*(1+L124)</f>
        <v>0</v>
      </c>
      <c r="M125" s="306">
        <f>=M123*(1+M124)</f>
        <v>0</v>
      </c>
      <c r="N125" s="306">
        <f>=N123*(1+N124)</f>
        <v>0</v>
      </c>
      <c r="O125" s="306">
        <f>=O123*(1+O124)</f>
        <v>0</v>
      </c>
      <c r="P125" s="306">
        <f>=P123*(1+P124)</f>
        <v>0</v>
      </c>
      <c r="Q125" s="306">
        <f>=Q123*(1+Q124)</f>
        <v>0</v>
      </c>
      <c r="R125" s="306">
        <f>=R123*(1+R124)</f>
        <v>0</v>
      </c>
      <c r="S125" s="306">
        <f>=S123*(1+S124)</f>
        <v>0</v>
      </c>
      <c r="T125" s="306">
        <f>=T123*(1+T124)</f>
        <v>0</v>
      </c>
      <c r="U125" s="306">
        <f>=U123*(1+U124)</f>
        <v>0</v>
      </c>
      <c r="V125" s="306">
        <f>=V123*(1+V124)</f>
        <v>0</v>
      </c>
      <c r="W125" s="306">
        <f>=W123*(1+W124)</f>
        <v>0</v>
      </c>
      <c r="X125" s="306">
        <f>=X123*(1+X124)</f>
        <v>0</v>
      </c>
      <c r="Y125" s="306">
        <f>=Y123*(1+Y124)</f>
        <v>0</v>
      </c>
      <c r="Z125" s="306">
        <f>=Z123*(1+Z124)</f>
        <v>0</v>
      </c>
    </row>
    <row r="126" spans="1:26" ht="12" customHeight="true">
      <c r="A126" s="314" t="s"/>
      <c r="B126" s="334" t="s">
        <v>682</v>
      </c>
      <c r="C126" s="335" t="s"/>
      <c r="D126" s="310" t="s"/>
      <c r="E126" s="336">
        <f>=$C126</f>
        <v>0</v>
      </c>
      <c r="F126" s="336">
        <f>=$C126</f>
        <v>0</v>
      </c>
      <c r="G126" s="336">
        <f>=$C126</f>
        <v>0</v>
      </c>
      <c r="H126" s="336">
        <f>=$C126</f>
        <v>0</v>
      </c>
      <c r="I126" s="336">
        <f>=$C126</f>
        <v>0</v>
      </c>
      <c r="J126" s="336">
        <f>=$C126</f>
        <v>0</v>
      </c>
      <c r="K126" s="336">
        <f>=$C126</f>
        <v>0</v>
      </c>
      <c r="L126" s="336">
        <f>=$C126</f>
        <v>0</v>
      </c>
      <c r="M126" s="336">
        <f>=$C126</f>
        <v>0</v>
      </c>
      <c r="N126" s="336">
        <f>=$C126</f>
        <v>0</v>
      </c>
      <c r="O126" s="336">
        <f>=$C126</f>
        <v>0</v>
      </c>
      <c r="P126" s="336">
        <f>=$C126</f>
        <v>0</v>
      </c>
      <c r="Q126" s="336">
        <f>=$C126</f>
        <v>0</v>
      </c>
      <c r="R126" s="336">
        <f>=$C126</f>
        <v>0</v>
      </c>
      <c r="S126" s="336">
        <f>=$C126</f>
        <v>0</v>
      </c>
      <c r="T126" s="336">
        <f>=$C126</f>
        <v>0</v>
      </c>
      <c r="U126" s="336">
        <f>=$C126</f>
        <v>0</v>
      </c>
      <c r="V126" s="336">
        <f>=$C126</f>
        <v>0</v>
      </c>
      <c r="W126" s="336">
        <f>=$C126</f>
        <v>0</v>
      </c>
      <c r="X126" s="336">
        <f>=$C126</f>
        <v>0</v>
      </c>
      <c r="Y126" s="336">
        <f>=$C126</f>
        <v>0</v>
      </c>
      <c r="Z126" s="336">
        <f>=$C126</f>
        <v>0</v>
      </c>
    </row>
    <row r="127" spans="1:26" ht="12" customHeight="true">
      <c r="A127" s="314" t="s"/>
      <c r="B127" s="334" t="s">
        <v>656</v>
      </c>
      <c r="C127" s="337" t="s"/>
      <c r="D127" s="306">
        <f>=SUM(E127:Z127)</f>
        <v>0</v>
      </c>
      <c r="E127" s="306">
        <f>=IF(E124=0,E125*E126/(1+E126),E125*E126)</f>
        <v>0</v>
      </c>
      <c r="F127" s="306">
        <f>=IF(F124=0,F125*F126/(1+F126),F125*F126)</f>
        <v>0</v>
      </c>
      <c r="G127" s="306">
        <f>=IF(G124=0,G125*G126/(1+G126),G125*G126)</f>
        <v>0</v>
      </c>
      <c r="H127" s="306">
        <f>=IF(H124=0,H125*H126/(1+H126),H125*H126)</f>
        <v>0</v>
      </c>
      <c r="I127" s="306">
        <f>=IF(I124=0,I125*I126/(1+I126),I125*I126)</f>
        <v>0</v>
      </c>
      <c r="J127" s="306">
        <f>=IF(J124=0,J125*J126/(1+J126),J125*J126)</f>
        <v>0</v>
      </c>
      <c r="K127" s="306">
        <f>=IF(K124=0,K125*K126/(1+K126),K125*K126)</f>
        <v>0</v>
      </c>
      <c r="L127" s="306">
        <f>=IF(L124=0,L125*L126/(1+L126),L125*L126)</f>
        <v>0</v>
      </c>
      <c r="M127" s="306">
        <f>=IF(M124=0,M125*M126/(1+M126),M125*M126)</f>
        <v>0</v>
      </c>
      <c r="N127" s="306">
        <f>=IF(N124=0,N125*N126/(1+N126),N125*N126)</f>
        <v>0</v>
      </c>
      <c r="O127" s="306">
        <f>=IF(O124=0,O125*O126/(1+O126),O125*O126)</f>
        <v>0</v>
      </c>
      <c r="P127" s="306">
        <f>=IF(P124=0,P125*P126/(1+P126),P125*P126)</f>
        <v>0</v>
      </c>
      <c r="Q127" s="306">
        <f>=IF(Q124=0,Q125*Q126/(1+Q126),Q125*Q126)</f>
        <v>0</v>
      </c>
      <c r="R127" s="306">
        <f>=IF(R124=0,R125*R126/(1+R126),R125*R126)</f>
        <v>0</v>
      </c>
      <c r="S127" s="306">
        <f>=IF(S124=0,S125*S126/(1+S126),S125*S126)</f>
        <v>0</v>
      </c>
      <c r="T127" s="306">
        <f>=IF(T124=0,T125*T126/(1+T126),T125*T126)</f>
        <v>0</v>
      </c>
      <c r="U127" s="306">
        <f>=IF(U124=0,U125*U126/(1+U126),U125*U126)</f>
        <v>0</v>
      </c>
      <c r="V127" s="306">
        <f>=IF(V124=0,V125*V126/(1+V126),V125*V126)</f>
        <v>0</v>
      </c>
      <c r="W127" s="306">
        <f>=IF(W124=0,W125*W126/(1+W126),W125*W126)</f>
        <v>0</v>
      </c>
      <c r="X127" s="306">
        <f>=IF(X124=0,X125*X126/(1+X126),X125*X126)</f>
        <v>0</v>
      </c>
      <c r="Y127" s="306">
        <f>=IF(Y124=0,Y125*Y126/(1+Y126),Y125*Y126)</f>
        <v>0</v>
      </c>
      <c r="Z127" s="306">
        <f>=IF(Z124=0,Z125*Z126/(1+Z126),Z125*Z126)</f>
        <v>0</v>
      </c>
    </row>
    <row r="128" spans="1:26" ht="12" customHeight="true">
      <c r="A128" s="314" t="s"/>
      <c r="B128" s="334" t="s">
        <v>1242</v>
      </c>
      <c r="C128" s="337" t="s"/>
      <c r="D128" s="306">
        <f>=SUM(E128:Z128)</f>
        <v>0</v>
      </c>
      <c r="E128" s="306">
        <f>=IF(E124=0,E123,E125+E127)</f>
        <v>0</v>
      </c>
      <c r="F128" s="306">
        <f>=IF(F124=0,F123,F125+F127)</f>
        <v>0</v>
      </c>
      <c r="G128" s="306">
        <f>=IF(G124=0,G123,G125+G127)</f>
        <v>0</v>
      </c>
      <c r="H128" s="306">
        <f>=IF(H124=0,H123,H125+H127)</f>
        <v>0</v>
      </c>
      <c r="I128" s="306">
        <f>=IF(I124=0,I123,I125+I127)</f>
        <v>0</v>
      </c>
      <c r="J128" s="306">
        <f>=IF(J124=0,J123,J125+J127)</f>
        <v>0</v>
      </c>
      <c r="K128" s="306">
        <f>=IF(K124=0,K123,K125+K127)</f>
        <v>0</v>
      </c>
      <c r="L128" s="306">
        <f>=IF(L124=0,L123,L125+L127)</f>
        <v>0</v>
      </c>
      <c r="M128" s="306">
        <f>=IF(M124=0,M123,M125+M127)</f>
        <v>0</v>
      </c>
      <c r="N128" s="306">
        <f>=IF(N124=0,N123,N125+N127)</f>
        <v>0</v>
      </c>
      <c r="O128" s="306">
        <f>=IF(O124=0,O123,O125+O127)</f>
        <v>0</v>
      </c>
      <c r="P128" s="306">
        <f>=IF(P124=0,P123,P125+P127)</f>
        <v>0</v>
      </c>
      <c r="Q128" s="306">
        <f>=IF(Q124=0,Q123,Q125+Q127)</f>
        <v>0</v>
      </c>
      <c r="R128" s="306">
        <f>=IF(R124=0,R123,R125+R127)</f>
        <v>0</v>
      </c>
      <c r="S128" s="306">
        <f>=IF(S124=0,S123,S125+S127)</f>
        <v>0</v>
      </c>
      <c r="T128" s="306">
        <f>=IF(T124=0,T123,T125+T127)</f>
        <v>0</v>
      </c>
      <c r="U128" s="306">
        <f>=IF(U124=0,U123,U125+U127)</f>
        <v>0</v>
      </c>
      <c r="V128" s="306">
        <f>=IF(V124=0,V123,V125+V127)</f>
        <v>0</v>
      </c>
      <c r="W128" s="306">
        <f>=IF(W124=0,W123,W125+W127)</f>
        <v>0</v>
      </c>
      <c r="X128" s="306">
        <f>=IF(X124=0,X123,X125+X127)</f>
        <v>0</v>
      </c>
      <c r="Y128" s="306">
        <f>=IF(Y124=0,Y123,Y125+Y127)</f>
        <v>0</v>
      </c>
      <c r="Z128" s="306">
        <f>=IF(Z124=0,Z123,Z125+Z127)</f>
        <v>0</v>
      </c>
    </row>
    <row r="129" spans="1:26" ht="12" customHeight="true">
      <c r="A129" s="314">
        <v>2</v>
      </c>
      <c r="B129" s="318" t="s">
        <v>923</v>
      </c>
      <c r="C129" s="319" t="s"/>
      <c r="D129" s="306">
        <f>=SUM(E129:Z129)</f>
        <v>0</v>
      </c>
      <c r="E129" s="306">
        <f>=E140+E151+E162+E173+E184</f>
        <v>0</v>
      </c>
      <c r="F129" s="306">
        <f>=F140+F151+F162+F173+F184</f>
        <v>0</v>
      </c>
      <c r="G129" s="306">
        <f>=G140+G151+G162+G173+G184</f>
        <v>0</v>
      </c>
      <c r="H129" s="306">
        <f>=H140+H151+H162+H173+H184</f>
        <v>0</v>
      </c>
      <c r="I129" s="306">
        <f>=I140+I151+I162+I173+I184</f>
        <v>0</v>
      </c>
      <c r="J129" s="306">
        <f>=J140+J151+J162+J173+J184</f>
        <v>0</v>
      </c>
      <c r="K129" s="306">
        <f>=K140+K151+K162+K173+K184</f>
        <v>0</v>
      </c>
      <c r="L129" s="306">
        <f>=L140+L151+L162+L173+L184</f>
        <v>0</v>
      </c>
      <c r="M129" s="306">
        <f>=M140+M151+M162+M173+M184</f>
        <v>0</v>
      </c>
      <c r="N129" s="306">
        <f>=N140+N151+N162+N173+N184</f>
        <v>0</v>
      </c>
      <c r="O129" s="306">
        <f>=O140+O151+O162+O173+O184</f>
        <v>0</v>
      </c>
      <c r="P129" s="306">
        <f>=P140+P151+P162+P173+P184</f>
        <v>0</v>
      </c>
      <c r="Q129" s="306">
        <f>=Q140+Q151+Q162+Q173+Q184</f>
        <v>0</v>
      </c>
      <c r="R129" s="306">
        <f>=R140+R151+R162+R173+R184</f>
        <v>0</v>
      </c>
      <c r="S129" s="306">
        <f>=S140+S151+S162+S173+S184</f>
        <v>0</v>
      </c>
      <c r="T129" s="306">
        <f>=T140+T151+T162+T173+T184</f>
        <v>0</v>
      </c>
      <c r="U129" s="306">
        <f>=U140+U151+U162+U173+U184</f>
        <v>0</v>
      </c>
      <c r="V129" s="306">
        <f>=V140+V151+V162+V173+V184</f>
        <v>0</v>
      </c>
      <c r="W129" s="306">
        <f>=W140+W151+W162+W173+W184</f>
        <v>0</v>
      </c>
      <c r="X129" s="306">
        <f>=X140+X151+X162+X173+X184</f>
        <v>0</v>
      </c>
      <c r="Y129" s="306">
        <f>=Y140+Y151+Y162+Y173+Y184</f>
        <v>0</v>
      </c>
      <c r="Z129" s="306">
        <f>=Z140+Z151+Z162+Z173+Z184</f>
        <v>0</v>
      </c>
    </row>
    <row r="130" spans="1:26" ht="12" customHeight="true">
      <c r="A130" s="314">
        <v>2.1</v>
      </c>
      <c r="B130" s="580" t="s"/>
      <c r="C130" s="580" t="s"/>
      <c r="D130" s="316" t="s">
        <v>672</v>
      </c>
      <c r="E130" s="316" t="s"/>
      <c r="F130" s="581" t="s"/>
      <c r="G130" s="581" t="s"/>
      <c r="H130" s="581" t="s"/>
      <c r="I130" s="581" t="s"/>
      <c r="J130" s="581" t="s"/>
      <c r="K130" s="581" t="s"/>
      <c r="L130" s="581" t="s"/>
      <c r="M130" s="581" t="s"/>
      <c r="N130" s="581" t="s"/>
      <c r="O130" s="581" t="s"/>
      <c r="P130" s="581" t="s"/>
      <c r="Q130" s="581" t="s"/>
      <c r="R130" s="581" t="s"/>
      <c r="S130" s="581" t="s"/>
      <c r="T130" s="581" t="s"/>
      <c r="U130" s="581" t="s"/>
      <c r="V130" s="581" t="s"/>
      <c r="W130" s="581" t="s"/>
      <c r="X130" s="581" t="s"/>
      <c r="Y130" s="581" t="s"/>
      <c r="Z130" s="581" t="s"/>
    </row>
    <row r="131" spans="1:26" ht="12" customHeight="true">
      <c r="A131" s="314" t="s"/>
      <c r="B131" s="318" t="s">
        <v>688</v>
      </c>
      <c r="C131" s="319" t="s"/>
      <c r="D131" s="320" t="s">
        <v>674</v>
      </c>
      <c r="E131" s="331" t="s"/>
      <c r="F131" s="331" t="s"/>
      <c r="G131" s="331" t="s"/>
      <c r="H131" s="331" t="s"/>
      <c r="I131" s="331" t="s"/>
      <c r="J131" s="331" t="s"/>
      <c r="K131" s="331" t="s"/>
      <c r="L131" s="331" t="s"/>
      <c r="M131" s="331" t="s"/>
      <c r="N131" s="331" t="s"/>
      <c r="O131" s="331" t="s"/>
      <c r="P131" s="331" t="s"/>
      <c r="Q131" s="331" t="s"/>
      <c r="R131" s="331" t="s"/>
      <c r="S131" s="331" t="s"/>
      <c r="T131" s="331" t="s"/>
      <c r="U131" s="331" t="s"/>
      <c r="V131" s="331" t="s"/>
      <c r="W131" s="331" t="s"/>
      <c r="X131" s="331" t="s"/>
      <c r="Y131" s="331" t="s"/>
      <c r="Z131" s="331" t="s"/>
    </row>
    <row r="132" spans="1:26" ht="12" customHeight="true">
      <c r="A132" s="314" t="s"/>
      <c r="B132" s="323" t="s">
        <v>534</v>
      </c>
      <c r="C132" s="324">
        <f>=IF($D131="美元",辅助表1评估项目基础数据表!$C$17,IF($D131="其他外币",辅助表1评估项目基础数据表!$C$18,1))</f>
        <v>1</v>
      </c>
      <c r="D132" s="300" t="s"/>
      <c r="E132" s="325">
        <f>=$C132</f>
        <v>1</v>
      </c>
      <c r="F132" s="325">
        <f>=$C132</f>
        <v>1</v>
      </c>
      <c r="G132" s="325">
        <f>=$C132</f>
        <v>1</v>
      </c>
      <c r="H132" s="325">
        <f>=$C132</f>
        <v>1</v>
      </c>
      <c r="I132" s="325">
        <f>=$C132</f>
        <v>1</v>
      </c>
      <c r="J132" s="325">
        <f>=$C132</f>
        <v>1</v>
      </c>
      <c r="K132" s="325">
        <f>=$C132</f>
        <v>1</v>
      </c>
      <c r="L132" s="325">
        <f>=$C132</f>
        <v>1</v>
      </c>
      <c r="M132" s="325">
        <f>=$C132</f>
        <v>1</v>
      </c>
      <c r="N132" s="325">
        <f>=$C132</f>
        <v>1</v>
      </c>
      <c r="O132" s="325">
        <f>=$C132</f>
        <v>1</v>
      </c>
      <c r="P132" s="325">
        <f>=$C132</f>
        <v>1</v>
      </c>
      <c r="Q132" s="325">
        <f>=$C132</f>
        <v>1</v>
      </c>
      <c r="R132" s="325">
        <f>=$C132</f>
        <v>1</v>
      </c>
      <c r="S132" s="325">
        <f>=$C132</f>
        <v>1</v>
      </c>
      <c r="T132" s="325">
        <f>=$C132</f>
        <v>1</v>
      </c>
      <c r="U132" s="325">
        <f>=$C132</f>
        <v>1</v>
      </c>
      <c r="V132" s="325">
        <f>=$C132</f>
        <v>1</v>
      </c>
      <c r="W132" s="325">
        <f>=$C132</f>
        <v>1</v>
      </c>
      <c r="X132" s="325">
        <f>=$C132</f>
        <v>1</v>
      </c>
      <c r="Y132" s="325">
        <f>=$C132</f>
        <v>1</v>
      </c>
      <c r="Z132" s="325">
        <f>=$C132</f>
        <v>1</v>
      </c>
    </row>
    <row r="133" spans="1:26" ht="12" customHeight="true">
      <c r="A133" s="314" t="s"/>
      <c r="B133" s="326" t="s">
        <v>676</v>
      </c>
      <c r="C133" s="327" t="s"/>
      <c r="D133" s="310" t="s"/>
      <c r="E133" s="328">
        <f>=E131*E132</f>
        <v>0</v>
      </c>
      <c r="F133" s="328">
        <f>=F131*F132</f>
        <v>0</v>
      </c>
      <c r="G133" s="328">
        <f>=G131*G132</f>
        <v>0</v>
      </c>
      <c r="H133" s="328">
        <f>=H131*H132</f>
        <v>0</v>
      </c>
      <c r="I133" s="328">
        <f>=I131*I132</f>
        <v>0</v>
      </c>
      <c r="J133" s="328">
        <f>=J131*J132</f>
        <v>0</v>
      </c>
      <c r="K133" s="328">
        <f>=K131*K132</f>
        <v>0</v>
      </c>
      <c r="L133" s="328">
        <f>=L131*L132</f>
        <v>0</v>
      </c>
      <c r="M133" s="328">
        <f>=M131*M132</f>
        <v>0</v>
      </c>
      <c r="N133" s="328">
        <f>=N131*N132</f>
        <v>0</v>
      </c>
      <c r="O133" s="328">
        <f>=O131*O132</f>
        <v>0</v>
      </c>
      <c r="P133" s="328">
        <f>=P131*P132</f>
        <v>0</v>
      </c>
      <c r="Q133" s="328">
        <f>=Q131*Q132</f>
        <v>0</v>
      </c>
      <c r="R133" s="328">
        <f>=R131*R132</f>
        <v>0</v>
      </c>
      <c r="S133" s="328">
        <f>=S131*S132</f>
        <v>0</v>
      </c>
      <c r="T133" s="328">
        <f>=T131*T132</f>
        <v>0</v>
      </c>
      <c r="U133" s="328">
        <f>=U131*U132</f>
        <v>0</v>
      </c>
      <c r="V133" s="328">
        <f>=V131*V132</f>
        <v>0</v>
      </c>
      <c r="W133" s="328">
        <f>=W131*W132</f>
        <v>0</v>
      </c>
      <c r="X133" s="328">
        <f>=X131*X132</f>
        <v>0</v>
      </c>
      <c r="Y133" s="328">
        <f>=Y131*Y132</f>
        <v>0</v>
      </c>
      <c r="Z133" s="328">
        <f>=Z131*Z132</f>
        <v>0</v>
      </c>
    </row>
    <row r="134" spans="1:26" ht="12" customHeight="true">
      <c r="A134" s="314" t="s"/>
      <c r="B134" s="333" t="s">
        <v>1236</v>
      </c>
      <c r="C134" s="330" t="s"/>
      <c r="D134" s="306">
        <f>=SUM(E134:Z134)</f>
        <v>0</v>
      </c>
      <c r="E134" s="331" t="s"/>
      <c r="F134" s="331" t="s"/>
      <c r="G134" s="331" t="s"/>
      <c r="H134" s="331" t="s"/>
      <c r="I134" s="331" t="s"/>
      <c r="J134" s="331" t="s"/>
      <c r="K134" s="331" t="s"/>
      <c r="L134" s="331" t="s"/>
      <c r="M134" s="331" t="s"/>
      <c r="N134" s="331" t="s"/>
      <c r="O134" s="331" t="s"/>
      <c r="P134" s="331" t="s"/>
      <c r="Q134" s="331" t="s"/>
      <c r="R134" s="331" t="s"/>
      <c r="S134" s="331" t="s"/>
      <c r="T134" s="331" t="s"/>
      <c r="U134" s="331" t="s"/>
      <c r="V134" s="331" t="s"/>
      <c r="W134" s="331" t="s"/>
      <c r="X134" s="331" t="s"/>
      <c r="Y134" s="331" t="s"/>
      <c r="Z134" s="331" t="s"/>
    </row>
    <row r="135" spans="1:26" ht="12" customHeight="true">
      <c r="A135" s="314" t="s"/>
      <c r="B135" s="333" t="s">
        <v>1238</v>
      </c>
      <c r="C135" s="333" t="s"/>
      <c r="D135" s="306">
        <f>=SUM(E135:Z135)</f>
        <v>0</v>
      </c>
      <c r="E135" s="306">
        <f>=E133*E134</f>
        <v>0</v>
      </c>
      <c r="F135" s="306">
        <f>=F133*F134</f>
        <v>0</v>
      </c>
      <c r="G135" s="306">
        <f>=G133*G134</f>
        <v>0</v>
      </c>
      <c r="H135" s="306">
        <f>=H133*H134</f>
        <v>0</v>
      </c>
      <c r="I135" s="306">
        <f>=I133*I134</f>
        <v>0</v>
      </c>
      <c r="J135" s="306">
        <f>=J133*J134</f>
        <v>0</v>
      </c>
      <c r="K135" s="306">
        <f>=K133*K134</f>
        <v>0</v>
      </c>
      <c r="L135" s="306">
        <f>=L133*L134</f>
        <v>0</v>
      </c>
      <c r="M135" s="306">
        <f>=M133*M134</f>
        <v>0</v>
      </c>
      <c r="N135" s="306">
        <f>=N133*N134</f>
        <v>0</v>
      </c>
      <c r="O135" s="306">
        <f>=O133*O134</f>
        <v>0</v>
      </c>
      <c r="P135" s="306">
        <f>=P133*P134</f>
        <v>0</v>
      </c>
      <c r="Q135" s="306">
        <f>=Q133*Q134</f>
        <v>0</v>
      </c>
      <c r="R135" s="306">
        <f>=R133*R134</f>
        <v>0</v>
      </c>
      <c r="S135" s="306">
        <f>=S133*S134</f>
        <v>0</v>
      </c>
      <c r="T135" s="306">
        <f>=T133*T134</f>
        <v>0</v>
      </c>
      <c r="U135" s="306">
        <f>=U133*U134</f>
        <v>0</v>
      </c>
      <c r="V135" s="306">
        <f>=V133*V134</f>
        <v>0</v>
      </c>
      <c r="W135" s="306">
        <f>=W133*W134</f>
        <v>0</v>
      </c>
      <c r="X135" s="306">
        <f>=X133*X134</f>
        <v>0</v>
      </c>
      <c r="Y135" s="306">
        <f>=Y133*Y134</f>
        <v>0</v>
      </c>
      <c r="Z135" s="306">
        <f>=Z133*Z134</f>
        <v>0</v>
      </c>
    </row>
    <row r="136" spans="1:26" ht="12" customHeight="true">
      <c r="A136" s="314" t="s"/>
      <c r="B136" s="334" t="s">
        <v>1240</v>
      </c>
      <c r="C136" s="335" t="s"/>
      <c r="D136" s="310" t="s"/>
      <c r="E136" s="336">
        <f>=$C136</f>
        <v>0</v>
      </c>
      <c r="F136" s="336">
        <f>=$C136</f>
        <v>0</v>
      </c>
      <c r="G136" s="336">
        <f>=$C136</f>
        <v>0</v>
      </c>
      <c r="H136" s="336">
        <f>=$C136</f>
        <v>0</v>
      </c>
      <c r="I136" s="336">
        <f>=$C136</f>
        <v>0</v>
      </c>
      <c r="J136" s="336">
        <f>=$C136</f>
        <v>0</v>
      </c>
      <c r="K136" s="336">
        <f>=$C136</f>
        <v>0</v>
      </c>
      <c r="L136" s="336">
        <f>=$C136</f>
        <v>0</v>
      </c>
      <c r="M136" s="336">
        <f>=$C136</f>
        <v>0</v>
      </c>
      <c r="N136" s="336">
        <f>=$C136</f>
        <v>0</v>
      </c>
      <c r="O136" s="336">
        <f>=$C136</f>
        <v>0</v>
      </c>
      <c r="P136" s="336">
        <f>=$C136</f>
        <v>0</v>
      </c>
      <c r="Q136" s="336">
        <f>=$C136</f>
        <v>0</v>
      </c>
      <c r="R136" s="336">
        <f>=$C136</f>
        <v>0</v>
      </c>
      <c r="S136" s="336">
        <f>=$C136</f>
        <v>0</v>
      </c>
      <c r="T136" s="336">
        <f>=$C136</f>
        <v>0</v>
      </c>
      <c r="U136" s="336">
        <f>=$C136</f>
        <v>0</v>
      </c>
      <c r="V136" s="336">
        <f>=$C136</f>
        <v>0</v>
      </c>
      <c r="W136" s="336">
        <f>=$C136</f>
        <v>0</v>
      </c>
      <c r="X136" s="336">
        <f>=$C136</f>
        <v>0</v>
      </c>
      <c r="Y136" s="336">
        <f>=$C136</f>
        <v>0</v>
      </c>
      <c r="Z136" s="336">
        <f>=$C136</f>
        <v>0</v>
      </c>
    </row>
    <row r="137" spans="1:26" ht="12" customHeight="true">
      <c r="A137" s="314" t="s"/>
      <c r="B137" s="334" t="s">
        <v>1229</v>
      </c>
      <c r="C137" s="310" t="s"/>
      <c r="D137" s="306">
        <f>=SUM(E137:Z137)</f>
        <v>0</v>
      </c>
      <c r="E137" s="306">
        <f>=E135*(1+E136)</f>
        <v>0</v>
      </c>
      <c r="F137" s="306">
        <f>=F135*(1+F136)</f>
        <v>0</v>
      </c>
      <c r="G137" s="306">
        <f>=G135*(1+G136)</f>
        <v>0</v>
      </c>
      <c r="H137" s="306">
        <f>=H135*(1+H136)</f>
        <v>0</v>
      </c>
      <c r="I137" s="306">
        <f>=I135*(1+I136)</f>
        <v>0</v>
      </c>
      <c r="J137" s="306">
        <f>=J135*(1+J136)</f>
        <v>0</v>
      </c>
      <c r="K137" s="306">
        <f>=K135*(1+K136)</f>
        <v>0</v>
      </c>
      <c r="L137" s="306">
        <f>=L135*(1+L136)</f>
        <v>0</v>
      </c>
      <c r="M137" s="306">
        <f>=M135*(1+M136)</f>
        <v>0</v>
      </c>
      <c r="N137" s="306">
        <f>=N135*(1+N136)</f>
        <v>0</v>
      </c>
      <c r="O137" s="306">
        <f>=O135*(1+O136)</f>
        <v>0</v>
      </c>
      <c r="P137" s="306">
        <f>=P135*(1+P136)</f>
        <v>0</v>
      </c>
      <c r="Q137" s="306">
        <f>=Q135*(1+Q136)</f>
        <v>0</v>
      </c>
      <c r="R137" s="306">
        <f>=R135*(1+R136)</f>
        <v>0</v>
      </c>
      <c r="S137" s="306">
        <f>=S135*(1+S136)</f>
        <v>0</v>
      </c>
      <c r="T137" s="306">
        <f>=T135*(1+T136)</f>
        <v>0</v>
      </c>
      <c r="U137" s="306">
        <f>=U135*(1+U136)</f>
        <v>0</v>
      </c>
      <c r="V137" s="306">
        <f>=V135*(1+V136)</f>
        <v>0</v>
      </c>
      <c r="W137" s="306">
        <f>=W135*(1+W136)</f>
        <v>0</v>
      </c>
      <c r="X137" s="306">
        <f>=X135*(1+X136)</f>
        <v>0</v>
      </c>
      <c r="Y137" s="306">
        <f>=Y135*(1+Y136)</f>
        <v>0</v>
      </c>
      <c r="Z137" s="306">
        <f>=Z135*(1+Z136)</f>
        <v>0</v>
      </c>
    </row>
    <row r="138" spans="1:26" ht="12" customHeight="true">
      <c r="A138" s="314" t="s"/>
      <c r="B138" s="334" t="s">
        <v>682</v>
      </c>
      <c r="C138" s="335" t="s"/>
      <c r="D138" s="310" t="s"/>
      <c r="E138" s="336">
        <f>=$C138</f>
        <v>0</v>
      </c>
      <c r="F138" s="336">
        <f>=$C138</f>
        <v>0</v>
      </c>
      <c r="G138" s="336">
        <f>=$C138</f>
        <v>0</v>
      </c>
      <c r="H138" s="336">
        <f>=$C138</f>
        <v>0</v>
      </c>
      <c r="I138" s="336">
        <f>=$C138</f>
        <v>0</v>
      </c>
      <c r="J138" s="336">
        <f>=$C138</f>
        <v>0</v>
      </c>
      <c r="K138" s="336">
        <f>=$C138</f>
        <v>0</v>
      </c>
      <c r="L138" s="336">
        <f>=$C138</f>
        <v>0</v>
      </c>
      <c r="M138" s="336">
        <f>=$C138</f>
        <v>0</v>
      </c>
      <c r="N138" s="336">
        <f>=$C138</f>
        <v>0</v>
      </c>
      <c r="O138" s="336">
        <f>=$C138</f>
        <v>0</v>
      </c>
      <c r="P138" s="336">
        <f>=$C138</f>
        <v>0</v>
      </c>
      <c r="Q138" s="336">
        <f>=$C138</f>
        <v>0</v>
      </c>
      <c r="R138" s="336">
        <f>=$C138</f>
        <v>0</v>
      </c>
      <c r="S138" s="336">
        <f>=$C138</f>
        <v>0</v>
      </c>
      <c r="T138" s="336">
        <f>=$C138</f>
        <v>0</v>
      </c>
      <c r="U138" s="336">
        <f>=$C138</f>
        <v>0</v>
      </c>
      <c r="V138" s="336">
        <f>=$C138</f>
        <v>0</v>
      </c>
      <c r="W138" s="336">
        <f>=$C138</f>
        <v>0</v>
      </c>
      <c r="X138" s="336">
        <f>=$C138</f>
        <v>0</v>
      </c>
      <c r="Y138" s="336">
        <f>=$C138</f>
        <v>0</v>
      </c>
      <c r="Z138" s="336">
        <f>=$C138</f>
        <v>0</v>
      </c>
    </row>
    <row r="139" spans="1:26" ht="12" customHeight="true">
      <c r="A139" s="314" t="s"/>
      <c r="B139" s="334" t="s">
        <v>656</v>
      </c>
      <c r="C139" s="337" t="s"/>
      <c r="D139" s="306">
        <f>=SUM(E139:Z139)</f>
        <v>0</v>
      </c>
      <c r="E139" s="306">
        <f>=IF(E136=0,E137*E138/(1+E138),E137*E138)</f>
        <v>0</v>
      </c>
      <c r="F139" s="306">
        <f>=IF(F136=0,F137*F138/(1+F138),F137*F138)</f>
        <v>0</v>
      </c>
      <c r="G139" s="306">
        <f>=IF(G136=0,G137*G138/(1+G138),G137*G138)</f>
        <v>0</v>
      </c>
      <c r="H139" s="306">
        <f>=IF(H136=0,H137*H138/(1+H138),H137*H138)</f>
        <v>0</v>
      </c>
      <c r="I139" s="306">
        <f>=IF(I136=0,I137*I138/(1+I138),I137*I138)</f>
        <v>0</v>
      </c>
      <c r="J139" s="306">
        <f>=IF(J136=0,J137*J138/(1+J138),J137*J138)</f>
        <v>0</v>
      </c>
      <c r="K139" s="306">
        <f>=IF(K136=0,K137*K138/(1+K138),K137*K138)</f>
        <v>0</v>
      </c>
      <c r="L139" s="306">
        <f>=IF(L136=0,L137*L138/(1+L138),L137*L138)</f>
        <v>0</v>
      </c>
      <c r="M139" s="306">
        <f>=IF(M136=0,M137*M138/(1+M138),M137*M138)</f>
        <v>0</v>
      </c>
      <c r="N139" s="306">
        <f>=IF(N136=0,N137*N138/(1+N138),N137*N138)</f>
        <v>0</v>
      </c>
      <c r="O139" s="306">
        <f>=IF(O136=0,O137*O138/(1+O138),O137*O138)</f>
        <v>0</v>
      </c>
      <c r="P139" s="306">
        <f>=IF(P136=0,P137*P138/(1+P138),P137*P138)</f>
        <v>0</v>
      </c>
      <c r="Q139" s="306">
        <f>=IF(Q136=0,Q137*Q138/(1+Q138),Q137*Q138)</f>
        <v>0</v>
      </c>
      <c r="R139" s="306">
        <f>=IF(R136=0,R137*R138/(1+R138),R137*R138)</f>
        <v>0</v>
      </c>
      <c r="S139" s="306">
        <f>=IF(S136=0,S137*S138/(1+S138),S137*S138)</f>
        <v>0</v>
      </c>
      <c r="T139" s="306">
        <f>=IF(T136=0,T137*T138/(1+T138),T137*T138)</f>
        <v>0</v>
      </c>
      <c r="U139" s="306">
        <f>=IF(U136=0,U137*U138/(1+U138),U137*U138)</f>
        <v>0</v>
      </c>
      <c r="V139" s="306">
        <f>=IF(V136=0,V137*V138/(1+V138),V137*V138)</f>
        <v>0</v>
      </c>
      <c r="W139" s="306">
        <f>=IF(W136=0,W137*W138/(1+W138),W137*W138)</f>
        <v>0</v>
      </c>
      <c r="X139" s="306">
        <f>=IF(X136=0,X137*X138/(1+X138),X137*X138)</f>
        <v>0</v>
      </c>
      <c r="Y139" s="306">
        <f>=IF(Y136=0,Y137*Y138/(1+Y138),Y137*Y138)</f>
        <v>0</v>
      </c>
      <c r="Z139" s="306">
        <f>=IF(Z136=0,Z137*Z138/(1+Z138),Z137*Z138)</f>
        <v>0</v>
      </c>
    </row>
    <row r="140" spans="1:26" ht="12" customHeight="true">
      <c r="A140" s="314" t="s"/>
      <c r="B140" s="334" t="s">
        <v>1242</v>
      </c>
      <c r="C140" s="337" t="s"/>
      <c r="D140" s="306">
        <f>=SUM(E140:Z140)</f>
        <v>0</v>
      </c>
      <c r="E140" s="306">
        <f>=IF(E136=0,E135,E137+E139)</f>
        <v>0</v>
      </c>
      <c r="F140" s="306">
        <f>=IF(F136=0,F135,F137+F139)</f>
        <v>0</v>
      </c>
      <c r="G140" s="306">
        <f>=IF(G136=0,G135,G137+G139)</f>
        <v>0</v>
      </c>
      <c r="H140" s="306">
        <f>=IF(H136=0,H135,H137+H139)</f>
        <v>0</v>
      </c>
      <c r="I140" s="306">
        <f>=IF(I136=0,I135,I137+I139)</f>
        <v>0</v>
      </c>
      <c r="J140" s="306">
        <f>=IF(J136=0,J135,J137+J139)</f>
        <v>0</v>
      </c>
      <c r="K140" s="306">
        <f>=IF(K136=0,K135,K137+K139)</f>
        <v>0</v>
      </c>
      <c r="L140" s="306">
        <f>=IF(L136=0,L135,L137+L139)</f>
        <v>0</v>
      </c>
      <c r="M140" s="306">
        <f>=IF(M136=0,M135,M137+M139)</f>
        <v>0</v>
      </c>
      <c r="N140" s="306">
        <f>=IF(N136=0,N135,N137+N139)</f>
        <v>0</v>
      </c>
      <c r="O140" s="306">
        <f>=IF(O136=0,O135,O137+O139)</f>
        <v>0</v>
      </c>
      <c r="P140" s="306">
        <f>=IF(P136=0,P135,P137+P139)</f>
        <v>0</v>
      </c>
      <c r="Q140" s="306">
        <f>=IF(Q136=0,Q135,Q137+Q139)</f>
        <v>0</v>
      </c>
      <c r="R140" s="306">
        <f>=IF(R136=0,R135,R137+R139)</f>
        <v>0</v>
      </c>
      <c r="S140" s="306">
        <f>=IF(S136=0,S135,S137+S139)</f>
        <v>0</v>
      </c>
      <c r="T140" s="306">
        <f>=IF(T136=0,T135,T137+T139)</f>
        <v>0</v>
      </c>
      <c r="U140" s="306">
        <f>=IF(U136=0,U135,U137+U139)</f>
        <v>0</v>
      </c>
      <c r="V140" s="306">
        <f>=IF(V136=0,V135,V137+V139)</f>
        <v>0</v>
      </c>
      <c r="W140" s="306">
        <f>=IF(W136=0,W135,W137+W139)</f>
        <v>0</v>
      </c>
      <c r="X140" s="306">
        <f>=IF(X136=0,X135,X137+X139)</f>
        <v>0</v>
      </c>
      <c r="Y140" s="306">
        <f>=IF(Y136=0,Y135,Y137+Y139)</f>
        <v>0</v>
      </c>
      <c r="Z140" s="306">
        <f>=IF(Z136=0,Z135,Z137+Z139)</f>
        <v>0</v>
      </c>
    </row>
    <row r="141" spans="1:26" ht="12" customHeight="true">
      <c r="A141" s="314">
        <v>2.2</v>
      </c>
      <c r="B141" s="584" t="s"/>
      <c r="C141" s="584" t="s"/>
      <c r="D141" s="316" t="s">
        <v>672</v>
      </c>
      <c r="E141" s="316" t="s"/>
      <c r="F141" s="316" t="s"/>
      <c r="G141" s="316" t="s"/>
      <c r="H141" s="316" t="s"/>
      <c r="I141" s="316" t="s"/>
      <c r="J141" s="316" t="s"/>
      <c r="K141" s="316" t="s"/>
      <c r="L141" s="316" t="s"/>
      <c r="M141" s="316" t="s"/>
      <c r="N141" s="316" t="s"/>
      <c r="O141" s="316" t="s"/>
      <c r="P141" s="316" t="s"/>
      <c r="Q141" s="316" t="s"/>
      <c r="R141" s="316" t="s"/>
      <c r="S141" s="316" t="s"/>
      <c r="T141" s="316" t="s"/>
      <c r="U141" s="316" t="s"/>
      <c r="V141" s="316" t="s"/>
      <c r="W141" s="316" t="s"/>
      <c r="X141" s="316" t="s"/>
      <c r="Y141" s="316" t="s"/>
      <c r="Z141" s="316" t="s"/>
    </row>
    <row r="142" spans="1:26" ht="12" customHeight="true">
      <c r="A142" s="314" t="s"/>
      <c r="B142" s="318" t="s">
        <v>688</v>
      </c>
      <c r="C142" s="319" t="s"/>
      <c r="D142" s="582" t="s">
        <v>674</v>
      </c>
      <c r="E142" s="331" t="s"/>
      <c r="F142" s="331" t="s"/>
      <c r="G142" s="331" t="s"/>
      <c r="H142" s="331" t="s"/>
      <c r="I142" s="331" t="s"/>
      <c r="J142" s="331" t="s"/>
      <c r="K142" s="331" t="s"/>
      <c r="L142" s="331" t="s"/>
      <c r="M142" s="331" t="s"/>
      <c r="N142" s="331" t="s"/>
      <c r="O142" s="331" t="s"/>
      <c r="P142" s="331" t="s"/>
      <c r="Q142" s="331" t="s"/>
      <c r="R142" s="331" t="s"/>
      <c r="S142" s="331" t="s"/>
      <c r="T142" s="331" t="s"/>
      <c r="U142" s="331" t="s"/>
      <c r="V142" s="331" t="s"/>
      <c r="W142" s="331" t="s"/>
      <c r="X142" s="331" t="s"/>
      <c r="Y142" s="331" t="s"/>
      <c r="Z142" s="331" t="s"/>
    </row>
    <row r="143" spans="1:26" ht="12" customHeight="true">
      <c r="A143" s="314" t="s"/>
      <c r="B143" s="323" t="s">
        <v>534</v>
      </c>
      <c r="C143" s="324">
        <f>=IF($D142="美元",辅助表1评估项目基础数据表!$C$17,IF($D142="其他外币",辅助表1评估项目基础数据表!$C$18,1))</f>
        <v>1</v>
      </c>
      <c r="D143" s="300" t="s"/>
      <c r="E143" s="325">
        <f>=$C143</f>
        <v>1</v>
      </c>
      <c r="F143" s="325">
        <f>=$C143</f>
        <v>1</v>
      </c>
      <c r="G143" s="325">
        <f>=$C143</f>
        <v>1</v>
      </c>
      <c r="H143" s="325">
        <f>=$C143</f>
        <v>1</v>
      </c>
      <c r="I143" s="325">
        <f>=$C143</f>
        <v>1</v>
      </c>
      <c r="J143" s="325">
        <f>=$C143</f>
        <v>1</v>
      </c>
      <c r="K143" s="325">
        <f>=$C143</f>
        <v>1</v>
      </c>
      <c r="L143" s="325">
        <f>=$C143</f>
        <v>1</v>
      </c>
      <c r="M143" s="325">
        <f>=$C143</f>
        <v>1</v>
      </c>
      <c r="N143" s="325">
        <f>=$C143</f>
        <v>1</v>
      </c>
      <c r="O143" s="325">
        <f>=$C143</f>
        <v>1</v>
      </c>
      <c r="P143" s="325">
        <f>=$C143</f>
        <v>1</v>
      </c>
      <c r="Q143" s="325">
        <f>=$C143</f>
        <v>1</v>
      </c>
      <c r="R143" s="325">
        <f>=$C143</f>
        <v>1</v>
      </c>
      <c r="S143" s="325">
        <f>=$C143</f>
        <v>1</v>
      </c>
      <c r="T143" s="325">
        <f>=$C143</f>
        <v>1</v>
      </c>
      <c r="U143" s="325">
        <f>=$C143</f>
        <v>1</v>
      </c>
      <c r="V143" s="325">
        <f>=$C143</f>
        <v>1</v>
      </c>
      <c r="W143" s="325">
        <f>=$C143</f>
        <v>1</v>
      </c>
      <c r="X143" s="325">
        <f>=$C143</f>
        <v>1</v>
      </c>
      <c r="Y143" s="325">
        <f>=$C143</f>
        <v>1</v>
      </c>
      <c r="Z143" s="325">
        <f>=$C143</f>
        <v>1</v>
      </c>
    </row>
    <row r="144" spans="1:26" ht="12" customHeight="true">
      <c r="A144" s="314" t="s"/>
      <c r="B144" s="326" t="s">
        <v>676</v>
      </c>
      <c r="C144" s="327" t="s"/>
      <c r="D144" s="310" t="s"/>
      <c r="E144" s="328">
        <f>=E142*E143</f>
        <v>0</v>
      </c>
      <c r="F144" s="328">
        <f>=F142*F143</f>
        <v>0</v>
      </c>
      <c r="G144" s="328">
        <f>=G142*G143</f>
        <v>0</v>
      </c>
      <c r="H144" s="328">
        <f>=H142*H143</f>
        <v>0</v>
      </c>
      <c r="I144" s="328">
        <f>=I142*I143</f>
        <v>0</v>
      </c>
      <c r="J144" s="328">
        <f>=J142*J143</f>
        <v>0</v>
      </c>
      <c r="K144" s="328">
        <f>=K142*K143</f>
        <v>0</v>
      </c>
      <c r="L144" s="328">
        <f>=L142*L143</f>
        <v>0</v>
      </c>
      <c r="M144" s="328">
        <f>=M142*M143</f>
        <v>0</v>
      </c>
      <c r="N144" s="328">
        <f>=N142*N143</f>
        <v>0</v>
      </c>
      <c r="O144" s="328">
        <f>=O142*O143</f>
        <v>0</v>
      </c>
      <c r="P144" s="328">
        <f>=P142*P143</f>
        <v>0</v>
      </c>
      <c r="Q144" s="328">
        <f>=Q142*Q143</f>
        <v>0</v>
      </c>
      <c r="R144" s="328">
        <f>=R142*R143</f>
        <v>0</v>
      </c>
      <c r="S144" s="328">
        <f>=S142*S143</f>
        <v>0</v>
      </c>
      <c r="T144" s="328">
        <f>=T142*T143</f>
        <v>0</v>
      </c>
      <c r="U144" s="328">
        <f>=U142*U143</f>
        <v>0</v>
      </c>
      <c r="V144" s="328">
        <f>=V142*V143</f>
        <v>0</v>
      </c>
      <c r="W144" s="328">
        <f>=W142*W143</f>
        <v>0</v>
      </c>
      <c r="X144" s="328">
        <f>=X142*X143</f>
        <v>0</v>
      </c>
      <c r="Y144" s="328">
        <f>=Y142*Y143</f>
        <v>0</v>
      </c>
      <c r="Z144" s="328">
        <f>=Z142*Z143</f>
        <v>0</v>
      </c>
    </row>
    <row r="145" spans="1:26" ht="12" customHeight="true">
      <c r="A145" s="314" t="s"/>
      <c r="B145" s="333" t="s">
        <v>1236</v>
      </c>
      <c r="C145" s="585" t="s"/>
      <c r="D145" s="306">
        <f>=SUM(E145:Z145)</f>
        <v>0</v>
      </c>
      <c r="E145" s="331" t="s"/>
      <c r="F145" s="331" t="s"/>
      <c r="G145" s="331" t="s"/>
      <c r="H145" s="331" t="s"/>
      <c r="I145" s="331" t="s"/>
      <c r="J145" s="331" t="s"/>
      <c r="K145" s="331" t="s"/>
      <c r="L145" s="331" t="s"/>
      <c r="M145" s="331" t="s"/>
      <c r="N145" s="331" t="s"/>
      <c r="O145" s="331" t="s"/>
      <c r="P145" s="331" t="s"/>
      <c r="Q145" s="331" t="s"/>
      <c r="R145" s="331" t="s"/>
      <c r="S145" s="331" t="s"/>
      <c r="T145" s="331" t="s"/>
      <c r="U145" s="331" t="s"/>
      <c r="V145" s="331" t="s"/>
      <c r="W145" s="331" t="s"/>
      <c r="X145" s="331" t="s"/>
      <c r="Y145" s="331" t="s"/>
      <c r="Z145" s="331" t="s"/>
    </row>
    <row r="146" spans="1:26" ht="12" customHeight="true">
      <c r="A146" s="314" t="s"/>
      <c r="B146" s="333" t="s">
        <v>1238</v>
      </c>
      <c r="C146" s="333" t="s"/>
      <c r="D146" s="306">
        <f>=SUM(E146:Z146)</f>
        <v>0</v>
      </c>
      <c r="E146" s="306">
        <f>=E144*E145</f>
        <v>0</v>
      </c>
      <c r="F146" s="306">
        <f>=F144*F145</f>
        <v>0</v>
      </c>
      <c r="G146" s="306">
        <f>=G144*G145</f>
        <v>0</v>
      </c>
      <c r="H146" s="306">
        <f>=H144*H145</f>
        <v>0</v>
      </c>
      <c r="I146" s="306">
        <f>=I144*I145</f>
        <v>0</v>
      </c>
      <c r="J146" s="306">
        <f>=J144*J145</f>
        <v>0</v>
      </c>
      <c r="K146" s="306">
        <f>=K144*K145</f>
        <v>0</v>
      </c>
      <c r="L146" s="306">
        <f>=L144*L145</f>
        <v>0</v>
      </c>
      <c r="M146" s="306">
        <f>=M144*M145</f>
        <v>0</v>
      </c>
      <c r="N146" s="306">
        <f>=N144*N145</f>
        <v>0</v>
      </c>
      <c r="O146" s="306">
        <f>=O144*O145</f>
        <v>0</v>
      </c>
      <c r="P146" s="306">
        <f>=P144*P145</f>
        <v>0</v>
      </c>
      <c r="Q146" s="306">
        <f>=Q144*Q145</f>
        <v>0</v>
      </c>
      <c r="R146" s="306">
        <f>=R144*R145</f>
        <v>0</v>
      </c>
      <c r="S146" s="306">
        <f>=S144*S145</f>
        <v>0</v>
      </c>
      <c r="T146" s="306">
        <f>=T144*T145</f>
        <v>0</v>
      </c>
      <c r="U146" s="306">
        <f>=U144*U145</f>
        <v>0</v>
      </c>
      <c r="V146" s="306">
        <f>=V144*V145</f>
        <v>0</v>
      </c>
      <c r="W146" s="306">
        <f>=W144*W145</f>
        <v>0</v>
      </c>
      <c r="X146" s="306">
        <f>=X144*X145</f>
        <v>0</v>
      </c>
      <c r="Y146" s="306">
        <f>=Y144*Y145</f>
        <v>0</v>
      </c>
      <c r="Z146" s="306">
        <f>=Z144*Z145</f>
        <v>0</v>
      </c>
    </row>
    <row r="147" spans="1:26" ht="12" customHeight="true">
      <c r="A147" s="314" t="s"/>
      <c r="B147" s="334" t="s">
        <v>1240</v>
      </c>
      <c r="C147" s="335" t="s"/>
      <c r="D147" s="310" t="s"/>
      <c r="E147" s="336">
        <f>=$C147</f>
        <v>0</v>
      </c>
      <c r="F147" s="336">
        <f>=$C147</f>
        <v>0</v>
      </c>
      <c r="G147" s="336">
        <f>=$C147</f>
        <v>0</v>
      </c>
      <c r="H147" s="336">
        <f>=$C147</f>
        <v>0</v>
      </c>
      <c r="I147" s="336">
        <f>=$C147</f>
        <v>0</v>
      </c>
      <c r="J147" s="336">
        <f>=$C147</f>
        <v>0</v>
      </c>
      <c r="K147" s="336">
        <f>=$C147</f>
        <v>0</v>
      </c>
      <c r="L147" s="336">
        <f>=$C147</f>
        <v>0</v>
      </c>
      <c r="M147" s="336">
        <f>=$C147</f>
        <v>0</v>
      </c>
      <c r="N147" s="336">
        <f>=$C147</f>
        <v>0</v>
      </c>
      <c r="O147" s="336">
        <f>=$C147</f>
        <v>0</v>
      </c>
      <c r="P147" s="336">
        <f>=$C147</f>
        <v>0</v>
      </c>
      <c r="Q147" s="336">
        <f>=$C147</f>
        <v>0</v>
      </c>
      <c r="R147" s="336">
        <f>=$C147</f>
        <v>0</v>
      </c>
      <c r="S147" s="336">
        <f>=$C147</f>
        <v>0</v>
      </c>
      <c r="T147" s="336">
        <f>=$C147</f>
        <v>0</v>
      </c>
      <c r="U147" s="336">
        <f>=$C147</f>
        <v>0</v>
      </c>
      <c r="V147" s="336">
        <f>=$C147</f>
        <v>0</v>
      </c>
      <c r="W147" s="336">
        <f>=$C147</f>
        <v>0</v>
      </c>
      <c r="X147" s="336">
        <f>=$C147</f>
        <v>0</v>
      </c>
      <c r="Y147" s="336">
        <f>=$C147</f>
        <v>0</v>
      </c>
      <c r="Z147" s="336">
        <f>=$C147</f>
        <v>0</v>
      </c>
    </row>
    <row r="148" spans="1:26" ht="12" customHeight="true">
      <c r="A148" s="314" t="s"/>
      <c r="B148" s="334" t="s">
        <v>1229</v>
      </c>
      <c r="C148" s="310" t="s"/>
      <c r="D148" s="306">
        <f>=SUM(E148:Z148)</f>
        <v>0</v>
      </c>
      <c r="E148" s="306">
        <f>=E146*(1+E147)</f>
        <v>0</v>
      </c>
      <c r="F148" s="306">
        <f>=F146*(1+F147)</f>
        <v>0</v>
      </c>
      <c r="G148" s="306">
        <f>=G146*(1+G147)</f>
        <v>0</v>
      </c>
      <c r="H148" s="306">
        <f>=H146*(1+H147)</f>
        <v>0</v>
      </c>
      <c r="I148" s="306">
        <f>=I146*(1+I147)</f>
        <v>0</v>
      </c>
      <c r="J148" s="306">
        <f>=J146*(1+J147)</f>
        <v>0</v>
      </c>
      <c r="K148" s="306">
        <f>=K146*(1+K147)</f>
        <v>0</v>
      </c>
      <c r="L148" s="306">
        <f>=L146*(1+L147)</f>
        <v>0</v>
      </c>
      <c r="M148" s="306">
        <f>=M146*(1+M147)</f>
        <v>0</v>
      </c>
      <c r="N148" s="306">
        <f>=N146*(1+N147)</f>
        <v>0</v>
      </c>
      <c r="O148" s="306">
        <f>=O146*(1+O147)</f>
        <v>0</v>
      </c>
      <c r="P148" s="306">
        <f>=P146*(1+P147)</f>
        <v>0</v>
      </c>
      <c r="Q148" s="306">
        <f>=Q146*(1+Q147)</f>
        <v>0</v>
      </c>
      <c r="R148" s="306">
        <f>=R146*(1+R147)</f>
        <v>0</v>
      </c>
      <c r="S148" s="306">
        <f>=S146*(1+S147)</f>
        <v>0</v>
      </c>
      <c r="T148" s="306">
        <f>=T146*(1+T147)</f>
        <v>0</v>
      </c>
      <c r="U148" s="306">
        <f>=U146*(1+U147)</f>
        <v>0</v>
      </c>
      <c r="V148" s="306">
        <f>=V146*(1+V147)</f>
        <v>0</v>
      </c>
      <c r="W148" s="306">
        <f>=W146*(1+W147)</f>
        <v>0</v>
      </c>
      <c r="X148" s="306">
        <f>=X146*(1+X147)</f>
        <v>0</v>
      </c>
      <c r="Y148" s="306">
        <f>=Y146*(1+Y147)</f>
        <v>0</v>
      </c>
      <c r="Z148" s="306">
        <f>=Z146*(1+Z147)</f>
        <v>0</v>
      </c>
    </row>
    <row r="149" spans="1:26" ht="12" customHeight="true">
      <c r="A149" s="314" t="s"/>
      <c r="B149" s="334" t="s">
        <v>682</v>
      </c>
      <c r="C149" s="335" t="s"/>
      <c r="D149" s="310" t="s"/>
      <c r="E149" s="336">
        <f>=$C149</f>
        <v>0</v>
      </c>
      <c r="F149" s="336">
        <f>=$C149</f>
        <v>0</v>
      </c>
      <c r="G149" s="336">
        <f>=$C149</f>
        <v>0</v>
      </c>
      <c r="H149" s="336">
        <f>=$C149</f>
        <v>0</v>
      </c>
      <c r="I149" s="336">
        <f>=$C149</f>
        <v>0</v>
      </c>
      <c r="J149" s="336">
        <f>=$C149</f>
        <v>0</v>
      </c>
      <c r="K149" s="336">
        <f>=$C149</f>
        <v>0</v>
      </c>
      <c r="L149" s="336">
        <f>=$C149</f>
        <v>0</v>
      </c>
      <c r="M149" s="336">
        <f>=$C149</f>
        <v>0</v>
      </c>
      <c r="N149" s="336">
        <f>=$C149</f>
        <v>0</v>
      </c>
      <c r="O149" s="336">
        <f>=$C149</f>
        <v>0</v>
      </c>
      <c r="P149" s="336">
        <f>=$C149</f>
        <v>0</v>
      </c>
      <c r="Q149" s="336">
        <f>=$C149</f>
        <v>0</v>
      </c>
      <c r="R149" s="336">
        <f>=$C149</f>
        <v>0</v>
      </c>
      <c r="S149" s="336">
        <f>=$C149</f>
        <v>0</v>
      </c>
      <c r="T149" s="336">
        <f>=$C149</f>
        <v>0</v>
      </c>
      <c r="U149" s="336">
        <f>=$C149</f>
        <v>0</v>
      </c>
      <c r="V149" s="336">
        <f>=$C149</f>
        <v>0</v>
      </c>
      <c r="W149" s="336">
        <f>=$C149</f>
        <v>0</v>
      </c>
      <c r="X149" s="336">
        <f>=$C149</f>
        <v>0</v>
      </c>
      <c r="Y149" s="336">
        <f>=$C149</f>
        <v>0</v>
      </c>
      <c r="Z149" s="336">
        <f>=$C149</f>
        <v>0</v>
      </c>
    </row>
    <row r="150" spans="1:26" ht="12" customHeight="true">
      <c r="A150" s="314" t="s"/>
      <c r="B150" s="334" t="s">
        <v>656</v>
      </c>
      <c r="C150" s="337" t="s"/>
      <c r="D150" s="306">
        <f>=SUM(E150:Z150)</f>
        <v>0</v>
      </c>
      <c r="E150" s="306">
        <f>=IF(E147=0,E148*E149/(1+E149),E148*E149)</f>
        <v>0</v>
      </c>
      <c r="F150" s="306">
        <f>=IF(F147=0,F148*F149/(1+F149),F148*F149)</f>
        <v>0</v>
      </c>
      <c r="G150" s="306">
        <f>=IF(G147=0,G148*G149/(1+G149),G148*G149)</f>
        <v>0</v>
      </c>
      <c r="H150" s="306">
        <f>=IF(H147=0,H148*H149/(1+H149),H148*H149)</f>
        <v>0</v>
      </c>
      <c r="I150" s="306">
        <f>=IF(I147=0,I148*I149/(1+I149),I148*I149)</f>
        <v>0</v>
      </c>
      <c r="J150" s="306">
        <f>=IF(J147=0,J148*J149/(1+J149),J148*J149)</f>
        <v>0</v>
      </c>
      <c r="K150" s="306">
        <f>=IF(K147=0,K148*K149/(1+K149),K148*K149)</f>
        <v>0</v>
      </c>
      <c r="L150" s="306">
        <f>=IF(L147=0,L148*L149/(1+L149),L148*L149)</f>
        <v>0</v>
      </c>
      <c r="M150" s="306">
        <f>=IF(M147=0,M148*M149/(1+M149),M148*M149)</f>
        <v>0</v>
      </c>
      <c r="N150" s="306">
        <f>=IF(N147=0,N148*N149/(1+N149),N148*N149)</f>
        <v>0</v>
      </c>
      <c r="O150" s="306">
        <f>=IF(O147=0,O148*O149/(1+O149),O148*O149)</f>
        <v>0</v>
      </c>
      <c r="P150" s="306">
        <f>=IF(P147=0,P148*P149/(1+P149),P148*P149)</f>
        <v>0</v>
      </c>
      <c r="Q150" s="306">
        <f>=IF(Q147=0,Q148*Q149/(1+Q149),Q148*Q149)</f>
        <v>0</v>
      </c>
      <c r="R150" s="306">
        <f>=IF(R147=0,R148*R149/(1+R149),R148*R149)</f>
        <v>0</v>
      </c>
      <c r="S150" s="306">
        <f>=IF(S147=0,S148*S149/(1+S149),S148*S149)</f>
        <v>0</v>
      </c>
      <c r="T150" s="306">
        <f>=IF(T147=0,T148*T149/(1+T149),T148*T149)</f>
        <v>0</v>
      </c>
      <c r="U150" s="306">
        <f>=IF(U147=0,U148*U149/(1+U149),U148*U149)</f>
        <v>0</v>
      </c>
      <c r="V150" s="306">
        <f>=IF(V147=0,V148*V149/(1+V149),V148*V149)</f>
        <v>0</v>
      </c>
      <c r="W150" s="306">
        <f>=IF(W147=0,W148*W149/(1+W149),W148*W149)</f>
        <v>0</v>
      </c>
      <c r="X150" s="306">
        <f>=IF(X147=0,X148*X149/(1+X149),X148*X149)</f>
        <v>0</v>
      </c>
      <c r="Y150" s="306">
        <f>=IF(Y147=0,Y148*Y149/(1+Y149),Y148*Y149)</f>
        <v>0</v>
      </c>
      <c r="Z150" s="306">
        <f>=IF(Z147=0,Z148*Z149/(1+Z149),Z148*Z149)</f>
        <v>0</v>
      </c>
    </row>
    <row r="151" spans="1:26" ht="12" customHeight="true">
      <c r="A151" s="314" t="s"/>
      <c r="B151" s="334" t="s">
        <v>1242</v>
      </c>
      <c r="C151" s="337" t="s"/>
      <c r="D151" s="306">
        <f>=SUM(E151:Z151)</f>
        <v>0</v>
      </c>
      <c r="E151" s="306">
        <f>=IF(E147=0,E146,E148+E150)</f>
        <v>0</v>
      </c>
      <c r="F151" s="306">
        <f>=IF(F147=0,F146,F148+F150)</f>
        <v>0</v>
      </c>
      <c r="G151" s="306">
        <f>=IF(G147=0,G146,G148+G150)</f>
        <v>0</v>
      </c>
      <c r="H151" s="306">
        <f>=IF(H147=0,H146,H148+H150)</f>
        <v>0</v>
      </c>
      <c r="I151" s="306">
        <f>=IF(I147=0,I146,I148+I150)</f>
        <v>0</v>
      </c>
      <c r="J151" s="306">
        <f>=IF(J147=0,J146,J148+J150)</f>
        <v>0</v>
      </c>
      <c r="K151" s="306">
        <f>=IF(K147=0,K146,K148+K150)</f>
        <v>0</v>
      </c>
      <c r="L151" s="306">
        <f>=IF(L147=0,L146,L148+L150)</f>
        <v>0</v>
      </c>
      <c r="M151" s="306">
        <f>=IF(M147=0,M146,M148+M150)</f>
        <v>0</v>
      </c>
      <c r="N151" s="306">
        <f>=IF(N147=0,N146,N148+N150)</f>
        <v>0</v>
      </c>
      <c r="O151" s="306">
        <f>=IF(O147=0,O146,O148+O150)</f>
        <v>0</v>
      </c>
      <c r="P151" s="306">
        <f>=IF(P147=0,P146,P148+P150)</f>
        <v>0</v>
      </c>
      <c r="Q151" s="306">
        <f>=IF(Q147=0,Q146,Q148+Q150)</f>
        <v>0</v>
      </c>
      <c r="R151" s="306">
        <f>=IF(R147=0,R146,R148+R150)</f>
        <v>0</v>
      </c>
      <c r="S151" s="306">
        <f>=IF(S147=0,S146,S148+S150)</f>
        <v>0</v>
      </c>
      <c r="T151" s="306">
        <f>=IF(T147=0,T146,T148+T150)</f>
        <v>0</v>
      </c>
      <c r="U151" s="306">
        <f>=IF(U147=0,U146,U148+U150)</f>
        <v>0</v>
      </c>
      <c r="V151" s="306">
        <f>=IF(V147=0,V146,V148+V150)</f>
        <v>0</v>
      </c>
      <c r="W151" s="306">
        <f>=IF(W147=0,W146,W148+W150)</f>
        <v>0</v>
      </c>
      <c r="X151" s="306">
        <f>=IF(X147=0,X146,X148+X150)</f>
        <v>0</v>
      </c>
      <c r="Y151" s="306">
        <f>=IF(Y147=0,Y146,Y148+Y150)</f>
        <v>0</v>
      </c>
      <c r="Z151" s="306">
        <f>=IF(Z147=0,Z146,Z148+Z150)</f>
        <v>0</v>
      </c>
    </row>
    <row r="152" spans="1:26" ht="12" customHeight="true">
      <c r="A152" s="314">
        <v>2.3</v>
      </c>
      <c r="B152" s="580" t="s"/>
      <c r="C152" s="580" t="s"/>
      <c r="D152" s="316" t="s">
        <v>672</v>
      </c>
      <c r="E152" s="316" t="s"/>
      <c r="F152" s="316" t="s"/>
      <c r="G152" s="316" t="s"/>
      <c r="H152" s="316" t="s"/>
      <c r="I152" s="316" t="s"/>
      <c r="J152" s="316" t="s"/>
      <c r="K152" s="316" t="s"/>
      <c r="L152" s="316" t="s"/>
      <c r="M152" s="316" t="s"/>
      <c r="N152" s="316" t="s"/>
      <c r="O152" s="316" t="s"/>
      <c r="P152" s="316" t="s"/>
      <c r="Q152" s="316" t="s"/>
      <c r="R152" s="316" t="s"/>
      <c r="S152" s="316" t="s"/>
      <c r="T152" s="316" t="s"/>
      <c r="U152" s="316" t="s"/>
      <c r="V152" s="316" t="s"/>
      <c r="W152" s="316" t="s"/>
      <c r="X152" s="316" t="s"/>
      <c r="Y152" s="316" t="s"/>
      <c r="Z152" s="316" t="s"/>
    </row>
    <row r="153" spans="1:26" ht="12" customHeight="true">
      <c r="A153" s="314" t="s"/>
      <c r="B153" s="318" t="s">
        <v>688</v>
      </c>
      <c r="C153" s="319" t="s"/>
      <c r="D153" s="582" t="s">
        <v>674</v>
      </c>
      <c r="E153" s="331" t="s"/>
      <c r="F153" s="331" t="s"/>
      <c r="G153" s="331" t="s"/>
      <c r="H153" s="331" t="s"/>
      <c r="I153" s="331" t="s"/>
      <c r="J153" s="331" t="s"/>
      <c r="K153" s="331" t="s"/>
      <c r="L153" s="331" t="s"/>
      <c r="M153" s="331" t="s"/>
      <c r="N153" s="331" t="s"/>
      <c r="O153" s="331" t="s"/>
      <c r="P153" s="331" t="s"/>
      <c r="Q153" s="331" t="s"/>
      <c r="R153" s="331" t="s"/>
      <c r="S153" s="331" t="s"/>
      <c r="T153" s="331" t="s"/>
      <c r="U153" s="331" t="s"/>
      <c r="V153" s="331" t="s"/>
      <c r="W153" s="331" t="s"/>
      <c r="X153" s="331" t="s"/>
      <c r="Y153" s="331" t="s"/>
      <c r="Z153" s="331" t="s"/>
    </row>
    <row r="154" spans="1:26" ht="12" customHeight="true">
      <c r="A154" s="314" t="s"/>
      <c r="B154" s="323" t="s">
        <v>534</v>
      </c>
      <c r="C154" s="586">
        <f>=IF($D153="美元",辅助表1评估项目基础数据表!$C$17,IF($D153="其他外币",辅助表1评估项目基础数据表!$C$18,1))</f>
        <v>1</v>
      </c>
      <c r="D154" s="300" t="s"/>
      <c r="E154" s="325">
        <f>=$C154</f>
        <v>1</v>
      </c>
      <c r="F154" s="325">
        <f>=$C154</f>
        <v>1</v>
      </c>
      <c r="G154" s="325">
        <f>=$C154</f>
        <v>1</v>
      </c>
      <c r="H154" s="325">
        <f>=$C154</f>
        <v>1</v>
      </c>
      <c r="I154" s="325">
        <f>=$C154</f>
        <v>1</v>
      </c>
      <c r="J154" s="325">
        <f>=$C154</f>
        <v>1</v>
      </c>
      <c r="K154" s="325">
        <f>=$C154</f>
        <v>1</v>
      </c>
      <c r="L154" s="325">
        <f>=$C154</f>
        <v>1</v>
      </c>
      <c r="M154" s="325">
        <f>=$C154</f>
        <v>1</v>
      </c>
      <c r="N154" s="325">
        <f>=$C154</f>
        <v>1</v>
      </c>
      <c r="O154" s="325">
        <f>=$C154</f>
        <v>1</v>
      </c>
      <c r="P154" s="325">
        <f>=$C154</f>
        <v>1</v>
      </c>
      <c r="Q154" s="325">
        <f>=$C154</f>
        <v>1</v>
      </c>
      <c r="R154" s="325">
        <f>=$C154</f>
        <v>1</v>
      </c>
      <c r="S154" s="325">
        <f>=$C154</f>
        <v>1</v>
      </c>
      <c r="T154" s="325">
        <f>=$C154</f>
        <v>1</v>
      </c>
      <c r="U154" s="325">
        <f>=$C154</f>
        <v>1</v>
      </c>
      <c r="V154" s="325">
        <f>=$C154</f>
        <v>1</v>
      </c>
      <c r="W154" s="325">
        <f>=$C154</f>
        <v>1</v>
      </c>
      <c r="X154" s="325">
        <f>=$C154</f>
        <v>1</v>
      </c>
      <c r="Y154" s="325">
        <f>=$C154</f>
        <v>1</v>
      </c>
      <c r="Z154" s="325">
        <f>=$C154</f>
        <v>1</v>
      </c>
    </row>
    <row r="155" spans="1:26" ht="12" customHeight="true">
      <c r="A155" s="314" t="s"/>
      <c r="B155" s="326" t="s">
        <v>676</v>
      </c>
      <c r="C155" s="327" t="s"/>
      <c r="D155" s="310" t="s"/>
      <c r="E155" s="328">
        <f>=E153*E154</f>
        <v>0</v>
      </c>
      <c r="F155" s="328">
        <f>=F153*F154</f>
        <v>0</v>
      </c>
      <c r="G155" s="328">
        <f>=G153*G154</f>
        <v>0</v>
      </c>
      <c r="H155" s="328">
        <f>=H153*H154</f>
        <v>0</v>
      </c>
      <c r="I155" s="328">
        <f>=I153*I154</f>
        <v>0</v>
      </c>
      <c r="J155" s="328">
        <f>=J153*J154</f>
        <v>0</v>
      </c>
      <c r="K155" s="328">
        <f>=K153*K154</f>
        <v>0</v>
      </c>
      <c r="L155" s="328">
        <f>=L153*L154</f>
        <v>0</v>
      </c>
      <c r="M155" s="328">
        <f>=M153*M154</f>
        <v>0</v>
      </c>
      <c r="N155" s="328">
        <f>=N153*N154</f>
        <v>0</v>
      </c>
      <c r="O155" s="328">
        <f>=O153*O154</f>
        <v>0</v>
      </c>
      <c r="P155" s="328">
        <f>=P153*P154</f>
        <v>0</v>
      </c>
      <c r="Q155" s="328">
        <f>=Q153*Q154</f>
        <v>0</v>
      </c>
      <c r="R155" s="328">
        <f>=R153*R154</f>
        <v>0</v>
      </c>
      <c r="S155" s="328">
        <f>=S153*S154</f>
        <v>0</v>
      </c>
      <c r="T155" s="328">
        <f>=T153*T154</f>
        <v>0</v>
      </c>
      <c r="U155" s="328">
        <f>=U153*U154</f>
        <v>0</v>
      </c>
      <c r="V155" s="328">
        <f>=V153*V154</f>
        <v>0</v>
      </c>
      <c r="W155" s="328">
        <f>=W153*W154</f>
        <v>0</v>
      </c>
      <c r="X155" s="328">
        <f>=X153*X154</f>
        <v>0</v>
      </c>
      <c r="Y155" s="328">
        <f>=Y153*Y154</f>
        <v>0</v>
      </c>
      <c r="Z155" s="328">
        <f>=Z153*Z154</f>
        <v>0</v>
      </c>
    </row>
    <row r="156" spans="1:26" ht="12" customHeight="true">
      <c r="A156" s="314" t="s"/>
      <c r="B156" s="333" t="s">
        <v>1236</v>
      </c>
      <c r="C156" s="585" t="s"/>
      <c r="D156" s="345">
        <f>=SUM(E156:Z156)</f>
        <v>0</v>
      </c>
      <c r="E156" s="331" t="s"/>
      <c r="F156" s="331" t="s"/>
      <c r="G156" s="331" t="s"/>
      <c r="H156" s="331" t="s"/>
      <c r="I156" s="331" t="s"/>
      <c r="J156" s="331" t="s"/>
      <c r="K156" s="331" t="s"/>
      <c r="L156" s="331" t="s"/>
      <c r="M156" s="331" t="s"/>
      <c r="N156" s="331" t="s"/>
      <c r="O156" s="331" t="s"/>
      <c r="P156" s="331" t="s"/>
      <c r="Q156" s="331" t="s"/>
      <c r="R156" s="331" t="s"/>
      <c r="S156" s="331" t="s"/>
      <c r="T156" s="331" t="s"/>
      <c r="U156" s="331" t="s"/>
      <c r="V156" s="331" t="s"/>
      <c r="W156" s="331" t="s"/>
      <c r="X156" s="331" t="s"/>
      <c r="Y156" s="331" t="s"/>
      <c r="Z156" s="331" t="s"/>
    </row>
    <row r="157" spans="1:26" ht="12" customHeight="true">
      <c r="A157" s="314" t="s"/>
      <c r="B157" s="333" t="s">
        <v>1238</v>
      </c>
      <c r="C157" s="333" t="s"/>
      <c r="D157" s="345">
        <f>=SUM(E157:Z157)</f>
        <v>0</v>
      </c>
      <c r="E157" s="306">
        <f>=E155*E156</f>
        <v>0</v>
      </c>
      <c r="F157" s="306">
        <f>=F155*F156</f>
        <v>0</v>
      </c>
      <c r="G157" s="306">
        <f>=G155*G156</f>
        <v>0</v>
      </c>
      <c r="H157" s="306">
        <f>=H155*H156</f>
        <v>0</v>
      </c>
      <c r="I157" s="306">
        <f>=I155*I156</f>
        <v>0</v>
      </c>
      <c r="J157" s="306">
        <f>=J155*J156</f>
        <v>0</v>
      </c>
      <c r="K157" s="306">
        <f>=K155*K156</f>
        <v>0</v>
      </c>
      <c r="L157" s="306">
        <f>=L155*L156</f>
        <v>0</v>
      </c>
      <c r="M157" s="306">
        <f>=M155*M156</f>
        <v>0</v>
      </c>
      <c r="N157" s="306">
        <f>=N155*N156</f>
        <v>0</v>
      </c>
      <c r="O157" s="306">
        <f>=O155*O156</f>
        <v>0</v>
      </c>
      <c r="P157" s="306">
        <f>=P155*P156</f>
        <v>0</v>
      </c>
      <c r="Q157" s="306">
        <f>=Q155*Q156</f>
        <v>0</v>
      </c>
      <c r="R157" s="306">
        <f>=R155*R156</f>
        <v>0</v>
      </c>
      <c r="S157" s="306">
        <f>=S155*S156</f>
        <v>0</v>
      </c>
      <c r="T157" s="306">
        <f>=T155*T156</f>
        <v>0</v>
      </c>
      <c r="U157" s="306">
        <f>=U155*U156</f>
        <v>0</v>
      </c>
      <c r="V157" s="306">
        <f>=V155*V156</f>
        <v>0</v>
      </c>
      <c r="W157" s="306">
        <f>=W155*W156</f>
        <v>0</v>
      </c>
      <c r="X157" s="306">
        <f>=X155*X156</f>
        <v>0</v>
      </c>
      <c r="Y157" s="306">
        <f>=Y155*Y156</f>
        <v>0</v>
      </c>
      <c r="Z157" s="306">
        <f>=Z155*Z156</f>
        <v>0</v>
      </c>
    </row>
    <row r="158" spans="1:26" ht="12" customHeight="true">
      <c r="A158" s="314" t="s"/>
      <c r="B158" s="334" t="s">
        <v>1240</v>
      </c>
      <c r="C158" s="335" t="s"/>
      <c r="D158" s="310" t="s"/>
      <c r="E158" s="336">
        <f>=$C158</f>
        <v>0</v>
      </c>
      <c r="F158" s="336">
        <f>=$C158</f>
        <v>0</v>
      </c>
      <c r="G158" s="336">
        <f>=$C158</f>
        <v>0</v>
      </c>
      <c r="H158" s="336">
        <f>=$C158</f>
        <v>0</v>
      </c>
      <c r="I158" s="336">
        <f>=$C158</f>
        <v>0</v>
      </c>
      <c r="J158" s="336">
        <f>=$C158</f>
        <v>0</v>
      </c>
      <c r="K158" s="336">
        <f>=$C158</f>
        <v>0</v>
      </c>
      <c r="L158" s="336">
        <f>=$C158</f>
        <v>0</v>
      </c>
      <c r="M158" s="336">
        <f>=$C158</f>
        <v>0</v>
      </c>
      <c r="N158" s="336">
        <f>=$C158</f>
        <v>0</v>
      </c>
      <c r="O158" s="336">
        <f>=$C158</f>
        <v>0</v>
      </c>
      <c r="P158" s="336">
        <f>=$C158</f>
        <v>0</v>
      </c>
      <c r="Q158" s="336">
        <f>=$C158</f>
        <v>0</v>
      </c>
      <c r="R158" s="336">
        <f>=$C158</f>
        <v>0</v>
      </c>
      <c r="S158" s="336">
        <f>=$C158</f>
        <v>0</v>
      </c>
      <c r="T158" s="336">
        <f>=$C158</f>
        <v>0</v>
      </c>
      <c r="U158" s="336">
        <f>=$C158</f>
        <v>0</v>
      </c>
      <c r="V158" s="336">
        <f>=$C158</f>
        <v>0</v>
      </c>
      <c r="W158" s="336">
        <f>=$C158</f>
        <v>0</v>
      </c>
      <c r="X158" s="336">
        <f>=$C158</f>
        <v>0</v>
      </c>
      <c r="Y158" s="336">
        <f>=$C158</f>
        <v>0</v>
      </c>
      <c r="Z158" s="336">
        <f>=$C158</f>
        <v>0</v>
      </c>
    </row>
    <row r="159" spans="1:26" ht="12" customHeight="true">
      <c r="A159" s="314" t="s"/>
      <c r="B159" s="334" t="s">
        <v>1229</v>
      </c>
      <c r="C159" s="310" t="s"/>
      <c r="D159" s="310">
        <f>=SUM(E159:Z159)</f>
        <v>0</v>
      </c>
      <c r="E159" s="306">
        <f>=E157*(1+E158)</f>
        <v>0</v>
      </c>
      <c r="F159" s="306">
        <f>=F157*(1+F158)</f>
        <v>0</v>
      </c>
      <c r="G159" s="306">
        <f>=G157*(1+G158)</f>
        <v>0</v>
      </c>
      <c r="H159" s="306">
        <f>=H157*(1+H158)</f>
        <v>0</v>
      </c>
      <c r="I159" s="306">
        <f>=I157*(1+I158)</f>
        <v>0</v>
      </c>
      <c r="J159" s="306">
        <f>=J157*(1+J158)</f>
        <v>0</v>
      </c>
      <c r="K159" s="306">
        <f>=K157*(1+K158)</f>
        <v>0</v>
      </c>
      <c r="L159" s="306">
        <f>=L157*(1+L158)</f>
        <v>0</v>
      </c>
      <c r="M159" s="306">
        <f>=M157*(1+M158)</f>
        <v>0</v>
      </c>
      <c r="N159" s="306">
        <f>=N157*(1+N158)</f>
        <v>0</v>
      </c>
      <c r="O159" s="306">
        <f>=O157*(1+O158)</f>
        <v>0</v>
      </c>
      <c r="P159" s="306">
        <f>=P157*(1+P158)</f>
        <v>0</v>
      </c>
      <c r="Q159" s="306">
        <f>=Q157*(1+Q158)</f>
        <v>0</v>
      </c>
      <c r="R159" s="306">
        <f>=R157*(1+R158)</f>
        <v>0</v>
      </c>
      <c r="S159" s="306">
        <f>=S157*(1+S158)</f>
        <v>0</v>
      </c>
      <c r="T159" s="306">
        <f>=T157*(1+T158)</f>
        <v>0</v>
      </c>
      <c r="U159" s="306">
        <f>=U157*(1+U158)</f>
        <v>0</v>
      </c>
      <c r="V159" s="306">
        <f>=V157*(1+V158)</f>
        <v>0</v>
      </c>
      <c r="W159" s="306">
        <f>=W157*(1+W158)</f>
        <v>0</v>
      </c>
      <c r="X159" s="306">
        <f>=X157*(1+X158)</f>
        <v>0</v>
      </c>
      <c r="Y159" s="306">
        <f>=Y157*(1+Y158)</f>
        <v>0</v>
      </c>
      <c r="Z159" s="306">
        <f>=Z157*(1+Z158)</f>
        <v>0</v>
      </c>
    </row>
    <row r="160" spans="1:26" ht="12" customHeight="true">
      <c r="A160" s="314" t="s"/>
      <c r="B160" s="334" t="s">
        <v>682</v>
      </c>
      <c r="C160" s="335" t="s"/>
      <c r="D160" s="310" t="s"/>
      <c r="E160" s="336">
        <f>=$C160</f>
        <v>0</v>
      </c>
      <c r="F160" s="336">
        <f>=$C160</f>
        <v>0</v>
      </c>
      <c r="G160" s="336">
        <f>=$C160</f>
        <v>0</v>
      </c>
      <c r="H160" s="336">
        <f>=$C160</f>
        <v>0</v>
      </c>
      <c r="I160" s="336">
        <f>=$C160</f>
        <v>0</v>
      </c>
      <c r="J160" s="336">
        <f>=$C160</f>
        <v>0</v>
      </c>
      <c r="K160" s="336">
        <f>=$C160</f>
        <v>0</v>
      </c>
      <c r="L160" s="336">
        <f>=$C160</f>
        <v>0</v>
      </c>
      <c r="M160" s="336">
        <f>=$C160</f>
        <v>0</v>
      </c>
      <c r="N160" s="336">
        <f>=$C160</f>
        <v>0</v>
      </c>
      <c r="O160" s="336">
        <f>=$C160</f>
        <v>0</v>
      </c>
      <c r="P160" s="336">
        <f>=$C160</f>
        <v>0</v>
      </c>
      <c r="Q160" s="336">
        <f>=$C160</f>
        <v>0</v>
      </c>
      <c r="R160" s="336">
        <f>=$C160</f>
        <v>0</v>
      </c>
      <c r="S160" s="336">
        <f>=$C160</f>
        <v>0</v>
      </c>
      <c r="T160" s="336">
        <f>=$C160</f>
        <v>0</v>
      </c>
      <c r="U160" s="336">
        <f>=$C160</f>
        <v>0</v>
      </c>
      <c r="V160" s="336">
        <f>=$C160</f>
        <v>0</v>
      </c>
      <c r="W160" s="336">
        <f>=$C160</f>
        <v>0</v>
      </c>
      <c r="X160" s="336">
        <f>=$C160</f>
        <v>0</v>
      </c>
      <c r="Y160" s="336">
        <f>=$C160</f>
        <v>0</v>
      </c>
      <c r="Z160" s="336">
        <f>=$C160</f>
        <v>0</v>
      </c>
    </row>
    <row r="161" spans="1:26" ht="12" customHeight="true">
      <c r="A161" s="314" t="s"/>
      <c r="B161" s="334" t="s">
        <v>656</v>
      </c>
      <c r="C161" s="337" t="s"/>
      <c r="D161" s="345">
        <f>=SUM(E161:Z161)</f>
        <v>0</v>
      </c>
      <c r="E161" s="306">
        <f>=IF(E158=0,E159*E160/(1+E160),E159*E160)</f>
        <v>0</v>
      </c>
      <c r="F161" s="306">
        <f>=IF(F158=0,F159*F160/(1+F160),F159*F160)</f>
        <v>0</v>
      </c>
      <c r="G161" s="306">
        <f>=IF(G158=0,G159*G160/(1+G160),G159*G160)</f>
        <v>0</v>
      </c>
      <c r="H161" s="306">
        <f>=IF(H158=0,H159*H160/(1+H160),H159*H160)</f>
        <v>0</v>
      </c>
      <c r="I161" s="306">
        <f>=IF(I158=0,I159*I160/(1+I160),I159*I160)</f>
        <v>0</v>
      </c>
      <c r="J161" s="306">
        <f>=IF(J158=0,J159*J160/(1+J160),J159*J160)</f>
        <v>0</v>
      </c>
      <c r="K161" s="306">
        <f>=IF(K158=0,K159*K160/(1+K160),K159*K160)</f>
        <v>0</v>
      </c>
      <c r="L161" s="306">
        <f>=IF(L158=0,L159*L160/(1+L160),L159*L160)</f>
        <v>0</v>
      </c>
      <c r="M161" s="306">
        <f>=IF(M158=0,M159*M160/(1+M160),M159*M160)</f>
        <v>0</v>
      </c>
      <c r="N161" s="306">
        <f>=IF(N158=0,N159*N160/(1+N160),N159*N160)</f>
        <v>0</v>
      </c>
      <c r="O161" s="306">
        <f>=IF(O158=0,O159*O160/(1+O160),O159*O160)</f>
        <v>0</v>
      </c>
      <c r="P161" s="306">
        <f>=IF(P158=0,P159*P160/(1+P160),P159*P160)</f>
        <v>0</v>
      </c>
      <c r="Q161" s="306">
        <f>=IF(Q158=0,Q159*Q160/(1+Q160),Q159*Q160)</f>
        <v>0</v>
      </c>
      <c r="R161" s="306">
        <f>=IF(R158=0,R159*R160/(1+R160),R159*R160)</f>
        <v>0</v>
      </c>
      <c r="S161" s="306">
        <f>=IF(S158=0,S159*S160/(1+S160),S159*S160)</f>
        <v>0</v>
      </c>
      <c r="T161" s="306">
        <f>=IF(T158=0,T159*T160/(1+T160),T159*T160)</f>
        <v>0</v>
      </c>
      <c r="U161" s="306">
        <f>=IF(U158=0,U159*U160/(1+U160),U159*U160)</f>
        <v>0</v>
      </c>
      <c r="V161" s="306">
        <f>=IF(V158=0,V159*V160/(1+V160),V159*V160)</f>
        <v>0</v>
      </c>
      <c r="W161" s="306">
        <f>=IF(W158=0,W159*W160/(1+W160),W159*W160)</f>
        <v>0</v>
      </c>
      <c r="X161" s="306">
        <f>=IF(X158=0,X159*X160/(1+X160),X159*X160)</f>
        <v>0</v>
      </c>
      <c r="Y161" s="306">
        <f>=IF(Y158=0,Y159*Y160/(1+Y160),Y159*Y160)</f>
        <v>0</v>
      </c>
      <c r="Z161" s="306">
        <f>=IF(Z158=0,Z159*Z160/(1+Z160),Z159*Z160)</f>
        <v>0</v>
      </c>
    </row>
    <row r="162" spans="1:26" ht="12" customHeight="true">
      <c r="A162" s="314" t="s"/>
      <c r="B162" s="334" t="s">
        <v>1242</v>
      </c>
      <c r="C162" s="337" t="s"/>
      <c r="D162" s="345">
        <f>=SUM(E162:Z162)</f>
        <v>0</v>
      </c>
      <c r="E162" s="306">
        <f>=IF(E158=0,E157,E159+E161)</f>
        <v>0</v>
      </c>
      <c r="F162" s="306">
        <f>=IF(F158=0,F157,F159+F161)</f>
        <v>0</v>
      </c>
      <c r="G162" s="306">
        <f>=IF(G158=0,G157,G159+G161)</f>
        <v>0</v>
      </c>
      <c r="H162" s="306">
        <f>=IF(H158=0,H157,H159+H161)</f>
        <v>0</v>
      </c>
      <c r="I162" s="306">
        <f>=IF(I158=0,I157,I159+I161)</f>
        <v>0</v>
      </c>
      <c r="J162" s="306">
        <f>=IF(J158=0,J157,J159+J161)</f>
        <v>0</v>
      </c>
      <c r="K162" s="306">
        <f>=IF(K158=0,K157,K159+K161)</f>
        <v>0</v>
      </c>
      <c r="L162" s="306">
        <f>=IF(L158=0,L157,L159+L161)</f>
        <v>0</v>
      </c>
      <c r="M162" s="306">
        <f>=IF(M158=0,M157,M159+M161)</f>
        <v>0</v>
      </c>
      <c r="N162" s="306">
        <f>=IF(N158=0,N157,N159+N161)</f>
        <v>0</v>
      </c>
      <c r="O162" s="306">
        <f>=IF(O158=0,O157,O159+O161)</f>
        <v>0</v>
      </c>
      <c r="P162" s="306">
        <f>=IF(P158=0,P157,P159+P161)</f>
        <v>0</v>
      </c>
      <c r="Q162" s="306">
        <f>=IF(Q158=0,Q157,Q159+Q161)</f>
        <v>0</v>
      </c>
      <c r="R162" s="306">
        <f>=IF(R158=0,R157,R159+R161)</f>
        <v>0</v>
      </c>
      <c r="S162" s="306">
        <f>=IF(S158=0,S157,S159+S161)</f>
        <v>0</v>
      </c>
      <c r="T162" s="306">
        <f>=IF(T158=0,T157,T159+T161)</f>
        <v>0</v>
      </c>
      <c r="U162" s="306">
        <f>=IF(U158=0,U157,U159+U161)</f>
        <v>0</v>
      </c>
      <c r="V162" s="306">
        <f>=IF(V158=0,V157,V159+V161)</f>
        <v>0</v>
      </c>
      <c r="W162" s="306">
        <f>=IF(W158=0,W157,W159+W161)</f>
        <v>0</v>
      </c>
      <c r="X162" s="306">
        <f>=IF(X158=0,X157,X159+X161)</f>
        <v>0</v>
      </c>
      <c r="Y162" s="306">
        <f>=IF(Y158=0,Y157,Y159+Y161)</f>
        <v>0</v>
      </c>
      <c r="Z162" s="306">
        <f>=IF(Z158=0,Z157,Z159+Z161)</f>
        <v>0</v>
      </c>
    </row>
    <row r="163" spans="1:26" ht="12" customHeight="true">
      <c r="A163" s="314">
        <v>2.4</v>
      </c>
      <c r="B163" s="580" t="s"/>
      <c r="C163" s="580" t="s"/>
      <c r="D163" s="316" t="s">
        <v>672</v>
      </c>
      <c r="E163" s="316" t="s"/>
      <c r="F163" s="316" t="s"/>
      <c r="G163" s="316" t="s"/>
      <c r="H163" s="316" t="s"/>
      <c r="I163" s="316" t="s"/>
      <c r="J163" s="316" t="s"/>
      <c r="K163" s="316" t="s"/>
      <c r="L163" s="316" t="s"/>
      <c r="M163" s="316" t="s"/>
      <c r="N163" s="316" t="s"/>
      <c r="O163" s="316" t="s"/>
      <c r="P163" s="316" t="s"/>
      <c r="Q163" s="316" t="s"/>
      <c r="R163" s="316" t="s"/>
      <c r="S163" s="316" t="s"/>
      <c r="T163" s="316" t="s"/>
      <c r="U163" s="316" t="s"/>
      <c r="V163" s="316" t="s"/>
      <c r="W163" s="316" t="s"/>
      <c r="X163" s="316" t="s"/>
      <c r="Y163" s="316" t="s"/>
      <c r="Z163" s="316" t="s"/>
    </row>
    <row r="164" spans="1:26" ht="12" customHeight="true">
      <c r="A164" s="314" t="s"/>
      <c r="B164" s="318" t="s">
        <v>688</v>
      </c>
      <c r="C164" s="587" t="s"/>
      <c r="D164" s="582" t="s">
        <v>674</v>
      </c>
      <c r="E164" s="331" t="s"/>
      <c r="F164" s="331" t="s"/>
      <c r="G164" s="331" t="s"/>
      <c r="H164" s="331" t="s"/>
      <c r="I164" s="331" t="s"/>
      <c r="J164" s="331" t="s"/>
      <c r="K164" s="331" t="s"/>
      <c r="L164" s="331" t="s"/>
      <c r="M164" s="331" t="s"/>
      <c r="N164" s="331" t="s"/>
      <c r="O164" s="331" t="s"/>
      <c r="P164" s="331" t="s"/>
      <c r="Q164" s="331" t="s"/>
      <c r="R164" s="331" t="s"/>
      <c r="S164" s="331" t="s"/>
      <c r="T164" s="331" t="s"/>
      <c r="U164" s="331" t="s"/>
      <c r="V164" s="331" t="s"/>
      <c r="W164" s="331" t="s"/>
      <c r="X164" s="331" t="s"/>
      <c r="Y164" s="331" t="s"/>
      <c r="Z164" s="331" t="s"/>
    </row>
    <row r="165" spans="1:26" ht="12" customHeight="true">
      <c r="A165" s="314" t="s"/>
      <c r="B165" s="323" t="s">
        <v>534</v>
      </c>
      <c r="C165" s="586">
        <f>=IF($D164="美元",辅助表1评估项目基础数据表!$C$17,IF($D164="其他外币",辅助表1评估项目基础数据表!$C$18,1))</f>
        <v>1</v>
      </c>
      <c r="D165" s="300" t="s"/>
      <c r="E165" s="325">
        <f>=$C165</f>
        <v>1</v>
      </c>
      <c r="F165" s="325">
        <f>=$C165</f>
        <v>1</v>
      </c>
      <c r="G165" s="325">
        <f>=$C165</f>
        <v>1</v>
      </c>
      <c r="H165" s="325">
        <f>=$C165</f>
        <v>1</v>
      </c>
      <c r="I165" s="325">
        <f>=$C165</f>
        <v>1</v>
      </c>
      <c r="J165" s="325">
        <f>=$C165</f>
        <v>1</v>
      </c>
      <c r="K165" s="325">
        <f>=$C165</f>
        <v>1</v>
      </c>
      <c r="L165" s="325">
        <f>=$C165</f>
        <v>1</v>
      </c>
      <c r="M165" s="325">
        <f>=$C165</f>
        <v>1</v>
      </c>
      <c r="N165" s="325">
        <f>=$C165</f>
        <v>1</v>
      </c>
      <c r="O165" s="325">
        <f>=$C165</f>
        <v>1</v>
      </c>
      <c r="P165" s="325">
        <f>=$C165</f>
        <v>1</v>
      </c>
      <c r="Q165" s="325">
        <f>=$C165</f>
        <v>1</v>
      </c>
      <c r="R165" s="325">
        <f>=$C165</f>
        <v>1</v>
      </c>
      <c r="S165" s="325">
        <f>=$C165</f>
        <v>1</v>
      </c>
      <c r="T165" s="325">
        <f>=$C165</f>
        <v>1</v>
      </c>
      <c r="U165" s="325">
        <f>=$C165</f>
        <v>1</v>
      </c>
      <c r="V165" s="325">
        <f>=$C165</f>
        <v>1</v>
      </c>
      <c r="W165" s="325">
        <f>=$C165</f>
        <v>1</v>
      </c>
      <c r="X165" s="325">
        <f>=$C165</f>
        <v>1</v>
      </c>
      <c r="Y165" s="325">
        <f>=$C165</f>
        <v>1</v>
      </c>
      <c r="Z165" s="325">
        <f>=$C165</f>
        <v>1</v>
      </c>
    </row>
    <row r="166" spans="1:26" ht="12" customHeight="true">
      <c r="A166" s="314" t="s"/>
      <c r="B166" s="326" t="s">
        <v>676</v>
      </c>
      <c r="C166" s="327" t="s"/>
      <c r="D166" s="310" t="s"/>
      <c r="E166" s="328">
        <f>=E164*E165</f>
        <v>0</v>
      </c>
      <c r="F166" s="328">
        <f>=F164*F165</f>
        <v>0</v>
      </c>
      <c r="G166" s="328">
        <f>=G164*G165</f>
        <v>0</v>
      </c>
      <c r="H166" s="328">
        <f>=H164*H165</f>
        <v>0</v>
      </c>
      <c r="I166" s="328">
        <f>=I164*I165</f>
        <v>0</v>
      </c>
      <c r="J166" s="328">
        <f>=J164*J165</f>
        <v>0</v>
      </c>
      <c r="K166" s="328">
        <f>=K164*K165</f>
        <v>0</v>
      </c>
      <c r="L166" s="328">
        <f>=L164*L165</f>
        <v>0</v>
      </c>
      <c r="M166" s="328">
        <f>=M164*M165</f>
        <v>0</v>
      </c>
      <c r="N166" s="328">
        <f>=N164*N165</f>
        <v>0</v>
      </c>
      <c r="O166" s="328">
        <f>=O164*O165</f>
        <v>0</v>
      </c>
      <c r="P166" s="328">
        <f>=P164*P165</f>
        <v>0</v>
      </c>
      <c r="Q166" s="328">
        <f>=Q164*Q165</f>
        <v>0</v>
      </c>
      <c r="R166" s="328">
        <f>=R164*R165</f>
        <v>0</v>
      </c>
      <c r="S166" s="328">
        <f>=S164*S165</f>
        <v>0</v>
      </c>
      <c r="T166" s="328">
        <f>=T164*T165</f>
        <v>0</v>
      </c>
      <c r="U166" s="328">
        <f>=U164*U165</f>
        <v>0</v>
      </c>
      <c r="V166" s="328">
        <f>=V164*V165</f>
        <v>0</v>
      </c>
      <c r="W166" s="328">
        <f>=W164*W165</f>
        <v>0</v>
      </c>
      <c r="X166" s="328">
        <f>=X164*X165</f>
        <v>0</v>
      </c>
      <c r="Y166" s="328">
        <f>=Y164*Y165</f>
        <v>0</v>
      </c>
      <c r="Z166" s="328">
        <f>=Z164*Z165</f>
        <v>0</v>
      </c>
    </row>
    <row r="167" spans="1:26" ht="12" customHeight="true">
      <c r="A167" s="314" t="s"/>
      <c r="B167" s="333" t="s">
        <v>1236</v>
      </c>
      <c r="C167" s="585" t="s"/>
      <c r="D167" s="345">
        <f>=SUM(E167:Z167)</f>
        <v>0</v>
      </c>
      <c r="E167" s="331" t="s"/>
      <c r="F167" s="331" t="s"/>
      <c r="G167" s="331" t="s"/>
      <c r="H167" s="331" t="s"/>
      <c r="I167" s="331" t="s"/>
      <c r="J167" s="331" t="s"/>
      <c r="K167" s="331" t="s"/>
      <c r="L167" s="331" t="s"/>
      <c r="M167" s="331" t="s"/>
      <c r="N167" s="331" t="s"/>
      <c r="O167" s="331" t="s"/>
      <c r="P167" s="331" t="s"/>
      <c r="Q167" s="331" t="s"/>
      <c r="R167" s="331" t="s"/>
      <c r="S167" s="331" t="s"/>
      <c r="T167" s="331" t="s"/>
      <c r="U167" s="331" t="s"/>
      <c r="V167" s="331" t="s"/>
      <c r="W167" s="331" t="s"/>
      <c r="X167" s="331" t="s"/>
      <c r="Y167" s="331" t="s"/>
      <c r="Z167" s="331" t="s"/>
    </row>
    <row r="168" spans="1:26" ht="12" customHeight="true">
      <c r="A168" s="314" t="s"/>
      <c r="B168" s="333" t="s">
        <v>1238</v>
      </c>
      <c r="C168" s="333" t="s"/>
      <c r="D168" s="345">
        <f>=SUM(E168:Z168)</f>
        <v>0</v>
      </c>
      <c r="E168" s="306">
        <f>=E166*E167</f>
        <v>0</v>
      </c>
      <c r="F168" s="306">
        <f>=F166*F167</f>
        <v>0</v>
      </c>
      <c r="G168" s="306">
        <f>=G166*G167</f>
        <v>0</v>
      </c>
      <c r="H168" s="306">
        <f>=H166*H167</f>
        <v>0</v>
      </c>
      <c r="I168" s="306">
        <f>=I166*I167</f>
        <v>0</v>
      </c>
      <c r="J168" s="306">
        <f>=J166*J167</f>
        <v>0</v>
      </c>
      <c r="K168" s="306">
        <f>=K166*K167</f>
        <v>0</v>
      </c>
      <c r="L168" s="306">
        <f>=L166*L167</f>
        <v>0</v>
      </c>
      <c r="M168" s="306">
        <f>=M166*M167</f>
        <v>0</v>
      </c>
      <c r="N168" s="306">
        <f>=N166*N167</f>
        <v>0</v>
      </c>
      <c r="O168" s="306">
        <f>=O166*O167</f>
        <v>0</v>
      </c>
      <c r="P168" s="306">
        <f>=P166*P167</f>
        <v>0</v>
      </c>
      <c r="Q168" s="306">
        <f>=Q166*Q167</f>
        <v>0</v>
      </c>
      <c r="R168" s="306">
        <f>=R166*R167</f>
        <v>0</v>
      </c>
      <c r="S168" s="306">
        <f>=S166*S167</f>
        <v>0</v>
      </c>
      <c r="T168" s="306">
        <f>=T166*T167</f>
        <v>0</v>
      </c>
      <c r="U168" s="306">
        <f>=U166*U167</f>
        <v>0</v>
      </c>
      <c r="V168" s="306">
        <f>=V166*V167</f>
        <v>0</v>
      </c>
      <c r="W168" s="306">
        <f>=W166*W167</f>
        <v>0</v>
      </c>
      <c r="X168" s="306">
        <f>=X166*X167</f>
        <v>0</v>
      </c>
      <c r="Y168" s="306">
        <f>=Y166*Y167</f>
        <v>0</v>
      </c>
      <c r="Z168" s="306">
        <f>=Z166*Z167</f>
        <v>0</v>
      </c>
    </row>
    <row r="169" spans="1:26" ht="12" customHeight="true">
      <c r="A169" s="314" t="s"/>
      <c r="B169" s="334" t="s">
        <v>1240</v>
      </c>
      <c r="C169" s="335" t="s"/>
      <c r="D169" s="310" t="s"/>
      <c r="E169" s="336">
        <f>=$C169</f>
        <v>0</v>
      </c>
      <c r="F169" s="336">
        <f>=$C169</f>
        <v>0</v>
      </c>
      <c r="G169" s="336">
        <f>=$C169</f>
        <v>0</v>
      </c>
      <c r="H169" s="336">
        <f>=$C169</f>
        <v>0</v>
      </c>
      <c r="I169" s="336">
        <f>=$C169</f>
        <v>0</v>
      </c>
      <c r="J169" s="336">
        <f>=$C169</f>
        <v>0</v>
      </c>
      <c r="K169" s="336">
        <f>=$C169</f>
        <v>0</v>
      </c>
      <c r="L169" s="336">
        <f>=$C169</f>
        <v>0</v>
      </c>
      <c r="M169" s="336">
        <f>=$C169</f>
        <v>0</v>
      </c>
      <c r="N169" s="336">
        <f>=$C169</f>
        <v>0</v>
      </c>
      <c r="O169" s="336">
        <f>=$C169</f>
        <v>0</v>
      </c>
      <c r="P169" s="336">
        <f>=$C169</f>
        <v>0</v>
      </c>
      <c r="Q169" s="336">
        <f>=$C169</f>
        <v>0</v>
      </c>
      <c r="R169" s="336">
        <f>=$C169</f>
        <v>0</v>
      </c>
      <c r="S169" s="336">
        <f>=$C169</f>
        <v>0</v>
      </c>
      <c r="T169" s="336">
        <f>=$C169</f>
        <v>0</v>
      </c>
      <c r="U169" s="336">
        <f>=$C169</f>
        <v>0</v>
      </c>
      <c r="V169" s="336">
        <f>=$C169</f>
        <v>0</v>
      </c>
      <c r="W169" s="336">
        <f>=$C169</f>
        <v>0</v>
      </c>
      <c r="X169" s="336">
        <f>=$C169</f>
        <v>0</v>
      </c>
      <c r="Y169" s="336">
        <f>=$C169</f>
        <v>0</v>
      </c>
      <c r="Z169" s="336">
        <f>=$C169</f>
        <v>0</v>
      </c>
    </row>
    <row r="170" spans="1:26" ht="12" customHeight="true">
      <c r="A170" s="314" t="s"/>
      <c r="B170" s="334" t="s">
        <v>1229</v>
      </c>
      <c r="C170" s="310" t="s"/>
      <c r="D170" s="310">
        <f>=SUM(E170:Z170)</f>
        <v>0</v>
      </c>
      <c r="E170" s="306">
        <f>=E168*(1+E169)</f>
        <v>0</v>
      </c>
      <c r="F170" s="306">
        <f>=F168*(1+F169)</f>
        <v>0</v>
      </c>
      <c r="G170" s="306">
        <f>=G168*(1+G169)</f>
        <v>0</v>
      </c>
      <c r="H170" s="306">
        <f>=H168*(1+H169)</f>
        <v>0</v>
      </c>
      <c r="I170" s="306">
        <f>=I168*(1+I169)</f>
        <v>0</v>
      </c>
      <c r="J170" s="306">
        <f>=J168*(1+J169)</f>
        <v>0</v>
      </c>
      <c r="K170" s="306">
        <f>=K168*(1+K169)</f>
        <v>0</v>
      </c>
      <c r="L170" s="306">
        <f>=L168*(1+L169)</f>
        <v>0</v>
      </c>
      <c r="M170" s="306">
        <f>=M168*(1+M169)</f>
        <v>0</v>
      </c>
      <c r="N170" s="306">
        <f>=N168*(1+N169)</f>
        <v>0</v>
      </c>
      <c r="O170" s="306">
        <f>=O168*(1+O169)</f>
        <v>0</v>
      </c>
      <c r="P170" s="306">
        <f>=P168*(1+P169)</f>
        <v>0</v>
      </c>
      <c r="Q170" s="306">
        <f>=Q168*(1+Q169)</f>
        <v>0</v>
      </c>
      <c r="R170" s="306">
        <f>=R168*(1+R169)</f>
        <v>0</v>
      </c>
      <c r="S170" s="306">
        <f>=S168*(1+S169)</f>
        <v>0</v>
      </c>
      <c r="T170" s="306">
        <f>=T168*(1+T169)</f>
        <v>0</v>
      </c>
      <c r="U170" s="306">
        <f>=U168*(1+U169)</f>
        <v>0</v>
      </c>
      <c r="V170" s="306">
        <f>=V168*(1+V169)</f>
        <v>0</v>
      </c>
      <c r="W170" s="306">
        <f>=W168*(1+W169)</f>
        <v>0</v>
      </c>
      <c r="X170" s="306">
        <f>=X168*(1+X169)</f>
        <v>0</v>
      </c>
      <c r="Y170" s="306">
        <f>=Y168*(1+Y169)</f>
        <v>0</v>
      </c>
      <c r="Z170" s="306">
        <f>=Z168*(1+Z169)</f>
        <v>0</v>
      </c>
    </row>
    <row r="171" spans="1:26" ht="12" customHeight="true">
      <c r="A171" s="314" t="s"/>
      <c r="B171" s="334" t="s">
        <v>682</v>
      </c>
      <c r="C171" s="335" t="s"/>
      <c r="D171" s="310" t="s"/>
      <c r="E171" s="336">
        <f>=$C171</f>
        <v>0</v>
      </c>
      <c r="F171" s="336">
        <f>=$C171</f>
        <v>0</v>
      </c>
      <c r="G171" s="336">
        <f>=$C171</f>
        <v>0</v>
      </c>
      <c r="H171" s="336">
        <f>=$C171</f>
        <v>0</v>
      </c>
      <c r="I171" s="336">
        <f>=$C171</f>
        <v>0</v>
      </c>
      <c r="J171" s="336">
        <f>=$C171</f>
        <v>0</v>
      </c>
      <c r="K171" s="336">
        <f>=$C171</f>
        <v>0</v>
      </c>
      <c r="L171" s="336">
        <f>=$C171</f>
        <v>0</v>
      </c>
      <c r="M171" s="336">
        <f>=$C171</f>
        <v>0</v>
      </c>
      <c r="N171" s="336">
        <f>=$C171</f>
        <v>0</v>
      </c>
      <c r="O171" s="336">
        <f>=$C171</f>
        <v>0</v>
      </c>
      <c r="P171" s="336">
        <f>=$C171</f>
        <v>0</v>
      </c>
      <c r="Q171" s="336">
        <f>=$C171</f>
        <v>0</v>
      </c>
      <c r="R171" s="336">
        <f>=$C171</f>
        <v>0</v>
      </c>
      <c r="S171" s="336">
        <f>=$C171</f>
        <v>0</v>
      </c>
      <c r="T171" s="336">
        <f>=$C171</f>
        <v>0</v>
      </c>
      <c r="U171" s="336">
        <f>=$C171</f>
        <v>0</v>
      </c>
      <c r="V171" s="336">
        <f>=$C171</f>
        <v>0</v>
      </c>
      <c r="W171" s="336">
        <f>=$C171</f>
        <v>0</v>
      </c>
      <c r="X171" s="336">
        <f>=$C171</f>
        <v>0</v>
      </c>
      <c r="Y171" s="336">
        <f>=$C171</f>
        <v>0</v>
      </c>
      <c r="Z171" s="336">
        <f>=$C171</f>
        <v>0</v>
      </c>
    </row>
    <row r="172" spans="1:26" ht="12" customHeight="true">
      <c r="A172" s="314" t="s"/>
      <c r="B172" s="334" t="s">
        <v>656</v>
      </c>
      <c r="C172" s="337" t="s"/>
      <c r="D172" s="345">
        <f>=SUM(E172:Z172)</f>
        <v>0</v>
      </c>
      <c r="E172" s="306">
        <f>=IF(E169=0,E170*E171/(1+E171),E170*E171)</f>
        <v>0</v>
      </c>
      <c r="F172" s="306">
        <f>=IF(F169=0,F170*F171/(1+F171),F170*F171)</f>
        <v>0</v>
      </c>
      <c r="G172" s="306">
        <f>=IF(G169=0,G170*G171/(1+G171),G170*G171)</f>
        <v>0</v>
      </c>
      <c r="H172" s="306">
        <f>=IF(H169=0,H170*H171/(1+H171),H170*H171)</f>
        <v>0</v>
      </c>
      <c r="I172" s="306">
        <f>=IF(I169=0,I170*I171/(1+I171),I170*I171)</f>
        <v>0</v>
      </c>
      <c r="J172" s="306">
        <f>=IF(J169=0,J170*J171/(1+J171),J170*J171)</f>
        <v>0</v>
      </c>
      <c r="K172" s="306">
        <f>=IF(K169=0,K170*K171/(1+K171),K170*K171)</f>
        <v>0</v>
      </c>
      <c r="L172" s="306">
        <f>=IF(L169=0,L170*L171/(1+L171),L170*L171)</f>
        <v>0</v>
      </c>
      <c r="M172" s="306">
        <f>=IF(M169=0,M170*M171/(1+M171),M170*M171)</f>
        <v>0</v>
      </c>
      <c r="N172" s="306">
        <f>=IF(N169=0,N170*N171/(1+N171),N170*N171)</f>
        <v>0</v>
      </c>
      <c r="O172" s="306">
        <f>=IF(O169=0,O170*O171/(1+O171),O170*O171)</f>
        <v>0</v>
      </c>
      <c r="P172" s="306">
        <f>=IF(P169=0,P170*P171/(1+P171),P170*P171)</f>
        <v>0</v>
      </c>
      <c r="Q172" s="306">
        <f>=IF(Q169=0,Q170*Q171/(1+Q171),Q170*Q171)</f>
        <v>0</v>
      </c>
      <c r="R172" s="306">
        <f>=IF(R169=0,R170*R171/(1+R171),R170*R171)</f>
        <v>0</v>
      </c>
      <c r="S172" s="306">
        <f>=IF(S169=0,S170*S171/(1+S171),S170*S171)</f>
        <v>0</v>
      </c>
      <c r="T172" s="306">
        <f>=IF(T169=0,T170*T171/(1+T171),T170*T171)</f>
        <v>0</v>
      </c>
      <c r="U172" s="306">
        <f>=IF(U169=0,U170*U171/(1+U171),U170*U171)</f>
        <v>0</v>
      </c>
      <c r="V172" s="306">
        <f>=IF(V169=0,V170*V171/(1+V171),V170*V171)</f>
        <v>0</v>
      </c>
      <c r="W172" s="306">
        <f>=IF(W169=0,W170*W171/(1+W171),W170*W171)</f>
        <v>0</v>
      </c>
      <c r="X172" s="306">
        <f>=IF(X169=0,X170*X171/(1+X171),X170*X171)</f>
        <v>0</v>
      </c>
      <c r="Y172" s="306">
        <f>=IF(Y169=0,Y170*Y171/(1+Y171),Y170*Y171)</f>
        <v>0</v>
      </c>
      <c r="Z172" s="306">
        <f>=IF(Z169=0,Z170*Z171/(1+Z171),Z170*Z171)</f>
        <v>0</v>
      </c>
    </row>
    <row r="173" spans="1:26" ht="12" customHeight="true">
      <c r="A173" s="314" t="s"/>
      <c r="B173" s="334" t="s">
        <v>1242</v>
      </c>
      <c r="C173" s="337" t="s"/>
      <c r="D173" s="345">
        <f>=SUM(E173:Z173)</f>
        <v>0</v>
      </c>
      <c r="E173" s="306">
        <f>=IF(E169=0,E168,E170+E172)</f>
        <v>0</v>
      </c>
      <c r="F173" s="306">
        <f>=IF(F169=0,F168,F170+F172)</f>
        <v>0</v>
      </c>
      <c r="G173" s="306">
        <f>=IF(G169=0,G168,G170+G172)</f>
        <v>0</v>
      </c>
      <c r="H173" s="306">
        <f>=IF(H169=0,H168,H170+H172)</f>
        <v>0</v>
      </c>
      <c r="I173" s="306">
        <f>=IF(I169=0,I168,I170+I172)</f>
        <v>0</v>
      </c>
      <c r="J173" s="306">
        <f>=IF(J169=0,J168,J170+J172)</f>
        <v>0</v>
      </c>
      <c r="K173" s="306">
        <f>=IF(K169=0,K168,K170+K172)</f>
        <v>0</v>
      </c>
      <c r="L173" s="306">
        <f>=IF(L169=0,L168,L170+L172)</f>
        <v>0</v>
      </c>
      <c r="M173" s="306">
        <f>=IF(M169=0,M168,M170+M172)</f>
        <v>0</v>
      </c>
      <c r="N173" s="306">
        <f>=IF(N169=0,N168,N170+N172)</f>
        <v>0</v>
      </c>
      <c r="O173" s="306">
        <f>=IF(O169=0,O168,O170+O172)</f>
        <v>0</v>
      </c>
      <c r="P173" s="306">
        <f>=IF(P169=0,P168,P170+P172)</f>
        <v>0</v>
      </c>
      <c r="Q173" s="306">
        <f>=IF(Q169=0,Q168,Q170+Q172)</f>
        <v>0</v>
      </c>
      <c r="R173" s="306">
        <f>=IF(R169=0,R168,R170+R172)</f>
        <v>0</v>
      </c>
      <c r="S173" s="306">
        <f>=IF(S169=0,S168,S170+S172)</f>
        <v>0</v>
      </c>
      <c r="T173" s="306">
        <f>=IF(T169=0,T168,T170+T172)</f>
        <v>0</v>
      </c>
      <c r="U173" s="306">
        <f>=IF(U169=0,U168,U170+U172)</f>
        <v>0</v>
      </c>
      <c r="V173" s="306">
        <f>=IF(V169=0,V168,V170+V172)</f>
        <v>0</v>
      </c>
      <c r="W173" s="306">
        <f>=IF(W169=0,W168,W170+W172)</f>
        <v>0</v>
      </c>
      <c r="X173" s="306">
        <f>=IF(X169=0,X168,X170+X172)</f>
        <v>0</v>
      </c>
      <c r="Y173" s="306">
        <f>=IF(Y169=0,Y168,Y170+Y172)</f>
        <v>0</v>
      </c>
      <c r="Z173" s="306">
        <f>=IF(Z169=0,Z168,Z170+Z172)</f>
        <v>0</v>
      </c>
    </row>
    <row r="174" spans="1:26" ht="12" customHeight="true">
      <c r="A174" s="314">
        <v>2.5</v>
      </c>
      <c r="B174" s="580" t="s"/>
      <c r="C174" s="580" t="s"/>
      <c r="D174" s="316" t="s">
        <v>672</v>
      </c>
      <c r="E174" s="316" t="s"/>
      <c r="F174" s="316" t="s"/>
      <c r="G174" s="316" t="s"/>
      <c r="H174" s="316" t="s"/>
      <c r="I174" s="316" t="s"/>
      <c r="J174" s="316" t="s"/>
      <c r="K174" s="316" t="s"/>
      <c r="L174" s="316" t="s"/>
      <c r="M174" s="316" t="s"/>
      <c r="N174" s="316" t="s"/>
      <c r="O174" s="316" t="s"/>
      <c r="P174" s="316" t="s"/>
      <c r="Q174" s="316" t="s"/>
      <c r="R174" s="316" t="s"/>
      <c r="S174" s="316" t="s"/>
      <c r="T174" s="316" t="s"/>
      <c r="U174" s="316" t="s"/>
      <c r="V174" s="316" t="s"/>
      <c r="W174" s="316" t="s"/>
      <c r="X174" s="316" t="s"/>
      <c r="Y174" s="316" t="s"/>
      <c r="Z174" s="316" t="s"/>
    </row>
    <row r="175" spans="1:26" ht="12" customHeight="true">
      <c r="A175" s="314" t="s"/>
      <c r="B175" s="318" t="s">
        <v>688</v>
      </c>
      <c r="C175" s="319" t="s"/>
      <c r="D175" s="582" t="s">
        <v>674</v>
      </c>
      <c r="E175" s="331" t="s"/>
      <c r="F175" s="331" t="s"/>
      <c r="G175" s="331" t="s"/>
      <c r="H175" s="331" t="s"/>
      <c r="I175" s="331" t="s"/>
      <c r="J175" s="331" t="s"/>
      <c r="K175" s="331" t="s"/>
      <c r="L175" s="331" t="s"/>
      <c r="M175" s="331" t="s"/>
      <c r="N175" s="331" t="s"/>
      <c r="O175" s="331" t="s"/>
      <c r="P175" s="331" t="s"/>
      <c r="Q175" s="331" t="s"/>
      <c r="R175" s="331" t="s"/>
      <c r="S175" s="331" t="s"/>
      <c r="T175" s="331" t="s"/>
      <c r="U175" s="331" t="s"/>
      <c r="V175" s="331" t="s"/>
      <c r="W175" s="331" t="s"/>
      <c r="X175" s="331" t="s"/>
      <c r="Y175" s="331" t="s"/>
      <c r="Z175" s="331" t="s"/>
    </row>
    <row r="176" spans="1:26" ht="12" customHeight="true">
      <c r="A176" s="314" t="s"/>
      <c r="B176" s="323" t="s">
        <v>534</v>
      </c>
      <c r="C176" s="586">
        <f>=IF($D175="美元",辅助表1评估项目基础数据表!$C$17,IF($D175="其他外币",辅助表1评估项目基础数据表!$C$18,1))</f>
        <v>1</v>
      </c>
      <c r="D176" s="300" t="s"/>
      <c r="E176" s="325">
        <f>=$C176</f>
        <v>1</v>
      </c>
      <c r="F176" s="325">
        <f>=$C176</f>
        <v>1</v>
      </c>
      <c r="G176" s="325">
        <f>=$C176</f>
        <v>1</v>
      </c>
      <c r="H176" s="325">
        <f>=$C176</f>
        <v>1</v>
      </c>
      <c r="I176" s="325">
        <f>=$C176</f>
        <v>1</v>
      </c>
      <c r="J176" s="325">
        <f>=$C176</f>
        <v>1</v>
      </c>
      <c r="K176" s="325">
        <f>=$C176</f>
        <v>1</v>
      </c>
      <c r="L176" s="325">
        <f>=$C176</f>
        <v>1</v>
      </c>
      <c r="M176" s="325">
        <f>=$C176</f>
        <v>1</v>
      </c>
      <c r="N176" s="325">
        <f>=$C176</f>
        <v>1</v>
      </c>
      <c r="O176" s="325">
        <f>=$C176</f>
        <v>1</v>
      </c>
      <c r="P176" s="325">
        <f>=$C176</f>
        <v>1</v>
      </c>
      <c r="Q176" s="325">
        <f>=$C176</f>
        <v>1</v>
      </c>
      <c r="R176" s="325">
        <f>=$C176</f>
        <v>1</v>
      </c>
      <c r="S176" s="325">
        <f>=$C176</f>
        <v>1</v>
      </c>
      <c r="T176" s="325">
        <f>=$C176</f>
        <v>1</v>
      </c>
      <c r="U176" s="325">
        <f>=$C176</f>
        <v>1</v>
      </c>
      <c r="V176" s="325">
        <f>=$C176</f>
        <v>1</v>
      </c>
      <c r="W176" s="325">
        <f>=$C176</f>
        <v>1</v>
      </c>
      <c r="X176" s="325">
        <f>=$C176</f>
        <v>1</v>
      </c>
      <c r="Y176" s="325">
        <f>=$C176</f>
        <v>1</v>
      </c>
      <c r="Z176" s="325">
        <f>=$C176</f>
        <v>1</v>
      </c>
    </row>
    <row r="177" spans="1:26" ht="12" customHeight="true">
      <c r="A177" s="314" t="s"/>
      <c r="B177" s="326" t="s">
        <v>676</v>
      </c>
      <c r="C177" s="327" t="s"/>
      <c r="D177" s="310" t="s"/>
      <c r="E177" s="328">
        <f>=E175*E176</f>
        <v>0</v>
      </c>
      <c r="F177" s="328">
        <f>=F175*F176</f>
        <v>0</v>
      </c>
      <c r="G177" s="328">
        <f>=G175*G176</f>
        <v>0</v>
      </c>
      <c r="H177" s="328">
        <f>=H175*H176</f>
        <v>0</v>
      </c>
      <c r="I177" s="328">
        <f>=I175*I176</f>
        <v>0</v>
      </c>
      <c r="J177" s="328">
        <f>=J175*J176</f>
        <v>0</v>
      </c>
      <c r="K177" s="328">
        <f>=K175*K176</f>
        <v>0</v>
      </c>
      <c r="L177" s="328">
        <f>=L175*L176</f>
        <v>0</v>
      </c>
      <c r="M177" s="328">
        <f>=M175*M176</f>
        <v>0</v>
      </c>
      <c r="N177" s="328">
        <f>=N175*N176</f>
        <v>0</v>
      </c>
      <c r="O177" s="328">
        <f>=O175*O176</f>
        <v>0</v>
      </c>
      <c r="P177" s="328">
        <f>=P175*P176</f>
        <v>0</v>
      </c>
      <c r="Q177" s="328">
        <f>=Q175*Q176</f>
        <v>0</v>
      </c>
      <c r="R177" s="328">
        <f>=R175*R176</f>
        <v>0</v>
      </c>
      <c r="S177" s="328">
        <f>=S175*S176</f>
        <v>0</v>
      </c>
      <c r="T177" s="328">
        <f>=T175*T176</f>
        <v>0</v>
      </c>
      <c r="U177" s="328">
        <f>=U175*U176</f>
        <v>0</v>
      </c>
      <c r="V177" s="328">
        <f>=V175*V176</f>
        <v>0</v>
      </c>
      <c r="W177" s="328">
        <f>=W175*W176</f>
        <v>0</v>
      </c>
      <c r="X177" s="328">
        <f>=X175*X176</f>
        <v>0</v>
      </c>
      <c r="Y177" s="328">
        <f>=Y175*Y176</f>
        <v>0</v>
      </c>
      <c r="Z177" s="328">
        <f>=Z175*Z176</f>
        <v>0</v>
      </c>
    </row>
    <row r="178" spans="1:26" ht="12" customHeight="true">
      <c r="A178" s="314" t="s"/>
      <c r="B178" s="333" t="s">
        <v>1236</v>
      </c>
      <c r="C178" s="585" t="s"/>
      <c r="D178" s="345">
        <f>=SUM(E178:Z178)</f>
        <v>0</v>
      </c>
      <c r="E178" s="331" t="s"/>
      <c r="F178" s="331" t="s"/>
      <c r="G178" s="331" t="s"/>
      <c r="H178" s="331" t="s"/>
      <c r="I178" s="331" t="s"/>
      <c r="J178" s="331" t="s"/>
      <c r="K178" s="331" t="s"/>
      <c r="L178" s="331" t="s"/>
      <c r="M178" s="331" t="s"/>
      <c r="N178" s="331" t="s"/>
      <c r="O178" s="331" t="s"/>
      <c r="P178" s="331" t="s"/>
      <c r="Q178" s="331" t="s"/>
      <c r="R178" s="331" t="s"/>
      <c r="S178" s="331" t="s"/>
      <c r="T178" s="331" t="s"/>
      <c r="U178" s="331" t="s"/>
      <c r="V178" s="331" t="s"/>
      <c r="W178" s="331" t="s"/>
      <c r="X178" s="331" t="s"/>
      <c r="Y178" s="331" t="s"/>
      <c r="Z178" s="331" t="s"/>
    </row>
    <row r="179" spans="1:26" ht="12" customHeight="true">
      <c r="A179" s="314" t="s"/>
      <c r="B179" s="333" t="s">
        <v>1238</v>
      </c>
      <c r="C179" s="333" t="s"/>
      <c r="D179" s="345">
        <f>=SUM(E179:Z179)</f>
        <v>0</v>
      </c>
      <c r="E179" s="306">
        <f>=E177*E178</f>
        <v>0</v>
      </c>
      <c r="F179" s="306">
        <f>=F177*F178</f>
        <v>0</v>
      </c>
      <c r="G179" s="306">
        <f>=G177*G178</f>
        <v>0</v>
      </c>
      <c r="H179" s="306">
        <f>=H177*H178</f>
        <v>0</v>
      </c>
      <c r="I179" s="306">
        <f>=I177*I178</f>
        <v>0</v>
      </c>
      <c r="J179" s="306">
        <f>=J177*J178</f>
        <v>0</v>
      </c>
      <c r="K179" s="306">
        <f>=K177*K178</f>
        <v>0</v>
      </c>
      <c r="L179" s="306">
        <f>=L177*L178</f>
        <v>0</v>
      </c>
      <c r="M179" s="306">
        <f>=M177*M178</f>
        <v>0</v>
      </c>
      <c r="N179" s="306">
        <f>=N177*N178</f>
        <v>0</v>
      </c>
      <c r="O179" s="306">
        <f>=O177*O178</f>
        <v>0</v>
      </c>
      <c r="P179" s="306">
        <f>=P177*P178</f>
        <v>0</v>
      </c>
      <c r="Q179" s="306">
        <f>=Q177*Q178</f>
        <v>0</v>
      </c>
      <c r="R179" s="306">
        <f>=R177*R178</f>
        <v>0</v>
      </c>
      <c r="S179" s="306">
        <f>=S177*S178</f>
        <v>0</v>
      </c>
      <c r="T179" s="306">
        <f>=T177*T178</f>
        <v>0</v>
      </c>
      <c r="U179" s="306">
        <f>=U177*U178</f>
        <v>0</v>
      </c>
      <c r="V179" s="306">
        <f>=V177*V178</f>
        <v>0</v>
      </c>
      <c r="W179" s="306">
        <f>=W177*W178</f>
        <v>0</v>
      </c>
      <c r="X179" s="306">
        <f>=X177*X178</f>
        <v>0</v>
      </c>
      <c r="Y179" s="306">
        <f>=Y177*Y178</f>
        <v>0</v>
      </c>
      <c r="Z179" s="306">
        <f>=Z177*Z178</f>
        <v>0</v>
      </c>
    </row>
    <row r="180" spans="1:26" ht="12" customHeight="true">
      <c r="A180" s="314" t="s"/>
      <c r="B180" s="334" t="s">
        <v>1240</v>
      </c>
      <c r="C180" s="335" t="s"/>
      <c r="D180" s="310" t="s"/>
      <c r="E180" s="336">
        <f>=$C180</f>
        <v>0</v>
      </c>
      <c r="F180" s="336">
        <f>=$C180</f>
        <v>0</v>
      </c>
      <c r="G180" s="336">
        <f>=$C180</f>
        <v>0</v>
      </c>
      <c r="H180" s="336">
        <f>=$C180</f>
        <v>0</v>
      </c>
      <c r="I180" s="336">
        <f>=$C180</f>
        <v>0</v>
      </c>
      <c r="J180" s="336">
        <f>=$C180</f>
        <v>0</v>
      </c>
      <c r="K180" s="336">
        <f>=$C180</f>
        <v>0</v>
      </c>
      <c r="L180" s="336">
        <f>=$C180</f>
        <v>0</v>
      </c>
      <c r="M180" s="336">
        <f>=$C180</f>
        <v>0</v>
      </c>
      <c r="N180" s="336">
        <f>=$C180</f>
        <v>0</v>
      </c>
      <c r="O180" s="336">
        <f>=$C180</f>
        <v>0</v>
      </c>
      <c r="P180" s="336">
        <f>=$C180</f>
        <v>0</v>
      </c>
      <c r="Q180" s="336">
        <f>=$C180</f>
        <v>0</v>
      </c>
      <c r="R180" s="336">
        <f>=$C180</f>
        <v>0</v>
      </c>
      <c r="S180" s="336">
        <f>=$C180</f>
        <v>0</v>
      </c>
      <c r="T180" s="336">
        <f>=$C180</f>
        <v>0</v>
      </c>
      <c r="U180" s="336">
        <f>=$C180</f>
        <v>0</v>
      </c>
      <c r="V180" s="336">
        <f>=$C180</f>
        <v>0</v>
      </c>
      <c r="W180" s="336">
        <f>=$C180</f>
        <v>0</v>
      </c>
      <c r="X180" s="336">
        <f>=$C180</f>
        <v>0</v>
      </c>
      <c r="Y180" s="336">
        <f>=$C180</f>
        <v>0</v>
      </c>
      <c r="Z180" s="336">
        <f>=$C180</f>
        <v>0</v>
      </c>
    </row>
    <row r="181" spans="1:26" ht="12" customHeight="true">
      <c r="A181" s="314" t="s"/>
      <c r="B181" s="334" t="s">
        <v>1229</v>
      </c>
      <c r="C181" s="310" t="s"/>
      <c r="D181" s="310">
        <f>=SUM(E181:Z181)</f>
        <v>0</v>
      </c>
      <c r="E181" s="306">
        <f>=E179*(1+E180)</f>
        <v>0</v>
      </c>
      <c r="F181" s="306">
        <f>=F179*(1+F180)</f>
        <v>0</v>
      </c>
      <c r="G181" s="306">
        <f>=G179*(1+G180)</f>
        <v>0</v>
      </c>
      <c r="H181" s="306">
        <f>=H179*(1+H180)</f>
        <v>0</v>
      </c>
      <c r="I181" s="306">
        <f>=I179*(1+I180)</f>
        <v>0</v>
      </c>
      <c r="J181" s="306">
        <f>=J179*(1+J180)</f>
        <v>0</v>
      </c>
      <c r="K181" s="306">
        <f>=K179*(1+K180)</f>
        <v>0</v>
      </c>
      <c r="L181" s="306">
        <f>=L179*(1+L180)</f>
        <v>0</v>
      </c>
      <c r="M181" s="306">
        <f>=M179*(1+M180)</f>
        <v>0</v>
      </c>
      <c r="N181" s="306">
        <f>=N179*(1+N180)</f>
        <v>0</v>
      </c>
      <c r="O181" s="306">
        <f>=O179*(1+O180)</f>
        <v>0</v>
      </c>
      <c r="P181" s="306">
        <f>=P179*(1+P180)</f>
        <v>0</v>
      </c>
      <c r="Q181" s="306">
        <f>=Q179*(1+Q180)</f>
        <v>0</v>
      </c>
      <c r="R181" s="306">
        <f>=R179*(1+R180)</f>
        <v>0</v>
      </c>
      <c r="S181" s="306">
        <f>=S179*(1+S180)</f>
        <v>0</v>
      </c>
      <c r="T181" s="306">
        <f>=T179*(1+T180)</f>
        <v>0</v>
      </c>
      <c r="U181" s="306">
        <f>=U179*(1+U180)</f>
        <v>0</v>
      </c>
      <c r="V181" s="306">
        <f>=V179*(1+V180)</f>
        <v>0</v>
      </c>
      <c r="W181" s="306">
        <f>=W179*(1+W180)</f>
        <v>0</v>
      </c>
      <c r="X181" s="306">
        <f>=X179*(1+X180)</f>
        <v>0</v>
      </c>
      <c r="Y181" s="306">
        <f>=Y179*(1+Y180)</f>
        <v>0</v>
      </c>
      <c r="Z181" s="306">
        <f>=Z179*(1+Z180)</f>
        <v>0</v>
      </c>
    </row>
    <row r="182" spans="1:26" ht="12" customHeight="true">
      <c r="A182" s="314" t="s"/>
      <c r="B182" s="334" t="s">
        <v>682</v>
      </c>
      <c r="C182" s="335" t="s"/>
      <c r="D182" s="310" t="s"/>
      <c r="E182" s="336">
        <f>=$C182</f>
        <v>0</v>
      </c>
      <c r="F182" s="336">
        <f>=$C182</f>
        <v>0</v>
      </c>
      <c r="G182" s="336">
        <f>=$C182</f>
        <v>0</v>
      </c>
      <c r="H182" s="336">
        <f>=$C182</f>
        <v>0</v>
      </c>
      <c r="I182" s="336">
        <f>=$C182</f>
        <v>0</v>
      </c>
      <c r="J182" s="336">
        <f>=$C182</f>
        <v>0</v>
      </c>
      <c r="K182" s="336">
        <f>=$C182</f>
        <v>0</v>
      </c>
      <c r="L182" s="336">
        <f>=$C182</f>
        <v>0</v>
      </c>
      <c r="M182" s="336">
        <f>=$C182</f>
        <v>0</v>
      </c>
      <c r="N182" s="336">
        <f>=$C182</f>
        <v>0</v>
      </c>
      <c r="O182" s="336">
        <f>=$C182</f>
        <v>0</v>
      </c>
      <c r="P182" s="336">
        <f>=$C182</f>
        <v>0</v>
      </c>
      <c r="Q182" s="336">
        <f>=$C182</f>
        <v>0</v>
      </c>
      <c r="R182" s="336">
        <f>=$C182</f>
        <v>0</v>
      </c>
      <c r="S182" s="336">
        <f>=$C182</f>
        <v>0</v>
      </c>
      <c r="T182" s="336">
        <f>=$C182</f>
        <v>0</v>
      </c>
      <c r="U182" s="336">
        <f>=$C182</f>
        <v>0</v>
      </c>
      <c r="V182" s="336">
        <f>=$C182</f>
        <v>0</v>
      </c>
      <c r="W182" s="336">
        <f>=$C182</f>
        <v>0</v>
      </c>
      <c r="X182" s="336">
        <f>=$C182</f>
        <v>0</v>
      </c>
      <c r="Y182" s="336">
        <f>=$C182</f>
        <v>0</v>
      </c>
      <c r="Z182" s="336">
        <f>=$C182</f>
        <v>0</v>
      </c>
    </row>
    <row r="183" spans="1:26" ht="12" customHeight="true">
      <c r="A183" s="314" t="s"/>
      <c r="B183" s="334" t="s">
        <v>656</v>
      </c>
      <c r="C183" s="337" t="s"/>
      <c r="D183" s="345">
        <f>=SUM(E183:Z183)</f>
        <v>0</v>
      </c>
      <c r="E183" s="306">
        <f>=IF(E180=0,E181*E182/(1+E182),E181*E182)</f>
        <v>0</v>
      </c>
      <c r="F183" s="306">
        <f>=IF(F180=0,F181*F182/(1+F182),F181*F182)</f>
        <v>0</v>
      </c>
      <c r="G183" s="306">
        <f>=IF(G180=0,G181*G182/(1+G182),G181*G182)</f>
        <v>0</v>
      </c>
      <c r="H183" s="306">
        <f>=IF(H180=0,H181*H182/(1+H182),H181*H182)</f>
        <v>0</v>
      </c>
      <c r="I183" s="306">
        <f>=IF(I180=0,I181*I182/(1+I182),I181*I182)</f>
        <v>0</v>
      </c>
      <c r="J183" s="306">
        <f>=IF(J180=0,J181*J182/(1+J182),J181*J182)</f>
        <v>0</v>
      </c>
      <c r="K183" s="306">
        <f>=IF(K180=0,K181*K182/(1+K182),K181*K182)</f>
        <v>0</v>
      </c>
      <c r="L183" s="306">
        <f>=IF(L180=0,L181*L182/(1+L182),L181*L182)</f>
        <v>0</v>
      </c>
      <c r="M183" s="306">
        <f>=IF(M180=0,M181*M182/(1+M182),M181*M182)</f>
        <v>0</v>
      </c>
      <c r="N183" s="306">
        <f>=IF(N180=0,N181*N182/(1+N182),N181*N182)</f>
        <v>0</v>
      </c>
      <c r="O183" s="306">
        <f>=IF(O180=0,O181*O182/(1+O182),O181*O182)</f>
        <v>0</v>
      </c>
      <c r="P183" s="306">
        <f>=IF(P180=0,P181*P182/(1+P182),P181*P182)</f>
        <v>0</v>
      </c>
      <c r="Q183" s="306">
        <f>=IF(Q180=0,Q181*Q182/(1+Q182),Q181*Q182)</f>
        <v>0</v>
      </c>
      <c r="R183" s="306">
        <f>=IF(R180=0,R181*R182/(1+R182),R181*R182)</f>
        <v>0</v>
      </c>
      <c r="S183" s="306">
        <f>=IF(S180=0,S181*S182/(1+S182),S181*S182)</f>
        <v>0</v>
      </c>
      <c r="T183" s="306">
        <f>=IF(T180=0,T181*T182/(1+T182),T181*T182)</f>
        <v>0</v>
      </c>
      <c r="U183" s="306">
        <f>=IF(U180=0,U181*U182/(1+U182),U181*U182)</f>
        <v>0</v>
      </c>
      <c r="V183" s="306">
        <f>=IF(V180=0,V181*V182/(1+V182),V181*V182)</f>
        <v>0</v>
      </c>
      <c r="W183" s="306">
        <f>=IF(W180=0,W181*W182/(1+W182),W181*W182)</f>
        <v>0</v>
      </c>
      <c r="X183" s="306">
        <f>=IF(X180=0,X181*X182/(1+X182),X181*X182)</f>
        <v>0</v>
      </c>
      <c r="Y183" s="306">
        <f>=IF(Y180=0,Y181*Y182/(1+Y182),Y181*Y182)</f>
        <v>0</v>
      </c>
      <c r="Z183" s="306">
        <f>=IF(Z180=0,Z181*Z182/(1+Z182),Z181*Z182)</f>
        <v>0</v>
      </c>
    </row>
    <row r="184" spans="1:26" ht="12" customHeight="true">
      <c r="A184" s="314" t="s"/>
      <c r="B184" s="334" t="s">
        <v>1242</v>
      </c>
      <c r="C184" s="337" t="s"/>
      <c r="D184" s="345">
        <f>=SUM(E184:Z184)</f>
        <v>0</v>
      </c>
      <c r="E184" s="306">
        <f>=IF(E180=0,E179,E181+E183)</f>
        <v>0</v>
      </c>
      <c r="F184" s="306">
        <f>=IF(F180=0,F179,F181+F183)</f>
        <v>0</v>
      </c>
      <c r="G184" s="306">
        <f>=IF(G180=0,G179,G181+G183)</f>
        <v>0</v>
      </c>
      <c r="H184" s="306">
        <f>=IF(H180=0,H179,H181+H183)</f>
        <v>0</v>
      </c>
      <c r="I184" s="306">
        <f>=IF(I180=0,I179,I181+I183)</f>
        <v>0</v>
      </c>
      <c r="J184" s="306">
        <f>=IF(J180=0,J179,J181+J183)</f>
        <v>0</v>
      </c>
      <c r="K184" s="306">
        <f>=IF(K180=0,K179,K181+K183)</f>
        <v>0</v>
      </c>
      <c r="L184" s="306">
        <f>=IF(L180=0,L179,L181+L183)</f>
        <v>0</v>
      </c>
      <c r="M184" s="306">
        <f>=IF(M180=0,M179,M181+M183)</f>
        <v>0</v>
      </c>
      <c r="N184" s="306">
        <f>=IF(N180=0,N179,N181+N183)</f>
        <v>0</v>
      </c>
      <c r="O184" s="306">
        <f>=IF(O180=0,O179,O181+O183)</f>
        <v>0</v>
      </c>
      <c r="P184" s="306">
        <f>=IF(P180=0,P179,P181+P183)</f>
        <v>0</v>
      </c>
      <c r="Q184" s="306">
        <f>=IF(Q180=0,Q179,Q181+Q183)</f>
        <v>0</v>
      </c>
      <c r="R184" s="306">
        <f>=IF(R180=0,R179,R181+R183)</f>
        <v>0</v>
      </c>
      <c r="S184" s="306">
        <f>=IF(S180=0,S179,S181+S183)</f>
        <v>0</v>
      </c>
      <c r="T184" s="306">
        <f>=IF(T180=0,T179,T181+T183)</f>
        <v>0</v>
      </c>
      <c r="U184" s="306">
        <f>=IF(U180=0,U179,U181+U183)</f>
        <v>0</v>
      </c>
      <c r="V184" s="306">
        <f>=IF(V180=0,V179,V181+V183)</f>
        <v>0</v>
      </c>
      <c r="W184" s="306">
        <f>=IF(W180=0,W179,W181+W183)</f>
        <v>0</v>
      </c>
      <c r="X184" s="306">
        <f>=IF(X180=0,X179,X181+X183)</f>
        <v>0</v>
      </c>
      <c r="Y184" s="306">
        <f>=IF(Y180=0,Y179,Y181+Y183)</f>
        <v>0</v>
      </c>
      <c r="Z184" s="306">
        <f>=IF(Z180=0,Z179,Z181+Z183)</f>
        <v>0</v>
      </c>
    </row>
    <row r="185" spans="1:26" ht="12" customHeight="true">
      <c r="A185" s="314">
        <v>3</v>
      </c>
      <c r="B185" s="318" t="s">
        <v>924</v>
      </c>
      <c r="C185" s="587" t="s"/>
      <c r="D185" s="345">
        <f>=SUM(E185:Z185)</f>
        <v>0</v>
      </c>
      <c r="E185" s="306">
        <f>=E196+E207</f>
        <v>0</v>
      </c>
      <c r="F185" s="306">
        <f>=F196+F207</f>
        <v>0</v>
      </c>
      <c r="G185" s="306">
        <f>=G196+G207</f>
        <v>0</v>
      </c>
      <c r="H185" s="306">
        <f>=H196+H207</f>
        <v>0</v>
      </c>
      <c r="I185" s="306">
        <f>=I196+I207</f>
        <v>0</v>
      </c>
      <c r="J185" s="306">
        <f>=J196+J207</f>
        <v>0</v>
      </c>
      <c r="K185" s="306">
        <f>=K196+K207</f>
        <v>0</v>
      </c>
      <c r="L185" s="306">
        <f>=L196+L207</f>
        <v>0</v>
      </c>
      <c r="M185" s="306">
        <f>=M196+M207</f>
        <v>0</v>
      </c>
      <c r="N185" s="306">
        <f>=N196+N207</f>
        <v>0</v>
      </c>
      <c r="O185" s="306">
        <f>=O196+O207</f>
        <v>0</v>
      </c>
      <c r="P185" s="306">
        <f>=P196+P207</f>
        <v>0</v>
      </c>
      <c r="Q185" s="306">
        <f>=Q196+Q207</f>
        <v>0</v>
      </c>
      <c r="R185" s="306">
        <f>=R196+R207</f>
        <v>0</v>
      </c>
      <c r="S185" s="306">
        <f>=S196+S207</f>
        <v>0</v>
      </c>
      <c r="T185" s="306">
        <f>=T196+T207</f>
        <v>0</v>
      </c>
      <c r="U185" s="306">
        <f>=U196+U207</f>
        <v>0</v>
      </c>
      <c r="V185" s="306">
        <f>=V196+V207</f>
        <v>0</v>
      </c>
      <c r="W185" s="306">
        <f>=W196+W207</f>
        <v>0</v>
      </c>
      <c r="X185" s="306">
        <f>=X196+X207</f>
        <v>0</v>
      </c>
      <c r="Y185" s="306">
        <f>=Y196+Y207</f>
        <v>0</v>
      </c>
      <c r="Z185" s="306">
        <f>=Z196+Z207</f>
        <v>0</v>
      </c>
    </row>
    <row r="186" spans="1:26" ht="12" customHeight="true">
      <c r="A186" s="314">
        <v>3.1</v>
      </c>
      <c r="B186" s="580" t="s"/>
      <c r="C186" s="580" t="s"/>
      <c r="D186" s="316" t="s">
        <v>672</v>
      </c>
      <c r="E186" s="316" t="s"/>
      <c r="F186" s="316" t="s"/>
      <c r="G186" s="316" t="s"/>
      <c r="H186" s="316" t="s"/>
      <c r="I186" s="316" t="s"/>
      <c r="J186" s="316" t="s"/>
      <c r="K186" s="316" t="s"/>
      <c r="L186" s="316" t="s"/>
      <c r="M186" s="316" t="s"/>
      <c r="N186" s="316" t="s"/>
      <c r="O186" s="316" t="s"/>
      <c r="P186" s="316" t="s"/>
      <c r="Q186" s="316" t="s"/>
      <c r="R186" s="316" t="s"/>
      <c r="S186" s="316" t="s"/>
      <c r="T186" s="316" t="s"/>
      <c r="U186" s="316" t="s"/>
      <c r="V186" s="316" t="s"/>
      <c r="W186" s="316" t="s"/>
      <c r="X186" s="316" t="s"/>
      <c r="Y186" s="316" t="s"/>
      <c r="Z186" s="316" t="s"/>
    </row>
    <row r="187" spans="1:26" ht="12" customHeight="true">
      <c r="A187" s="314" t="s"/>
      <c r="B187" s="318" t="s">
        <v>688</v>
      </c>
      <c r="C187" s="319" t="s"/>
      <c r="D187" s="582" t="s">
        <v>674</v>
      </c>
      <c r="E187" s="331" t="s"/>
      <c r="F187" s="331" t="s"/>
      <c r="G187" s="331" t="s"/>
      <c r="H187" s="331" t="s"/>
      <c r="I187" s="331" t="s"/>
      <c r="J187" s="331" t="s"/>
      <c r="K187" s="331" t="s"/>
      <c r="L187" s="331" t="s"/>
      <c r="M187" s="331" t="s"/>
      <c r="N187" s="331" t="s"/>
      <c r="O187" s="331" t="s"/>
      <c r="P187" s="331" t="s"/>
      <c r="Q187" s="331" t="s"/>
      <c r="R187" s="331" t="s"/>
      <c r="S187" s="331" t="s"/>
      <c r="T187" s="331" t="s"/>
      <c r="U187" s="331" t="s"/>
      <c r="V187" s="331" t="s"/>
      <c r="W187" s="331" t="s"/>
      <c r="X187" s="331" t="s"/>
      <c r="Y187" s="331" t="s"/>
      <c r="Z187" s="331" t="s"/>
    </row>
    <row r="188" spans="1:26" ht="12" customHeight="true">
      <c r="A188" s="314" t="s"/>
      <c r="B188" s="323" t="s">
        <v>534</v>
      </c>
      <c r="C188" s="586">
        <f>=IF($D187="美元",辅助表1评估项目基础数据表!$C$17,IF($D187="其他外币",辅助表1评估项目基础数据表!$C$18,1))</f>
        <v>1</v>
      </c>
      <c r="D188" s="300" t="s"/>
      <c r="E188" s="325">
        <f>=$C188</f>
        <v>1</v>
      </c>
      <c r="F188" s="325">
        <f>=$C188</f>
        <v>1</v>
      </c>
      <c r="G188" s="325">
        <f>=$C188</f>
        <v>1</v>
      </c>
      <c r="H188" s="325">
        <f>=$C188</f>
        <v>1</v>
      </c>
      <c r="I188" s="325">
        <f>=$C188</f>
        <v>1</v>
      </c>
      <c r="J188" s="325">
        <f>=$C188</f>
        <v>1</v>
      </c>
      <c r="K188" s="325">
        <f>=$C188</f>
        <v>1</v>
      </c>
      <c r="L188" s="325">
        <f>=$C188</f>
        <v>1</v>
      </c>
      <c r="M188" s="325">
        <f>=$C188</f>
        <v>1</v>
      </c>
      <c r="N188" s="325">
        <f>=$C188</f>
        <v>1</v>
      </c>
      <c r="O188" s="325">
        <f>=$C188</f>
        <v>1</v>
      </c>
      <c r="P188" s="325">
        <f>=$C188</f>
        <v>1</v>
      </c>
      <c r="Q188" s="325">
        <f>=$C188</f>
        <v>1</v>
      </c>
      <c r="R188" s="325">
        <f>=$C188</f>
        <v>1</v>
      </c>
      <c r="S188" s="325">
        <f>=$C188</f>
        <v>1</v>
      </c>
      <c r="T188" s="325">
        <f>=$C188</f>
        <v>1</v>
      </c>
      <c r="U188" s="325">
        <f>=$C188</f>
        <v>1</v>
      </c>
      <c r="V188" s="325">
        <f>=$C188</f>
        <v>1</v>
      </c>
      <c r="W188" s="325">
        <f>=$C188</f>
        <v>1</v>
      </c>
      <c r="X188" s="325">
        <f>=$C188</f>
        <v>1</v>
      </c>
      <c r="Y188" s="325">
        <f>=$C188</f>
        <v>1</v>
      </c>
      <c r="Z188" s="325">
        <f>=$C188</f>
        <v>1</v>
      </c>
    </row>
    <row r="189" spans="1:26" ht="12" customHeight="true">
      <c r="A189" s="314" t="s"/>
      <c r="B189" s="326" t="s">
        <v>676</v>
      </c>
      <c r="C189" s="327" t="s"/>
      <c r="D189" s="310" t="s"/>
      <c r="E189" s="328">
        <f>=E187*E188</f>
        <v>0</v>
      </c>
      <c r="F189" s="328">
        <f>=F187*F188</f>
        <v>0</v>
      </c>
      <c r="G189" s="328">
        <f>=G187*G188</f>
        <v>0</v>
      </c>
      <c r="H189" s="328">
        <f>=H187*H188</f>
        <v>0</v>
      </c>
      <c r="I189" s="328">
        <f>=I187*I188</f>
        <v>0</v>
      </c>
      <c r="J189" s="328">
        <f>=J187*J188</f>
        <v>0</v>
      </c>
      <c r="K189" s="328">
        <f>=K187*K188</f>
        <v>0</v>
      </c>
      <c r="L189" s="328">
        <f>=L187*L188</f>
        <v>0</v>
      </c>
      <c r="M189" s="328">
        <f>=M187*M188</f>
        <v>0</v>
      </c>
      <c r="N189" s="328">
        <f>=N187*N188</f>
        <v>0</v>
      </c>
      <c r="O189" s="328">
        <f>=O187*O188</f>
        <v>0</v>
      </c>
      <c r="P189" s="328">
        <f>=P187*P188</f>
        <v>0</v>
      </c>
      <c r="Q189" s="328">
        <f>=Q187*Q188</f>
        <v>0</v>
      </c>
      <c r="R189" s="328">
        <f>=R187*R188</f>
        <v>0</v>
      </c>
      <c r="S189" s="328">
        <f>=S187*S188</f>
        <v>0</v>
      </c>
      <c r="T189" s="328">
        <f>=T187*T188</f>
        <v>0</v>
      </c>
      <c r="U189" s="328">
        <f>=U187*U188</f>
        <v>0</v>
      </c>
      <c r="V189" s="328">
        <f>=V187*V188</f>
        <v>0</v>
      </c>
      <c r="W189" s="328">
        <f>=W187*W188</f>
        <v>0</v>
      </c>
      <c r="X189" s="328">
        <f>=X187*X188</f>
        <v>0</v>
      </c>
      <c r="Y189" s="328">
        <f>=Y187*Y188</f>
        <v>0</v>
      </c>
      <c r="Z189" s="328">
        <f>=Z187*Z188</f>
        <v>0</v>
      </c>
    </row>
    <row r="190" spans="1:26" ht="12" customHeight="true">
      <c r="A190" s="314" t="s"/>
      <c r="B190" s="333" t="s">
        <v>1236</v>
      </c>
      <c r="C190" s="585" t="s"/>
      <c r="D190" s="345">
        <f>=SUM(E190:Z190)</f>
        <v>0</v>
      </c>
      <c r="E190" s="331" t="s"/>
      <c r="F190" s="331" t="s"/>
      <c r="G190" s="331" t="s"/>
      <c r="H190" s="331" t="s"/>
      <c r="I190" s="331" t="s"/>
      <c r="J190" s="331" t="s"/>
      <c r="K190" s="331" t="s"/>
      <c r="L190" s="331" t="s"/>
      <c r="M190" s="331" t="s"/>
      <c r="N190" s="331" t="s"/>
      <c r="O190" s="331" t="s"/>
      <c r="P190" s="331" t="s"/>
      <c r="Q190" s="331" t="s"/>
      <c r="R190" s="331" t="s"/>
      <c r="S190" s="331" t="s"/>
      <c r="T190" s="331" t="s"/>
      <c r="U190" s="331" t="s"/>
      <c r="V190" s="331" t="s"/>
      <c r="W190" s="331" t="s"/>
      <c r="X190" s="331" t="s"/>
      <c r="Y190" s="331" t="s"/>
      <c r="Z190" s="331" t="s"/>
    </row>
    <row r="191" spans="1:26" ht="12" customHeight="true">
      <c r="A191" s="314" t="s"/>
      <c r="B191" s="333" t="s">
        <v>1238</v>
      </c>
      <c r="C191" s="333" t="s"/>
      <c r="D191" s="345">
        <f>=SUM(E191:Z191)</f>
        <v>0</v>
      </c>
      <c r="E191" s="306">
        <f>=E189*E190</f>
        <v>0</v>
      </c>
      <c r="F191" s="306">
        <f>=F189*F190</f>
        <v>0</v>
      </c>
      <c r="G191" s="306">
        <f>=G189*G190</f>
        <v>0</v>
      </c>
      <c r="H191" s="306">
        <f>=H189*H190</f>
        <v>0</v>
      </c>
      <c r="I191" s="306">
        <f>=I189*I190</f>
        <v>0</v>
      </c>
      <c r="J191" s="306">
        <f>=J189*J190</f>
        <v>0</v>
      </c>
      <c r="K191" s="306">
        <f>=K189*K190</f>
        <v>0</v>
      </c>
      <c r="L191" s="306">
        <f>=L189*L190</f>
        <v>0</v>
      </c>
      <c r="M191" s="306">
        <f>=M189*M190</f>
        <v>0</v>
      </c>
      <c r="N191" s="306">
        <f>=N189*N190</f>
        <v>0</v>
      </c>
      <c r="O191" s="306">
        <f>=O189*O190</f>
        <v>0</v>
      </c>
      <c r="P191" s="306">
        <f>=P189*P190</f>
        <v>0</v>
      </c>
      <c r="Q191" s="306">
        <f>=Q189*Q190</f>
        <v>0</v>
      </c>
      <c r="R191" s="306">
        <f>=R189*R190</f>
        <v>0</v>
      </c>
      <c r="S191" s="306">
        <f>=S189*S190</f>
        <v>0</v>
      </c>
      <c r="T191" s="306">
        <f>=T189*T190</f>
        <v>0</v>
      </c>
      <c r="U191" s="306">
        <f>=U189*U190</f>
        <v>0</v>
      </c>
      <c r="V191" s="306">
        <f>=V189*V190</f>
        <v>0</v>
      </c>
      <c r="W191" s="306">
        <f>=W189*W190</f>
        <v>0</v>
      </c>
      <c r="X191" s="306">
        <f>=X189*X190</f>
        <v>0</v>
      </c>
      <c r="Y191" s="306">
        <f>=Y189*Y190</f>
        <v>0</v>
      </c>
      <c r="Z191" s="306">
        <f>=Z189*Z190</f>
        <v>0</v>
      </c>
    </row>
    <row r="192" spans="1:26" ht="12" customHeight="true">
      <c r="A192" s="314" t="s"/>
      <c r="B192" s="334" t="s">
        <v>1240</v>
      </c>
      <c r="C192" s="335" t="s"/>
      <c r="D192" s="310" t="s"/>
      <c r="E192" s="336">
        <f>=$C192</f>
        <v>0</v>
      </c>
      <c r="F192" s="336">
        <f>=$C192</f>
        <v>0</v>
      </c>
      <c r="G192" s="336">
        <f>=$C192</f>
        <v>0</v>
      </c>
      <c r="H192" s="336">
        <f>=$C192</f>
        <v>0</v>
      </c>
      <c r="I192" s="336">
        <f>=$C192</f>
        <v>0</v>
      </c>
      <c r="J192" s="336">
        <f>=$C192</f>
        <v>0</v>
      </c>
      <c r="K192" s="336">
        <f>=$C192</f>
        <v>0</v>
      </c>
      <c r="L192" s="336">
        <f>=$C192</f>
        <v>0</v>
      </c>
      <c r="M192" s="336">
        <f>=$C192</f>
        <v>0</v>
      </c>
      <c r="N192" s="336">
        <f>=$C192</f>
        <v>0</v>
      </c>
      <c r="O192" s="336">
        <f>=$C192</f>
        <v>0</v>
      </c>
      <c r="P192" s="336">
        <f>=$C192</f>
        <v>0</v>
      </c>
      <c r="Q192" s="336">
        <f>=$C192</f>
        <v>0</v>
      </c>
      <c r="R192" s="336">
        <f>=$C192</f>
        <v>0</v>
      </c>
      <c r="S192" s="336">
        <f>=$C192</f>
        <v>0</v>
      </c>
      <c r="T192" s="336">
        <f>=$C192</f>
        <v>0</v>
      </c>
      <c r="U192" s="336">
        <f>=$C192</f>
        <v>0</v>
      </c>
      <c r="V192" s="336">
        <f>=$C192</f>
        <v>0</v>
      </c>
      <c r="W192" s="336">
        <f>=$C192</f>
        <v>0</v>
      </c>
      <c r="X192" s="336">
        <f>=$C192</f>
        <v>0</v>
      </c>
      <c r="Y192" s="336">
        <f>=$C192</f>
        <v>0</v>
      </c>
      <c r="Z192" s="336">
        <f>=$C192</f>
        <v>0</v>
      </c>
    </row>
    <row r="193" spans="1:26" ht="12" customHeight="true">
      <c r="A193" s="314" t="s"/>
      <c r="B193" s="334" t="s">
        <v>1229</v>
      </c>
      <c r="C193" s="310" t="s"/>
      <c r="D193" s="310">
        <f>=SUM(E193:Z193)</f>
        <v>0</v>
      </c>
      <c r="E193" s="306">
        <f>=E191*(1+E192)</f>
        <v>0</v>
      </c>
      <c r="F193" s="306">
        <f>=F191*(1+F192)</f>
        <v>0</v>
      </c>
      <c r="G193" s="306">
        <f>=G191*(1+G192)</f>
        <v>0</v>
      </c>
      <c r="H193" s="306">
        <f>=H191*(1+H192)</f>
        <v>0</v>
      </c>
      <c r="I193" s="306">
        <f>=I191*(1+I192)</f>
        <v>0</v>
      </c>
      <c r="J193" s="306">
        <f>=J191*(1+J192)</f>
        <v>0</v>
      </c>
      <c r="K193" s="306">
        <f>=K191*(1+K192)</f>
        <v>0</v>
      </c>
      <c r="L193" s="306">
        <f>=L191*(1+L192)</f>
        <v>0</v>
      </c>
      <c r="M193" s="306">
        <f>=M191*(1+M192)</f>
        <v>0</v>
      </c>
      <c r="N193" s="306">
        <f>=N191*(1+N192)</f>
        <v>0</v>
      </c>
      <c r="O193" s="306">
        <f>=O191*(1+O192)</f>
        <v>0</v>
      </c>
      <c r="P193" s="306">
        <f>=P191*(1+P192)</f>
        <v>0</v>
      </c>
      <c r="Q193" s="306">
        <f>=Q191*(1+Q192)</f>
        <v>0</v>
      </c>
      <c r="R193" s="306">
        <f>=R191*(1+R192)</f>
        <v>0</v>
      </c>
      <c r="S193" s="306">
        <f>=S191*(1+S192)</f>
        <v>0</v>
      </c>
      <c r="T193" s="306">
        <f>=T191*(1+T192)</f>
        <v>0</v>
      </c>
      <c r="U193" s="306">
        <f>=U191*(1+U192)</f>
        <v>0</v>
      </c>
      <c r="V193" s="306">
        <f>=V191*(1+V192)</f>
        <v>0</v>
      </c>
      <c r="W193" s="306">
        <f>=W191*(1+W192)</f>
        <v>0</v>
      </c>
      <c r="X193" s="306">
        <f>=X191*(1+X192)</f>
        <v>0</v>
      </c>
      <c r="Y193" s="306">
        <f>=Y191*(1+Y192)</f>
        <v>0</v>
      </c>
      <c r="Z193" s="306">
        <f>=Z191*(1+Z192)</f>
        <v>0</v>
      </c>
    </row>
    <row r="194" spans="1:26" ht="12" customHeight="true">
      <c r="A194" s="314" t="s"/>
      <c r="B194" s="334" t="s">
        <v>682</v>
      </c>
      <c r="C194" s="335" t="s"/>
      <c r="D194" s="310" t="s"/>
      <c r="E194" s="336">
        <f>=$C194</f>
        <v>0</v>
      </c>
      <c r="F194" s="336">
        <f>=$C194</f>
        <v>0</v>
      </c>
      <c r="G194" s="336">
        <f>=$C194</f>
        <v>0</v>
      </c>
      <c r="H194" s="336">
        <f>=$C194</f>
        <v>0</v>
      </c>
      <c r="I194" s="336">
        <f>=$C194</f>
        <v>0</v>
      </c>
      <c r="J194" s="336">
        <f>=$C194</f>
        <v>0</v>
      </c>
      <c r="K194" s="336">
        <f>=$C194</f>
        <v>0</v>
      </c>
      <c r="L194" s="336">
        <f>=$C194</f>
        <v>0</v>
      </c>
      <c r="M194" s="336">
        <f>=$C194</f>
        <v>0</v>
      </c>
      <c r="N194" s="336">
        <f>=$C194</f>
        <v>0</v>
      </c>
      <c r="O194" s="336">
        <f>=$C194</f>
        <v>0</v>
      </c>
      <c r="P194" s="336">
        <f>=$C194</f>
        <v>0</v>
      </c>
      <c r="Q194" s="336">
        <f>=$C194</f>
        <v>0</v>
      </c>
      <c r="R194" s="336">
        <f>=$C194</f>
        <v>0</v>
      </c>
      <c r="S194" s="336">
        <f>=$C194</f>
        <v>0</v>
      </c>
      <c r="T194" s="336">
        <f>=$C194</f>
        <v>0</v>
      </c>
      <c r="U194" s="336">
        <f>=$C194</f>
        <v>0</v>
      </c>
      <c r="V194" s="336">
        <f>=$C194</f>
        <v>0</v>
      </c>
      <c r="W194" s="336">
        <f>=$C194</f>
        <v>0</v>
      </c>
      <c r="X194" s="336">
        <f>=$C194</f>
        <v>0</v>
      </c>
      <c r="Y194" s="336">
        <f>=$C194</f>
        <v>0</v>
      </c>
      <c r="Z194" s="336">
        <f>=$C194</f>
        <v>0</v>
      </c>
    </row>
    <row r="195" spans="1:26" ht="12" customHeight="true">
      <c r="A195" s="314" t="s"/>
      <c r="B195" s="334" t="s">
        <v>656</v>
      </c>
      <c r="C195" s="337" t="s"/>
      <c r="D195" s="345">
        <f>=SUM(E195:Z195)</f>
        <v>0</v>
      </c>
      <c r="E195" s="306">
        <f>=IF(E192=0,E193*E194/(1+E194),E193*E194)</f>
        <v>0</v>
      </c>
      <c r="F195" s="306">
        <f>=IF(F192=0,F193*F194/(1+F194),F193*F194)</f>
        <v>0</v>
      </c>
      <c r="G195" s="306">
        <f>=IF(G192=0,G193*G194/(1+G194),G193*G194)</f>
        <v>0</v>
      </c>
      <c r="H195" s="306">
        <f>=IF(H192=0,H193*H194/(1+H194),H193*H194)</f>
        <v>0</v>
      </c>
      <c r="I195" s="306">
        <f>=IF(I192=0,I193*I194/(1+I194),I193*I194)</f>
        <v>0</v>
      </c>
      <c r="J195" s="306">
        <f>=IF(J192=0,J193*J194/(1+J194),J193*J194)</f>
        <v>0</v>
      </c>
      <c r="K195" s="306">
        <f>=IF(K192=0,K193*K194/(1+K194),K193*K194)</f>
        <v>0</v>
      </c>
      <c r="L195" s="306">
        <f>=IF(L192=0,L193*L194/(1+L194),L193*L194)</f>
        <v>0</v>
      </c>
      <c r="M195" s="306">
        <f>=IF(M192=0,M193*M194/(1+M194),M193*M194)</f>
        <v>0</v>
      </c>
      <c r="N195" s="306">
        <f>=IF(N192=0,N193*N194/(1+N194),N193*N194)</f>
        <v>0</v>
      </c>
      <c r="O195" s="306">
        <f>=IF(O192=0,O193*O194/(1+O194),O193*O194)</f>
        <v>0</v>
      </c>
      <c r="P195" s="306">
        <f>=IF(P192=0,P193*P194/(1+P194),P193*P194)</f>
        <v>0</v>
      </c>
      <c r="Q195" s="306">
        <f>=IF(Q192=0,Q193*Q194/(1+Q194),Q193*Q194)</f>
        <v>0</v>
      </c>
      <c r="R195" s="306">
        <f>=IF(R192=0,R193*R194/(1+R194),R193*R194)</f>
        <v>0</v>
      </c>
      <c r="S195" s="306">
        <f>=IF(S192=0,S193*S194/(1+S194),S193*S194)</f>
        <v>0</v>
      </c>
      <c r="T195" s="306">
        <f>=IF(T192=0,T193*T194/(1+T194),T193*T194)</f>
        <v>0</v>
      </c>
      <c r="U195" s="306">
        <f>=IF(U192=0,U193*U194/(1+U194),U193*U194)</f>
        <v>0</v>
      </c>
      <c r="V195" s="306">
        <f>=IF(V192=0,V193*V194/(1+V194),V193*V194)</f>
        <v>0</v>
      </c>
      <c r="W195" s="306">
        <f>=IF(W192=0,W193*W194/(1+W194),W193*W194)</f>
        <v>0</v>
      </c>
      <c r="X195" s="306">
        <f>=IF(X192=0,X193*X194/(1+X194),X193*X194)</f>
        <v>0</v>
      </c>
      <c r="Y195" s="306">
        <f>=IF(Y192=0,Y193*Y194/(1+Y194),Y193*Y194)</f>
        <v>0</v>
      </c>
      <c r="Z195" s="306">
        <f>=IF(Z192=0,Z193*Z194/(1+Z194),Z193*Z194)</f>
        <v>0</v>
      </c>
    </row>
    <row r="196" spans="1:26" ht="12" customHeight="true">
      <c r="A196" s="314" t="s"/>
      <c r="B196" s="334" t="s">
        <v>1242</v>
      </c>
      <c r="C196" s="337" t="s"/>
      <c r="D196" s="345">
        <f>=SUM(E196:Z196)</f>
        <v>0</v>
      </c>
      <c r="E196" s="306">
        <f>=IF(E192=0,E191,E193+E195)</f>
        <v>0</v>
      </c>
      <c r="F196" s="306">
        <f>=IF(F192=0,F191,F193+F195)</f>
        <v>0</v>
      </c>
      <c r="G196" s="306">
        <f>=IF(G192=0,G191,G193+G195)</f>
        <v>0</v>
      </c>
      <c r="H196" s="306">
        <f>=IF(H192=0,H191,H193+H195)</f>
        <v>0</v>
      </c>
      <c r="I196" s="306">
        <f>=IF(I192=0,I191,I193+I195)</f>
        <v>0</v>
      </c>
      <c r="J196" s="306">
        <f>=IF(J192=0,J191,J193+J195)</f>
        <v>0</v>
      </c>
      <c r="K196" s="306">
        <f>=IF(K192=0,K191,K193+K195)</f>
        <v>0</v>
      </c>
      <c r="L196" s="306">
        <f>=IF(L192=0,L191,L193+L195)</f>
        <v>0</v>
      </c>
      <c r="M196" s="306">
        <f>=IF(M192=0,M191,M193+M195)</f>
        <v>0</v>
      </c>
      <c r="N196" s="306">
        <f>=IF(N192=0,N191,N193+N195)</f>
        <v>0</v>
      </c>
      <c r="O196" s="306">
        <f>=IF(O192=0,O191,O193+O195)</f>
        <v>0</v>
      </c>
      <c r="P196" s="306">
        <f>=IF(P192=0,P191,P193+P195)</f>
        <v>0</v>
      </c>
      <c r="Q196" s="306">
        <f>=IF(Q192=0,Q191,Q193+Q195)</f>
        <v>0</v>
      </c>
      <c r="R196" s="306">
        <f>=IF(R192=0,R191,R193+R195)</f>
        <v>0</v>
      </c>
      <c r="S196" s="306">
        <f>=IF(S192=0,S191,S193+S195)</f>
        <v>0</v>
      </c>
      <c r="T196" s="306">
        <f>=IF(T192=0,T191,T193+T195)</f>
        <v>0</v>
      </c>
      <c r="U196" s="306">
        <f>=IF(U192=0,U191,U193+U195)</f>
        <v>0</v>
      </c>
      <c r="V196" s="306">
        <f>=IF(V192=0,V191,V193+V195)</f>
        <v>0</v>
      </c>
      <c r="W196" s="306">
        <f>=IF(W192=0,W191,W193+W195)</f>
        <v>0</v>
      </c>
      <c r="X196" s="306">
        <f>=IF(X192=0,X191,X193+X195)</f>
        <v>0</v>
      </c>
      <c r="Y196" s="306">
        <f>=IF(Y192=0,Y191,Y193+Y195)</f>
        <v>0</v>
      </c>
      <c r="Z196" s="306">
        <f>=IF(Z192=0,Z191,Z193+Z195)</f>
        <v>0</v>
      </c>
    </row>
    <row r="197" spans="1:26" ht="12" customHeight="true">
      <c r="A197" s="314">
        <v>3.2</v>
      </c>
      <c r="B197" s="580" t="s"/>
      <c r="C197" s="580" t="s"/>
      <c r="D197" s="316" t="s">
        <v>672</v>
      </c>
      <c r="E197" s="316" t="s"/>
      <c r="F197" s="316" t="s"/>
      <c r="G197" s="316" t="s"/>
      <c r="H197" s="316" t="s"/>
      <c r="I197" s="316" t="s"/>
      <c r="J197" s="316" t="s"/>
      <c r="K197" s="316" t="s"/>
      <c r="L197" s="316" t="s"/>
      <c r="M197" s="316" t="s"/>
      <c r="N197" s="316" t="s"/>
      <c r="O197" s="316" t="s"/>
      <c r="P197" s="316" t="s"/>
      <c r="Q197" s="316" t="s"/>
      <c r="R197" s="316" t="s"/>
      <c r="S197" s="316" t="s"/>
      <c r="T197" s="316" t="s"/>
      <c r="U197" s="316" t="s"/>
      <c r="V197" s="316" t="s"/>
      <c r="W197" s="316" t="s"/>
      <c r="X197" s="316" t="s"/>
      <c r="Y197" s="316" t="s"/>
      <c r="Z197" s="316" t="s"/>
    </row>
    <row r="198" spans="1:26" ht="12" customHeight="true">
      <c r="A198" s="314" t="s"/>
      <c r="B198" s="318" t="s">
        <v>688</v>
      </c>
      <c r="C198" s="319" t="s"/>
      <c r="D198" s="582" t="s">
        <v>674</v>
      </c>
      <c r="E198" s="331" t="s"/>
      <c r="F198" s="331" t="s"/>
      <c r="G198" s="331" t="s"/>
      <c r="H198" s="331" t="s"/>
      <c r="I198" s="331" t="s"/>
      <c r="J198" s="331" t="s"/>
      <c r="K198" s="331" t="s"/>
      <c r="L198" s="331" t="s"/>
      <c r="M198" s="331" t="s"/>
      <c r="N198" s="331" t="s"/>
      <c r="O198" s="331" t="s"/>
      <c r="P198" s="331" t="s"/>
      <c r="Q198" s="331" t="s"/>
      <c r="R198" s="331" t="s"/>
      <c r="S198" s="331" t="s"/>
      <c r="T198" s="331" t="s"/>
      <c r="U198" s="331" t="s"/>
      <c r="V198" s="331" t="s"/>
      <c r="W198" s="331" t="s"/>
      <c r="X198" s="331" t="s"/>
      <c r="Y198" s="331" t="s"/>
      <c r="Z198" s="331" t="s"/>
    </row>
    <row r="199" spans="1:26" ht="12" customHeight="true">
      <c r="A199" s="314" t="s"/>
      <c r="B199" s="323" t="s">
        <v>534</v>
      </c>
      <c r="C199" s="586">
        <f>=IF($D198="美元",辅助表1评估项目基础数据表!$C$17,IF($D198="其他外币",辅助表1评估项目基础数据表!$C$18,1))</f>
        <v>1</v>
      </c>
      <c r="D199" s="300" t="s"/>
      <c r="E199" s="325">
        <f>=$C199</f>
        <v>1</v>
      </c>
      <c r="F199" s="325">
        <f>=$C199</f>
        <v>1</v>
      </c>
      <c r="G199" s="325">
        <f>=$C199</f>
        <v>1</v>
      </c>
      <c r="H199" s="325">
        <f>=$C199</f>
        <v>1</v>
      </c>
      <c r="I199" s="325">
        <f>=$C199</f>
        <v>1</v>
      </c>
      <c r="J199" s="325">
        <f>=$C199</f>
        <v>1</v>
      </c>
      <c r="K199" s="325">
        <f>=$C199</f>
        <v>1</v>
      </c>
      <c r="L199" s="325">
        <f>=$C199</f>
        <v>1</v>
      </c>
      <c r="M199" s="325">
        <f>=$C199</f>
        <v>1</v>
      </c>
      <c r="N199" s="325">
        <f>=$C199</f>
        <v>1</v>
      </c>
      <c r="O199" s="325">
        <f>=$C199</f>
        <v>1</v>
      </c>
      <c r="P199" s="325">
        <f>=$C199</f>
        <v>1</v>
      </c>
      <c r="Q199" s="325">
        <f>=$C199</f>
        <v>1</v>
      </c>
      <c r="R199" s="325">
        <f>=$C199</f>
        <v>1</v>
      </c>
      <c r="S199" s="325">
        <f>=$C199</f>
        <v>1</v>
      </c>
      <c r="T199" s="325">
        <f>=$C199</f>
        <v>1</v>
      </c>
      <c r="U199" s="325">
        <f>=$C199</f>
        <v>1</v>
      </c>
      <c r="V199" s="325">
        <f>=$C199</f>
        <v>1</v>
      </c>
      <c r="W199" s="325">
        <f>=$C199</f>
        <v>1</v>
      </c>
      <c r="X199" s="325">
        <f>=$C199</f>
        <v>1</v>
      </c>
      <c r="Y199" s="325">
        <f>=$C199</f>
        <v>1</v>
      </c>
      <c r="Z199" s="325">
        <f>=$C199</f>
        <v>1</v>
      </c>
    </row>
    <row r="200" spans="1:26" ht="12" customHeight="true">
      <c r="A200" s="314" t="s"/>
      <c r="B200" s="326" t="s">
        <v>676</v>
      </c>
      <c r="C200" s="327" t="s"/>
      <c r="D200" s="310" t="s"/>
      <c r="E200" s="328">
        <f>=E198*E199</f>
        <v>0</v>
      </c>
      <c r="F200" s="328">
        <f>=F198*F199</f>
        <v>0</v>
      </c>
      <c r="G200" s="328">
        <f>=G198*G199</f>
        <v>0</v>
      </c>
      <c r="H200" s="328">
        <f>=H198*H199</f>
        <v>0</v>
      </c>
      <c r="I200" s="328">
        <f>=I198*I199</f>
        <v>0</v>
      </c>
      <c r="J200" s="328">
        <f>=J198*J199</f>
        <v>0</v>
      </c>
      <c r="K200" s="328">
        <f>=K198*K199</f>
        <v>0</v>
      </c>
      <c r="L200" s="328">
        <f>=L198*L199</f>
        <v>0</v>
      </c>
      <c r="M200" s="328">
        <f>=M198*M199</f>
        <v>0</v>
      </c>
      <c r="N200" s="328">
        <f>=N198*N199</f>
        <v>0</v>
      </c>
      <c r="O200" s="328">
        <f>=O198*O199</f>
        <v>0</v>
      </c>
      <c r="P200" s="328">
        <f>=P198*P199</f>
        <v>0</v>
      </c>
      <c r="Q200" s="328">
        <f>=Q198*Q199</f>
        <v>0</v>
      </c>
      <c r="R200" s="328">
        <f>=R198*R199</f>
        <v>0</v>
      </c>
      <c r="S200" s="328">
        <f>=S198*S199</f>
        <v>0</v>
      </c>
      <c r="T200" s="328">
        <f>=T198*T199</f>
        <v>0</v>
      </c>
      <c r="U200" s="328">
        <f>=U198*U199</f>
        <v>0</v>
      </c>
      <c r="V200" s="328">
        <f>=V198*V199</f>
        <v>0</v>
      </c>
      <c r="W200" s="328">
        <f>=W198*W199</f>
        <v>0</v>
      </c>
      <c r="X200" s="328">
        <f>=X198*X199</f>
        <v>0</v>
      </c>
      <c r="Y200" s="328">
        <f>=Y198*Y199</f>
        <v>0</v>
      </c>
      <c r="Z200" s="328">
        <f>=Z198*Z199</f>
        <v>0</v>
      </c>
    </row>
    <row r="201" spans="1:26" ht="12" customHeight="true">
      <c r="A201" s="314" t="s"/>
      <c r="B201" s="333" t="s">
        <v>1236</v>
      </c>
      <c r="C201" s="585" t="s"/>
      <c r="D201" s="345">
        <f>=SUM(E201:Z201)</f>
        <v>0</v>
      </c>
      <c r="E201" s="331" t="s"/>
      <c r="F201" s="331" t="s"/>
      <c r="G201" s="331" t="s"/>
      <c r="H201" s="331" t="s"/>
      <c r="I201" s="331" t="s"/>
      <c r="J201" s="331" t="s"/>
      <c r="K201" s="331" t="s"/>
      <c r="L201" s="331" t="s"/>
      <c r="M201" s="331" t="s"/>
      <c r="N201" s="331" t="s"/>
      <c r="O201" s="331" t="s"/>
      <c r="P201" s="331" t="s"/>
      <c r="Q201" s="331" t="s"/>
      <c r="R201" s="331" t="s"/>
      <c r="S201" s="331" t="s"/>
      <c r="T201" s="331" t="s"/>
      <c r="U201" s="331" t="s"/>
      <c r="V201" s="331" t="s"/>
      <c r="W201" s="331" t="s"/>
      <c r="X201" s="331" t="s"/>
      <c r="Y201" s="331" t="s"/>
      <c r="Z201" s="331" t="s"/>
    </row>
    <row r="202" spans="1:26" ht="12" customHeight="true">
      <c r="A202" s="314" t="s"/>
      <c r="B202" s="333" t="s">
        <v>1238</v>
      </c>
      <c r="C202" s="333" t="s"/>
      <c r="D202" s="345">
        <f>=SUM(E202:Z202)</f>
        <v>0</v>
      </c>
      <c r="E202" s="306">
        <f>=E200*E201</f>
        <v>0</v>
      </c>
      <c r="F202" s="306">
        <f>=F200*F201</f>
        <v>0</v>
      </c>
      <c r="G202" s="306">
        <f>=G200*G201</f>
        <v>0</v>
      </c>
      <c r="H202" s="306">
        <f>=H200*H201</f>
        <v>0</v>
      </c>
      <c r="I202" s="306">
        <f>=I200*I201</f>
        <v>0</v>
      </c>
      <c r="J202" s="306">
        <f>=J200*J201</f>
        <v>0</v>
      </c>
      <c r="K202" s="306">
        <f>=K200*K201</f>
        <v>0</v>
      </c>
      <c r="L202" s="306">
        <f>=L200*L201</f>
        <v>0</v>
      </c>
      <c r="M202" s="306">
        <f>=M200*M201</f>
        <v>0</v>
      </c>
      <c r="N202" s="306">
        <f>=N200*N201</f>
        <v>0</v>
      </c>
      <c r="O202" s="306">
        <f>=O200*O201</f>
        <v>0</v>
      </c>
      <c r="P202" s="306">
        <f>=P200*P201</f>
        <v>0</v>
      </c>
      <c r="Q202" s="306">
        <f>=Q200*Q201</f>
        <v>0</v>
      </c>
      <c r="R202" s="306">
        <f>=R200*R201</f>
        <v>0</v>
      </c>
      <c r="S202" s="306">
        <f>=S200*S201</f>
        <v>0</v>
      </c>
      <c r="T202" s="306">
        <f>=T200*T201</f>
        <v>0</v>
      </c>
      <c r="U202" s="306">
        <f>=U200*U201</f>
        <v>0</v>
      </c>
      <c r="V202" s="306">
        <f>=V200*V201</f>
        <v>0</v>
      </c>
      <c r="W202" s="306">
        <f>=W200*W201</f>
        <v>0</v>
      </c>
      <c r="X202" s="306">
        <f>=X200*X201</f>
        <v>0</v>
      </c>
      <c r="Y202" s="306">
        <f>=Y200*Y201</f>
        <v>0</v>
      </c>
      <c r="Z202" s="306">
        <f>=Z200*Z201</f>
        <v>0</v>
      </c>
    </row>
    <row r="203" spans="1:26" ht="12" customHeight="true">
      <c r="A203" s="314" t="s"/>
      <c r="B203" s="334" t="s">
        <v>1240</v>
      </c>
      <c r="C203" s="335" t="s"/>
      <c r="D203" s="310" t="s"/>
      <c r="E203" s="336">
        <f>=$C203</f>
        <v>0</v>
      </c>
      <c r="F203" s="336">
        <f>=$C203</f>
        <v>0</v>
      </c>
      <c r="G203" s="336">
        <f>=$C203</f>
        <v>0</v>
      </c>
      <c r="H203" s="336">
        <f>=$C203</f>
        <v>0</v>
      </c>
      <c r="I203" s="336">
        <f>=$C203</f>
        <v>0</v>
      </c>
      <c r="J203" s="336">
        <f>=$C203</f>
        <v>0</v>
      </c>
      <c r="K203" s="336">
        <f>=$C203</f>
        <v>0</v>
      </c>
      <c r="L203" s="336">
        <f>=$C203</f>
        <v>0</v>
      </c>
      <c r="M203" s="336">
        <f>=$C203</f>
        <v>0</v>
      </c>
      <c r="N203" s="336">
        <f>=$C203</f>
        <v>0</v>
      </c>
      <c r="O203" s="336">
        <f>=$C203</f>
        <v>0</v>
      </c>
      <c r="P203" s="336">
        <f>=$C203</f>
        <v>0</v>
      </c>
      <c r="Q203" s="336">
        <f>=$C203</f>
        <v>0</v>
      </c>
      <c r="R203" s="336">
        <f>=$C203</f>
        <v>0</v>
      </c>
      <c r="S203" s="336">
        <f>=$C203</f>
        <v>0</v>
      </c>
      <c r="T203" s="336">
        <f>=$C203</f>
        <v>0</v>
      </c>
      <c r="U203" s="336">
        <f>=$C203</f>
        <v>0</v>
      </c>
      <c r="V203" s="336">
        <f>=$C203</f>
        <v>0</v>
      </c>
      <c r="W203" s="336">
        <f>=$C203</f>
        <v>0</v>
      </c>
      <c r="X203" s="336">
        <f>=$C203</f>
        <v>0</v>
      </c>
      <c r="Y203" s="336">
        <f>=$C203</f>
        <v>0</v>
      </c>
      <c r="Z203" s="336">
        <f>=$C203</f>
        <v>0</v>
      </c>
    </row>
    <row r="204" spans="1:26" ht="12" customHeight="true">
      <c r="A204" s="314" t="s"/>
      <c r="B204" s="334" t="s">
        <v>1229</v>
      </c>
      <c r="C204" s="310" t="s"/>
      <c r="D204" s="310">
        <f>=SUM(E204:Z204)</f>
        <v>0</v>
      </c>
      <c r="E204" s="306">
        <f>=E202*(1+E203)</f>
        <v>0</v>
      </c>
      <c r="F204" s="306">
        <f>=F202*(1+F203)</f>
        <v>0</v>
      </c>
      <c r="G204" s="306">
        <f>=G202*(1+G203)</f>
        <v>0</v>
      </c>
      <c r="H204" s="306">
        <f>=H202*(1+H203)</f>
        <v>0</v>
      </c>
      <c r="I204" s="306">
        <f>=I202*(1+I203)</f>
        <v>0</v>
      </c>
      <c r="J204" s="306">
        <f>=J202*(1+J203)</f>
        <v>0</v>
      </c>
      <c r="K204" s="306">
        <f>=K202*(1+K203)</f>
        <v>0</v>
      </c>
      <c r="L204" s="306">
        <f>=L202*(1+L203)</f>
        <v>0</v>
      </c>
      <c r="M204" s="306">
        <f>=M202*(1+M203)</f>
        <v>0</v>
      </c>
      <c r="N204" s="306">
        <f>=N202*(1+N203)</f>
        <v>0</v>
      </c>
      <c r="O204" s="306">
        <f>=O202*(1+O203)</f>
        <v>0</v>
      </c>
      <c r="P204" s="306">
        <f>=P202*(1+P203)</f>
        <v>0</v>
      </c>
      <c r="Q204" s="306">
        <f>=Q202*(1+Q203)</f>
        <v>0</v>
      </c>
      <c r="R204" s="306">
        <f>=R202*(1+R203)</f>
        <v>0</v>
      </c>
      <c r="S204" s="306">
        <f>=S202*(1+S203)</f>
        <v>0</v>
      </c>
      <c r="T204" s="306">
        <f>=T202*(1+T203)</f>
        <v>0</v>
      </c>
      <c r="U204" s="306">
        <f>=U202*(1+U203)</f>
        <v>0</v>
      </c>
      <c r="V204" s="306">
        <f>=V202*(1+V203)</f>
        <v>0</v>
      </c>
      <c r="W204" s="306">
        <f>=W202*(1+W203)</f>
        <v>0</v>
      </c>
      <c r="X204" s="306">
        <f>=X202*(1+X203)</f>
        <v>0</v>
      </c>
      <c r="Y204" s="306">
        <f>=Y202*(1+Y203)</f>
        <v>0</v>
      </c>
      <c r="Z204" s="306">
        <f>=Z202*(1+Z203)</f>
        <v>0</v>
      </c>
    </row>
    <row r="205" spans="1:26" ht="12" customHeight="true">
      <c r="A205" s="314" t="s"/>
      <c r="B205" s="334" t="s">
        <v>682</v>
      </c>
      <c r="C205" s="335" t="s"/>
      <c r="D205" s="310" t="s"/>
      <c r="E205" s="336">
        <f>=$C205</f>
        <v>0</v>
      </c>
      <c r="F205" s="336">
        <f>=$C205</f>
        <v>0</v>
      </c>
      <c r="G205" s="336">
        <f>=$C205</f>
        <v>0</v>
      </c>
      <c r="H205" s="336">
        <f>=$C205</f>
        <v>0</v>
      </c>
      <c r="I205" s="336">
        <f>=$C205</f>
        <v>0</v>
      </c>
      <c r="J205" s="336">
        <f>=$C205</f>
        <v>0</v>
      </c>
      <c r="K205" s="336">
        <f>=$C205</f>
        <v>0</v>
      </c>
      <c r="L205" s="336">
        <f>=$C205</f>
        <v>0</v>
      </c>
      <c r="M205" s="336">
        <f>=$C205</f>
        <v>0</v>
      </c>
      <c r="N205" s="336">
        <f>=$C205</f>
        <v>0</v>
      </c>
      <c r="O205" s="336">
        <f>=$C205</f>
        <v>0</v>
      </c>
      <c r="P205" s="336">
        <f>=$C205</f>
        <v>0</v>
      </c>
      <c r="Q205" s="336">
        <f>=$C205</f>
        <v>0</v>
      </c>
      <c r="R205" s="336">
        <f>=$C205</f>
        <v>0</v>
      </c>
      <c r="S205" s="336">
        <f>=$C205</f>
        <v>0</v>
      </c>
      <c r="T205" s="336">
        <f>=$C205</f>
        <v>0</v>
      </c>
      <c r="U205" s="336">
        <f>=$C205</f>
        <v>0</v>
      </c>
      <c r="V205" s="336">
        <f>=$C205</f>
        <v>0</v>
      </c>
      <c r="W205" s="336">
        <f>=$C205</f>
        <v>0</v>
      </c>
      <c r="X205" s="336">
        <f>=$C205</f>
        <v>0</v>
      </c>
      <c r="Y205" s="336">
        <f>=$C205</f>
        <v>0</v>
      </c>
      <c r="Z205" s="336">
        <f>=$C205</f>
        <v>0</v>
      </c>
    </row>
    <row r="206" spans="1:26" ht="12" customHeight="true">
      <c r="A206" s="314" t="s"/>
      <c r="B206" s="334" t="s">
        <v>656</v>
      </c>
      <c r="C206" s="337" t="s"/>
      <c r="D206" s="345">
        <f>=SUM(E206:Z206)</f>
        <v>0</v>
      </c>
      <c r="E206" s="306">
        <f>=IF(E203=0,E204*E205/(1+E205),E204*E205)</f>
        <v>0</v>
      </c>
      <c r="F206" s="306">
        <f>=IF(F203=0,F204*F205/(1+F205),F204*F205)</f>
        <v>0</v>
      </c>
      <c r="G206" s="306">
        <f>=IF(G203=0,G204*G205/(1+G205),G204*G205)</f>
        <v>0</v>
      </c>
      <c r="H206" s="306">
        <f>=IF(H203=0,H204*H205/(1+H205),H204*H205)</f>
        <v>0</v>
      </c>
      <c r="I206" s="306">
        <f>=IF(I203=0,I204*I205/(1+I205),I204*I205)</f>
        <v>0</v>
      </c>
      <c r="J206" s="306">
        <f>=IF(J203=0,J204*J205/(1+J205),J204*J205)</f>
        <v>0</v>
      </c>
      <c r="K206" s="306">
        <f>=IF(K203=0,K204*K205/(1+K205),K204*K205)</f>
        <v>0</v>
      </c>
      <c r="L206" s="306">
        <f>=IF(L203=0,L204*L205/(1+L205),L204*L205)</f>
        <v>0</v>
      </c>
      <c r="M206" s="306">
        <f>=IF(M203=0,M204*M205/(1+M205),M204*M205)</f>
        <v>0</v>
      </c>
      <c r="N206" s="306">
        <f>=IF(N203=0,N204*N205/(1+N205),N204*N205)</f>
        <v>0</v>
      </c>
      <c r="O206" s="306">
        <f>=IF(O203=0,O204*O205/(1+O205),O204*O205)</f>
        <v>0</v>
      </c>
      <c r="P206" s="306">
        <f>=IF(P203=0,P204*P205/(1+P205),P204*P205)</f>
        <v>0</v>
      </c>
      <c r="Q206" s="306">
        <f>=IF(Q203=0,Q204*Q205/(1+Q205),Q204*Q205)</f>
        <v>0</v>
      </c>
      <c r="R206" s="306">
        <f>=IF(R203=0,R204*R205/(1+R205),R204*R205)</f>
        <v>0</v>
      </c>
      <c r="S206" s="306">
        <f>=IF(S203=0,S204*S205/(1+S205),S204*S205)</f>
        <v>0</v>
      </c>
      <c r="T206" s="306">
        <f>=IF(T203=0,T204*T205/(1+T205),T204*T205)</f>
        <v>0</v>
      </c>
      <c r="U206" s="306">
        <f>=IF(U203=0,U204*U205/(1+U205),U204*U205)</f>
        <v>0</v>
      </c>
      <c r="V206" s="306">
        <f>=IF(V203=0,V204*V205/(1+V205),V204*V205)</f>
        <v>0</v>
      </c>
      <c r="W206" s="306">
        <f>=IF(W203=0,W204*W205/(1+W205),W204*W205)</f>
        <v>0</v>
      </c>
      <c r="X206" s="306">
        <f>=IF(X203=0,X204*X205/(1+X205),X204*X205)</f>
        <v>0</v>
      </c>
      <c r="Y206" s="306">
        <f>=IF(Y203=0,Y204*Y205/(1+Y205),Y204*Y205)</f>
        <v>0</v>
      </c>
      <c r="Z206" s="306">
        <f>=IF(Z203=0,Z204*Z205/(1+Z205),Z204*Z205)</f>
        <v>0</v>
      </c>
    </row>
    <row r="207" spans="1:26" ht="12" customHeight="true">
      <c r="A207" s="314" t="s"/>
      <c r="B207" s="334" t="s">
        <v>1242</v>
      </c>
      <c r="C207" s="337" t="s"/>
      <c r="D207" s="345">
        <f>=SUM(E207:Z207)</f>
        <v>0</v>
      </c>
      <c r="E207" s="306">
        <f>=IF(E203=0,E202,E204+E206)</f>
        <v>0</v>
      </c>
      <c r="F207" s="306">
        <f>=IF(F203=0,F202,F204+F206)</f>
        <v>0</v>
      </c>
      <c r="G207" s="306">
        <f>=IF(G203=0,G202,G204+G206)</f>
        <v>0</v>
      </c>
      <c r="H207" s="306">
        <f>=IF(H203=0,H202,H204+H206)</f>
        <v>0</v>
      </c>
      <c r="I207" s="306">
        <f>=IF(I203=0,I202,I204+I206)</f>
        <v>0</v>
      </c>
      <c r="J207" s="306">
        <f>=IF(J203=0,J202,J204+J206)</f>
        <v>0</v>
      </c>
      <c r="K207" s="306">
        <f>=IF(K203=0,K202,K204+K206)</f>
        <v>0</v>
      </c>
      <c r="L207" s="306">
        <f>=IF(L203=0,L202,L204+L206)</f>
        <v>0</v>
      </c>
      <c r="M207" s="306">
        <f>=IF(M203=0,M202,M204+M206)</f>
        <v>0</v>
      </c>
      <c r="N207" s="306">
        <f>=IF(N203=0,N202,N204+N206)</f>
        <v>0</v>
      </c>
      <c r="O207" s="306">
        <f>=IF(O203=0,O202,O204+O206)</f>
        <v>0</v>
      </c>
      <c r="P207" s="306">
        <f>=IF(P203=0,P202,P204+P206)</f>
        <v>0</v>
      </c>
      <c r="Q207" s="306">
        <f>=IF(Q203=0,Q202,Q204+Q206)</f>
        <v>0</v>
      </c>
      <c r="R207" s="306">
        <f>=IF(R203=0,R202,R204+R206)</f>
        <v>0</v>
      </c>
      <c r="S207" s="306">
        <f>=IF(S203=0,S202,S204+S206)</f>
        <v>0</v>
      </c>
      <c r="T207" s="306">
        <f>=IF(T203=0,T202,T204+T206)</f>
        <v>0</v>
      </c>
      <c r="U207" s="306">
        <f>=IF(U203=0,U202,U204+U206)</f>
        <v>0</v>
      </c>
      <c r="V207" s="306">
        <f>=IF(V203=0,V202,V204+V206)</f>
        <v>0</v>
      </c>
      <c r="W207" s="306">
        <f>=IF(W203=0,W202,W204+W206)</f>
        <v>0</v>
      </c>
      <c r="X207" s="306">
        <f>=IF(X203=0,X202,X204+X206)</f>
        <v>0</v>
      </c>
      <c r="Y207" s="306">
        <f>=IF(Y203=0,Y202,Y204+Y206)</f>
        <v>0</v>
      </c>
      <c r="Z207" s="306">
        <f>=IF(Z203=0,Z202,Z204+Z206)</f>
        <v>0</v>
      </c>
    </row>
    <row r="208" spans="1:26" ht="12" customHeight="true">
      <c r="A208" s="314">
        <v>4</v>
      </c>
      <c r="B208" s="318" t="s">
        <v>925</v>
      </c>
      <c r="C208" s="587" t="s"/>
      <c r="D208" s="345">
        <f>=SUM(E208:Z208)</f>
        <v>0</v>
      </c>
      <c r="E208" s="306">
        <f>=E219+E230</f>
        <v>0</v>
      </c>
      <c r="F208" s="306">
        <f>=F219+F230</f>
        <v>0</v>
      </c>
      <c r="G208" s="306">
        <f>=G219+G230</f>
        <v>0</v>
      </c>
      <c r="H208" s="306">
        <f>=H219+H230</f>
        <v>0</v>
      </c>
      <c r="I208" s="306">
        <f>=I219+I230</f>
        <v>0</v>
      </c>
      <c r="J208" s="306">
        <f>=J219+J230</f>
        <v>0</v>
      </c>
      <c r="K208" s="306">
        <f>=K219+K230</f>
        <v>0</v>
      </c>
      <c r="L208" s="306">
        <f>=L219+L230</f>
        <v>0</v>
      </c>
      <c r="M208" s="306">
        <f>=M219+M230</f>
        <v>0</v>
      </c>
      <c r="N208" s="306">
        <f>=N219+N230</f>
        <v>0</v>
      </c>
      <c r="O208" s="306">
        <f>=O219+O230</f>
        <v>0</v>
      </c>
      <c r="P208" s="306">
        <f>=P219+P230</f>
        <v>0</v>
      </c>
      <c r="Q208" s="306">
        <f>=Q219+Q230</f>
        <v>0</v>
      </c>
      <c r="R208" s="306">
        <f>=R219+R230</f>
        <v>0</v>
      </c>
      <c r="S208" s="306">
        <f>=S219+S230</f>
        <v>0</v>
      </c>
      <c r="T208" s="306">
        <f>=T219+T230</f>
        <v>0</v>
      </c>
      <c r="U208" s="306">
        <f>=U219+U230</f>
        <v>0</v>
      </c>
      <c r="V208" s="306">
        <f>=V219+V230</f>
        <v>0</v>
      </c>
      <c r="W208" s="306">
        <f>=W219+W230</f>
        <v>0</v>
      </c>
      <c r="X208" s="306">
        <f>=X219+X230</f>
        <v>0</v>
      </c>
      <c r="Y208" s="306">
        <f>=Y219+Y230</f>
        <v>0</v>
      </c>
      <c r="Z208" s="306">
        <f>=Z219+Z230</f>
        <v>0</v>
      </c>
    </row>
    <row r="209" spans="1:26" ht="12" customHeight="true">
      <c r="A209" s="314">
        <v>4.1</v>
      </c>
      <c r="B209" s="580" t="s"/>
      <c r="C209" s="580" t="s"/>
      <c r="D209" s="316" t="s">
        <v>672</v>
      </c>
      <c r="E209" s="316" t="s"/>
      <c r="F209" s="316" t="s"/>
      <c r="G209" s="316" t="s"/>
      <c r="H209" s="316" t="s"/>
      <c r="I209" s="316" t="s"/>
      <c r="J209" s="316" t="s"/>
      <c r="K209" s="316" t="s"/>
      <c r="L209" s="316" t="s"/>
      <c r="M209" s="316" t="s"/>
      <c r="N209" s="316" t="s"/>
      <c r="O209" s="316" t="s"/>
      <c r="P209" s="316" t="s"/>
      <c r="Q209" s="316" t="s"/>
      <c r="R209" s="316" t="s"/>
      <c r="S209" s="316" t="s"/>
      <c r="T209" s="316" t="s"/>
      <c r="U209" s="316" t="s"/>
      <c r="V209" s="316" t="s"/>
      <c r="W209" s="316" t="s"/>
      <c r="X209" s="316" t="s"/>
      <c r="Y209" s="316" t="s"/>
      <c r="Z209" s="316" t="s"/>
    </row>
    <row r="210" spans="1:26" ht="12" customHeight="true">
      <c r="A210" s="314" t="s"/>
      <c r="B210" s="318" t="s">
        <v>688</v>
      </c>
      <c r="C210" s="319" t="s"/>
      <c r="D210" s="582" t="s">
        <v>674</v>
      </c>
      <c r="E210" s="331" t="s"/>
      <c r="F210" s="331" t="s"/>
      <c r="G210" s="331" t="s"/>
      <c r="H210" s="331" t="s"/>
      <c r="I210" s="331" t="s"/>
      <c r="J210" s="331" t="s"/>
      <c r="K210" s="331" t="s"/>
      <c r="L210" s="331" t="s"/>
      <c r="M210" s="331" t="s"/>
      <c r="N210" s="331" t="s"/>
      <c r="O210" s="331" t="s"/>
      <c r="P210" s="331" t="s"/>
      <c r="Q210" s="331" t="s"/>
      <c r="R210" s="331" t="s"/>
      <c r="S210" s="331" t="s"/>
      <c r="T210" s="331" t="s"/>
      <c r="U210" s="331" t="s"/>
      <c r="V210" s="331" t="s"/>
      <c r="W210" s="331" t="s"/>
      <c r="X210" s="331" t="s"/>
      <c r="Y210" s="331" t="s"/>
      <c r="Z210" s="331" t="s"/>
    </row>
    <row r="211" spans="1:26" ht="12" customHeight="true">
      <c r="A211" s="314" t="s"/>
      <c r="B211" s="323" t="s">
        <v>534</v>
      </c>
      <c r="C211" s="586">
        <f>=IF($D210="美元",辅助表1评估项目基础数据表!$C$17,IF($D210="其他外币",辅助表1评估项目基础数据表!$C$18,1))</f>
        <v>1</v>
      </c>
      <c r="D211" s="300" t="s"/>
      <c r="E211" s="325">
        <f>=$C211</f>
        <v>1</v>
      </c>
      <c r="F211" s="325">
        <f>=$C211</f>
        <v>1</v>
      </c>
      <c r="G211" s="325">
        <f>=$C211</f>
        <v>1</v>
      </c>
      <c r="H211" s="325">
        <f>=$C211</f>
        <v>1</v>
      </c>
      <c r="I211" s="325">
        <f>=$C211</f>
        <v>1</v>
      </c>
      <c r="J211" s="325">
        <f>=$C211</f>
        <v>1</v>
      </c>
      <c r="K211" s="325">
        <f>=$C211</f>
        <v>1</v>
      </c>
      <c r="L211" s="325">
        <f>=$C211</f>
        <v>1</v>
      </c>
      <c r="M211" s="325">
        <f>=$C211</f>
        <v>1</v>
      </c>
      <c r="N211" s="325">
        <f>=$C211</f>
        <v>1</v>
      </c>
      <c r="O211" s="325">
        <f>=$C211</f>
        <v>1</v>
      </c>
      <c r="P211" s="325">
        <f>=$C211</f>
        <v>1</v>
      </c>
      <c r="Q211" s="325">
        <f>=$C211</f>
        <v>1</v>
      </c>
      <c r="R211" s="325">
        <f>=$C211</f>
        <v>1</v>
      </c>
      <c r="S211" s="325">
        <f>=$C211</f>
        <v>1</v>
      </c>
      <c r="T211" s="325">
        <f>=$C211</f>
        <v>1</v>
      </c>
      <c r="U211" s="325">
        <f>=$C211</f>
        <v>1</v>
      </c>
      <c r="V211" s="325">
        <f>=$C211</f>
        <v>1</v>
      </c>
      <c r="W211" s="325">
        <f>=$C211</f>
        <v>1</v>
      </c>
      <c r="X211" s="325">
        <f>=$C211</f>
        <v>1</v>
      </c>
      <c r="Y211" s="325">
        <f>=$C211</f>
        <v>1</v>
      </c>
      <c r="Z211" s="325">
        <f>=$C211</f>
        <v>1</v>
      </c>
    </row>
    <row r="212" spans="1:26" ht="12" customHeight="true">
      <c r="A212" s="314" t="s"/>
      <c r="B212" s="326" t="s">
        <v>676</v>
      </c>
      <c r="C212" s="327" t="s"/>
      <c r="D212" s="310" t="s"/>
      <c r="E212" s="328">
        <f>=E210*E211</f>
        <v>0</v>
      </c>
      <c r="F212" s="328">
        <f>=F210*F211</f>
        <v>0</v>
      </c>
      <c r="G212" s="328">
        <f>=G210*G211</f>
        <v>0</v>
      </c>
      <c r="H212" s="328">
        <f>=H210*H211</f>
        <v>0</v>
      </c>
      <c r="I212" s="328">
        <f>=I210*I211</f>
        <v>0</v>
      </c>
      <c r="J212" s="328">
        <f>=J210*J211</f>
        <v>0</v>
      </c>
      <c r="K212" s="328">
        <f>=K210*K211</f>
        <v>0</v>
      </c>
      <c r="L212" s="328">
        <f>=L210*L211</f>
        <v>0</v>
      </c>
      <c r="M212" s="328">
        <f>=M210*M211</f>
        <v>0</v>
      </c>
      <c r="N212" s="328">
        <f>=N210*N211</f>
        <v>0</v>
      </c>
      <c r="O212" s="328">
        <f>=O210*O211</f>
        <v>0</v>
      </c>
      <c r="P212" s="328">
        <f>=P210*P211</f>
        <v>0</v>
      </c>
      <c r="Q212" s="328">
        <f>=Q210*Q211</f>
        <v>0</v>
      </c>
      <c r="R212" s="328">
        <f>=R210*R211</f>
        <v>0</v>
      </c>
      <c r="S212" s="328">
        <f>=S210*S211</f>
        <v>0</v>
      </c>
      <c r="T212" s="328">
        <f>=T210*T211</f>
        <v>0</v>
      </c>
      <c r="U212" s="328">
        <f>=U210*U211</f>
        <v>0</v>
      </c>
      <c r="V212" s="328">
        <f>=V210*V211</f>
        <v>0</v>
      </c>
      <c r="W212" s="328">
        <f>=W210*W211</f>
        <v>0</v>
      </c>
      <c r="X212" s="328">
        <f>=X210*X211</f>
        <v>0</v>
      </c>
      <c r="Y212" s="328">
        <f>=Y210*Y211</f>
        <v>0</v>
      </c>
      <c r="Z212" s="328">
        <f>=Z210*Z211</f>
        <v>0</v>
      </c>
    </row>
    <row r="213" spans="1:26" ht="12" customHeight="true">
      <c r="A213" s="314" t="s"/>
      <c r="B213" s="333" t="s">
        <v>1236</v>
      </c>
      <c r="C213" s="585" t="s"/>
      <c r="D213" s="345">
        <f>=SUM(E213:Z213)</f>
        <v>0</v>
      </c>
      <c r="E213" s="331" t="s"/>
      <c r="F213" s="331" t="s"/>
      <c r="G213" s="331" t="s"/>
      <c r="H213" s="331" t="s"/>
      <c r="I213" s="331" t="s"/>
      <c r="J213" s="331" t="s"/>
      <c r="K213" s="331" t="s"/>
      <c r="L213" s="331" t="s"/>
      <c r="M213" s="331" t="s"/>
      <c r="N213" s="331" t="s"/>
      <c r="O213" s="331" t="s"/>
      <c r="P213" s="331" t="s"/>
      <c r="Q213" s="331" t="s"/>
      <c r="R213" s="331" t="s"/>
      <c r="S213" s="331" t="s"/>
      <c r="T213" s="331" t="s"/>
      <c r="U213" s="331" t="s"/>
      <c r="V213" s="331" t="s"/>
      <c r="W213" s="331" t="s"/>
      <c r="X213" s="331" t="s"/>
      <c r="Y213" s="331" t="s"/>
      <c r="Z213" s="331" t="s"/>
    </row>
    <row r="214" spans="1:26" ht="12" customHeight="true">
      <c r="A214" s="314" t="s"/>
      <c r="B214" s="333" t="s">
        <v>1238</v>
      </c>
      <c r="C214" s="333" t="s"/>
      <c r="D214" s="345">
        <f>=SUM(E214:Z214)</f>
        <v>0</v>
      </c>
      <c r="E214" s="306">
        <f>=E212*E213</f>
        <v>0</v>
      </c>
      <c r="F214" s="306">
        <f>=F212*F213</f>
        <v>0</v>
      </c>
      <c r="G214" s="306">
        <f>=G212*G213</f>
        <v>0</v>
      </c>
      <c r="H214" s="306">
        <f>=H212*H213</f>
        <v>0</v>
      </c>
      <c r="I214" s="306">
        <f>=I212*I213</f>
        <v>0</v>
      </c>
      <c r="J214" s="306">
        <f>=J212*J213</f>
        <v>0</v>
      </c>
      <c r="K214" s="306">
        <f>=K212*K213</f>
        <v>0</v>
      </c>
      <c r="L214" s="306">
        <f>=L212*L213</f>
        <v>0</v>
      </c>
      <c r="M214" s="306">
        <f>=M212*M213</f>
        <v>0</v>
      </c>
      <c r="N214" s="306">
        <f>=N212*N213</f>
        <v>0</v>
      </c>
      <c r="O214" s="306">
        <f>=O212*O213</f>
        <v>0</v>
      </c>
      <c r="P214" s="306">
        <f>=P212*P213</f>
        <v>0</v>
      </c>
      <c r="Q214" s="306">
        <f>=Q212*Q213</f>
        <v>0</v>
      </c>
      <c r="R214" s="306">
        <f>=R212*R213</f>
        <v>0</v>
      </c>
      <c r="S214" s="306">
        <f>=S212*S213</f>
        <v>0</v>
      </c>
      <c r="T214" s="306">
        <f>=T212*T213</f>
        <v>0</v>
      </c>
      <c r="U214" s="306">
        <f>=U212*U213</f>
        <v>0</v>
      </c>
      <c r="V214" s="306">
        <f>=V212*V213</f>
        <v>0</v>
      </c>
      <c r="W214" s="306">
        <f>=W212*W213</f>
        <v>0</v>
      </c>
      <c r="X214" s="306">
        <f>=X212*X213</f>
        <v>0</v>
      </c>
      <c r="Y214" s="306">
        <f>=Y212*Y213</f>
        <v>0</v>
      </c>
      <c r="Z214" s="306">
        <f>=Z212*Z213</f>
        <v>0</v>
      </c>
    </row>
    <row r="215" spans="1:26" ht="12" customHeight="true">
      <c r="A215" s="314" t="s"/>
      <c r="B215" s="334" t="s">
        <v>1240</v>
      </c>
      <c r="C215" s="335" t="s"/>
      <c r="D215" s="310" t="s"/>
      <c r="E215" s="336">
        <f>=$C215</f>
        <v>0</v>
      </c>
      <c r="F215" s="336">
        <f>=$C215</f>
        <v>0</v>
      </c>
      <c r="G215" s="336">
        <f>=$C215</f>
        <v>0</v>
      </c>
      <c r="H215" s="336">
        <f>=$C215</f>
        <v>0</v>
      </c>
      <c r="I215" s="336">
        <f>=$C215</f>
        <v>0</v>
      </c>
      <c r="J215" s="336">
        <f>=$C215</f>
        <v>0</v>
      </c>
      <c r="K215" s="336">
        <f>=$C215</f>
        <v>0</v>
      </c>
      <c r="L215" s="336">
        <f>=$C215</f>
        <v>0</v>
      </c>
      <c r="M215" s="336">
        <f>=$C215</f>
        <v>0</v>
      </c>
      <c r="N215" s="336">
        <f>=$C215</f>
        <v>0</v>
      </c>
      <c r="O215" s="336">
        <f>=$C215</f>
        <v>0</v>
      </c>
      <c r="P215" s="336">
        <f>=$C215</f>
        <v>0</v>
      </c>
      <c r="Q215" s="336">
        <f>=$C215</f>
        <v>0</v>
      </c>
      <c r="R215" s="336">
        <f>=$C215</f>
        <v>0</v>
      </c>
      <c r="S215" s="336">
        <f>=$C215</f>
        <v>0</v>
      </c>
      <c r="T215" s="336">
        <f>=$C215</f>
        <v>0</v>
      </c>
      <c r="U215" s="336">
        <f>=$C215</f>
        <v>0</v>
      </c>
      <c r="V215" s="336">
        <f>=$C215</f>
        <v>0</v>
      </c>
      <c r="W215" s="336">
        <f>=$C215</f>
        <v>0</v>
      </c>
      <c r="X215" s="336">
        <f>=$C215</f>
        <v>0</v>
      </c>
      <c r="Y215" s="336">
        <f>=$C215</f>
        <v>0</v>
      </c>
      <c r="Z215" s="336">
        <f>=$C215</f>
        <v>0</v>
      </c>
    </row>
    <row r="216" spans="1:26" ht="12" customHeight="true">
      <c r="A216" s="314" t="s"/>
      <c r="B216" s="334" t="s">
        <v>1229</v>
      </c>
      <c r="C216" s="310" t="s"/>
      <c r="D216" s="310">
        <f>=SUM(E216:Z216)</f>
        <v>0</v>
      </c>
      <c r="E216" s="306">
        <f>=E214*(1+E215)</f>
        <v>0</v>
      </c>
      <c r="F216" s="306">
        <f>=F214*(1+F215)</f>
        <v>0</v>
      </c>
      <c r="G216" s="306">
        <f>=G214*(1+G215)</f>
        <v>0</v>
      </c>
      <c r="H216" s="306">
        <f>=H214*(1+H215)</f>
        <v>0</v>
      </c>
      <c r="I216" s="306">
        <f>=I214*(1+I215)</f>
        <v>0</v>
      </c>
      <c r="J216" s="306">
        <f>=J214*(1+J215)</f>
        <v>0</v>
      </c>
      <c r="K216" s="306">
        <f>=K214*(1+K215)</f>
        <v>0</v>
      </c>
      <c r="L216" s="306">
        <f>=L214*(1+L215)</f>
        <v>0</v>
      </c>
      <c r="M216" s="306">
        <f>=M214*(1+M215)</f>
        <v>0</v>
      </c>
      <c r="N216" s="306">
        <f>=N214*(1+N215)</f>
        <v>0</v>
      </c>
      <c r="O216" s="306">
        <f>=O214*(1+O215)</f>
        <v>0</v>
      </c>
      <c r="P216" s="306">
        <f>=P214*(1+P215)</f>
        <v>0</v>
      </c>
      <c r="Q216" s="306">
        <f>=Q214*(1+Q215)</f>
        <v>0</v>
      </c>
      <c r="R216" s="306">
        <f>=R214*(1+R215)</f>
        <v>0</v>
      </c>
      <c r="S216" s="306">
        <f>=S214*(1+S215)</f>
        <v>0</v>
      </c>
      <c r="T216" s="306">
        <f>=T214*(1+T215)</f>
        <v>0</v>
      </c>
      <c r="U216" s="306">
        <f>=U214*(1+U215)</f>
        <v>0</v>
      </c>
      <c r="V216" s="306">
        <f>=V214*(1+V215)</f>
        <v>0</v>
      </c>
      <c r="W216" s="306">
        <f>=W214*(1+W215)</f>
        <v>0</v>
      </c>
      <c r="X216" s="306">
        <f>=X214*(1+X215)</f>
        <v>0</v>
      </c>
      <c r="Y216" s="306">
        <f>=Y214*(1+Y215)</f>
        <v>0</v>
      </c>
      <c r="Z216" s="306">
        <f>=Z214*(1+Z215)</f>
        <v>0</v>
      </c>
    </row>
    <row r="217" spans="1:26" ht="12" customHeight="true">
      <c r="A217" s="314" t="s"/>
      <c r="B217" s="334" t="s">
        <v>682</v>
      </c>
      <c r="C217" s="335" t="s"/>
      <c r="D217" s="310" t="s"/>
      <c r="E217" s="336">
        <f>=$C217</f>
        <v>0</v>
      </c>
      <c r="F217" s="336">
        <f>=$C217</f>
        <v>0</v>
      </c>
      <c r="G217" s="336">
        <f>=$C217</f>
        <v>0</v>
      </c>
      <c r="H217" s="336">
        <f>=$C217</f>
        <v>0</v>
      </c>
      <c r="I217" s="336">
        <f>=$C217</f>
        <v>0</v>
      </c>
      <c r="J217" s="336">
        <f>=$C217</f>
        <v>0</v>
      </c>
      <c r="K217" s="336">
        <f>=$C217</f>
        <v>0</v>
      </c>
      <c r="L217" s="336">
        <f>=$C217</f>
        <v>0</v>
      </c>
      <c r="M217" s="336">
        <f>=$C217</f>
        <v>0</v>
      </c>
      <c r="N217" s="336">
        <f>=$C217</f>
        <v>0</v>
      </c>
      <c r="O217" s="336">
        <f>=$C217</f>
        <v>0</v>
      </c>
      <c r="P217" s="336">
        <f>=$C217</f>
        <v>0</v>
      </c>
      <c r="Q217" s="336">
        <f>=$C217</f>
        <v>0</v>
      </c>
      <c r="R217" s="336">
        <f>=$C217</f>
        <v>0</v>
      </c>
      <c r="S217" s="336">
        <f>=$C217</f>
        <v>0</v>
      </c>
      <c r="T217" s="336">
        <f>=$C217</f>
        <v>0</v>
      </c>
      <c r="U217" s="336">
        <f>=$C217</f>
        <v>0</v>
      </c>
      <c r="V217" s="336">
        <f>=$C217</f>
        <v>0</v>
      </c>
      <c r="W217" s="336">
        <f>=$C217</f>
        <v>0</v>
      </c>
      <c r="X217" s="336">
        <f>=$C217</f>
        <v>0</v>
      </c>
      <c r="Y217" s="336">
        <f>=$C217</f>
        <v>0</v>
      </c>
      <c r="Z217" s="336">
        <f>=$C217</f>
        <v>0</v>
      </c>
    </row>
    <row r="218" spans="1:26" ht="12" customHeight="true">
      <c r="A218" s="314" t="s"/>
      <c r="B218" s="334" t="s">
        <v>656</v>
      </c>
      <c r="C218" s="337" t="s"/>
      <c r="D218" s="345">
        <f>=SUM(E218:Z218)</f>
        <v>0</v>
      </c>
      <c r="E218" s="306">
        <f>=IF(E215=0,E216*E217/(1+E217),E216*E217)</f>
        <v>0</v>
      </c>
      <c r="F218" s="306">
        <f>=IF(F215=0,F216*F217/(1+F217),F216*F217)</f>
        <v>0</v>
      </c>
      <c r="G218" s="306">
        <f>=IF(G215=0,G216*G217/(1+G217),G216*G217)</f>
        <v>0</v>
      </c>
      <c r="H218" s="306">
        <f>=IF(H215=0,H216*H217/(1+H217),H216*H217)</f>
        <v>0</v>
      </c>
      <c r="I218" s="306">
        <f>=IF(I215=0,I216*I217/(1+I217),I216*I217)</f>
        <v>0</v>
      </c>
      <c r="J218" s="306">
        <f>=IF(J215=0,J216*J217/(1+J217),J216*J217)</f>
        <v>0</v>
      </c>
      <c r="K218" s="306">
        <f>=IF(K215=0,K216*K217/(1+K217),K216*K217)</f>
        <v>0</v>
      </c>
      <c r="L218" s="306">
        <f>=IF(L215=0,L216*L217/(1+L217),L216*L217)</f>
        <v>0</v>
      </c>
      <c r="M218" s="306">
        <f>=IF(M215=0,M216*M217/(1+M217),M216*M217)</f>
        <v>0</v>
      </c>
      <c r="N218" s="306">
        <f>=IF(N215=0,N216*N217/(1+N217),N216*N217)</f>
        <v>0</v>
      </c>
      <c r="O218" s="306">
        <f>=IF(O215=0,O216*O217/(1+O217),O216*O217)</f>
        <v>0</v>
      </c>
      <c r="P218" s="306">
        <f>=IF(P215=0,P216*P217/(1+P217),P216*P217)</f>
        <v>0</v>
      </c>
      <c r="Q218" s="306">
        <f>=IF(Q215=0,Q216*Q217/(1+Q217),Q216*Q217)</f>
        <v>0</v>
      </c>
      <c r="R218" s="306">
        <f>=IF(R215=0,R216*R217/(1+R217),R216*R217)</f>
        <v>0</v>
      </c>
      <c r="S218" s="306">
        <f>=IF(S215=0,S216*S217/(1+S217),S216*S217)</f>
        <v>0</v>
      </c>
      <c r="T218" s="306">
        <f>=IF(T215=0,T216*T217/(1+T217),T216*T217)</f>
        <v>0</v>
      </c>
      <c r="U218" s="306">
        <f>=IF(U215=0,U216*U217/(1+U217),U216*U217)</f>
        <v>0</v>
      </c>
      <c r="V218" s="306">
        <f>=IF(V215=0,V216*V217/(1+V217),V216*V217)</f>
        <v>0</v>
      </c>
      <c r="W218" s="306">
        <f>=IF(W215=0,W216*W217/(1+W217),W216*W217)</f>
        <v>0</v>
      </c>
      <c r="X218" s="306">
        <f>=IF(X215=0,X216*X217/(1+X217),X216*X217)</f>
        <v>0</v>
      </c>
      <c r="Y218" s="306">
        <f>=IF(Y215=0,Y216*Y217/(1+Y217),Y216*Y217)</f>
        <v>0</v>
      </c>
      <c r="Z218" s="306">
        <f>=IF(Z215=0,Z216*Z217/(1+Z217),Z216*Z217)</f>
        <v>0</v>
      </c>
    </row>
    <row r="219" spans="1:26" ht="12" customHeight="true">
      <c r="A219" s="314" t="s"/>
      <c r="B219" s="334" t="s">
        <v>1242</v>
      </c>
      <c r="C219" s="337" t="s"/>
      <c r="D219" s="345">
        <f>=SUM(E219:Z219)</f>
        <v>0</v>
      </c>
      <c r="E219" s="306">
        <f>=IF(E215=0,E214,E216+E218)</f>
        <v>0</v>
      </c>
      <c r="F219" s="306">
        <f>=IF(F215=0,F214,F216+F218)</f>
        <v>0</v>
      </c>
      <c r="G219" s="306">
        <f>=IF(G215=0,G214,G216+G218)</f>
        <v>0</v>
      </c>
      <c r="H219" s="306">
        <f>=IF(H215=0,H214,H216+H218)</f>
        <v>0</v>
      </c>
      <c r="I219" s="306">
        <f>=IF(I215=0,I214,I216+I218)</f>
        <v>0</v>
      </c>
      <c r="J219" s="306">
        <f>=IF(J215=0,J214,J216+J218)</f>
        <v>0</v>
      </c>
      <c r="K219" s="306">
        <f>=IF(K215=0,K214,K216+K218)</f>
        <v>0</v>
      </c>
      <c r="L219" s="306">
        <f>=IF(L215=0,L214,L216+L218)</f>
        <v>0</v>
      </c>
      <c r="M219" s="306">
        <f>=IF(M215=0,M214,M216+M218)</f>
        <v>0</v>
      </c>
      <c r="N219" s="306">
        <f>=IF(N215=0,N214,N216+N218)</f>
        <v>0</v>
      </c>
      <c r="O219" s="306">
        <f>=IF(O215=0,O214,O216+O218)</f>
        <v>0</v>
      </c>
      <c r="P219" s="306">
        <f>=IF(P215=0,P214,P216+P218)</f>
        <v>0</v>
      </c>
      <c r="Q219" s="306">
        <f>=IF(Q215=0,Q214,Q216+Q218)</f>
        <v>0</v>
      </c>
      <c r="R219" s="306">
        <f>=IF(R215=0,R214,R216+R218)</f>
        <v>0</v>
      </c>
      <c r="S219" s="306">
        <f>=IF(S215=0,S214,S216+S218)</f>
        <v>0</v>
      </c>
      <c r="T219" s="306">
        <f>=IF(T215=0,T214,T216+T218)</f>
        <v>0</v>
      </c>
      <c r="U219" s="306">
        <f>=IF(U215=0,U214,U216+U218)</f>
        <v>0</v>
      </c>
      <c r="V219" s="306">
        <f>=IF(V215=0,V214,V216+V218)</f>
        <v>0</v>
      </c>
      <c r="W219" s="306">
        <f>=IF(W215=0,W214,W216+W218)</f>
        <v>0</v>
      </c>
      <c r="X219" s="306">
        <f>=IF(X215=0,X214,X216+X218)</f>
        <v>0</v>
      </c>
      <c r="Y219" s="306">
        <f>=IF(Y215=0,Y214,Y216+Y218)</f>
        <v>0</v>
      </c>
      <c r="Z219" s="306">
        <f>=IF(Z215=0,Z214,Z216+Z218)</f>
        <v>0</v>
      </c>
    </row>
    <row r="220" spans="1:26" ht="12" customHeight="true">
      <c r="A220" s="314">
        <v>4.2</v>
      </c>
      <c r="B220" s="580" t="s"/>
      <c r="C220" s="580" t="s"/>
      <c r="D220" s="316" t="s">
        <v>672</v>
      </c>
      <c r="E220" s="316" t="s"/>
      <c r="F220" s="316" t="s"/>
      <c r="G220" s="316" t="s"/>
      <c r="H220" s="316" t="s"/>
      <c r="I220" s="316" t="s"/>
      <c r="J220" s="316" t="s"/>
      <c r="K220" s="316" t="s"/>
      <c r="L220" s="316" t="s"/>
      <c r="M220" s="316" t="s"/>
      <c r="N220" s="316" t="s"/>
      <c r="O220" s="316" t="s"/>
      <c r="P220" s="316" t="s"/>
      <c r="Q220" s="316" t="s"/>
      <c r="R220" s="316" t="s"/>
      <c r="S220" s="316" t="s"/>
      <c r="T220" s="316" t="s"/>
      <c r="U220" s="316" t="s"/>
      <c r="V220" s="316" t="s"/>
      <c r="W220" s="316" t="s"/>
      <c r="X220" s="316" t="s"/>
      <c r="Y220" s="316" t="s"/>
      <c r="Z220" s="316" t="s"/>
    </row>
    <row r="221" spans="1:26" ht="12" customHeight="true">
      <c r="A221" s="314" t="s"/>
      <c r="B221" s="318" t="s">
        <v>688</v>
      </c>
      <c r="C221" s="319" t="s"/>
      <c r="D221" s="582" t="s">
        <v>674</v>
      </c>
      <c r="E221" s="331" t="s"/>
      <c r="F221" s="331" t="s"/>
      <c r="G221" s="331" t="s"/>
      <c r="H221" s="331" t="s"/>
      <c r="I221" s="331" t="s"/>
      <c r="J221" s="331" t="s"/>
      <c r="K221" s="331" t="s"/>
      <c r="L221" s="331" t="s"/>
      <c r="M221" s="331" t="s"/>
      <c r="N221" s="331" t="s"/>
      <c r="O221" s="331" t="s"/>
      <c r="P221" s="331" t="s"/>
      <c r="Q221" s="331" t="s"/>
      <c r="R221" s="331" t="s"/>
      <c r="S221" s="331" t="s"/>
      <c r="T221" s="331" t="s"/>
      <c r="U221" s="331" t="s"/>
      <c r="V221" s="331" t="s"/>
      <c r="W221" s="331" t="s"/>
      <c r="X221" s="331" t="s"/>
      <c r="Y221" s="331" t="s"/>
      <c r="Z221" s="331" t="s"/>
    </row>
    <row r="222" spans="1:26" ht="12" customHeight="true">
      <c r="A222" s="314" t="s"/>
      <c r="B222" s="323" t="s">
        <v>534</v>
      </c>
      <c r="C222" s="586">
        <f>=IF($D221="美元",辅助表1评估项目基础数据表!$C$17,IF($D221="其他外币",辅助表1评估项目基础数据表!$C$18,1))</f>
        <v>1</v>
      </c>
      <c r="D222" s="300" t="s"/>
      <c r="E222" s="325">
        <f>=$C222</f>
        <v>1</v>
      </c>
      <c r="F222" s="325">
        <f>=$C222</f>
        <v>1</v>
      </c>
      <c r="G222" s="325">
        <f>=$C222</f>
        <v>1</v>
      </c>
      <c r="H222" s="325">
        <f>=$C222</f>
        <v>1</v>
      </c>
      <c r="I222" s="325">
        <f>=$C222</f>
        <v>1</v>
      </c>
      <c r="J222" s="325">
        <f>=$C222</f>
        <v>1</v>
      </c>
      <c r="K222" s="325">
        <f>=$C222</f>
        <v>1</v>
      </c>
      <c r="L222" s="325">
        <f>=$C222</f>
        <v>1</v>
      </c>
      <c r="M222" s="325">
        <f>=$C222</f>
        <v>1</v>
      </c>
      <c r="N222" s="325">
        <f>=$C222</f>
        <v>1</v>
      </c>
      <c r="O222" s="325">
        <f>=$C222</f>
        <v>1</v>
      </c>
      <c r="P222" s="325">
        <f>=$C222</f>
        <v>1</v>
      </c>
      <c r="Q222" s="325">
        <f>=$C222</f>
        <v>1</v>
      </c>
      <c r="R222" s="325">
        <f>=$C222</f>
        <v>1</v>
      </c>
      <c r="S222" s="325">
        <f>=$C222</f>
        <v>1</v>
      </c>
      <c r="T222" s="325">
        <f>=$C222</f>
        <v>1</v>
      </c>
      <c r="U222" s="325">
        <f>=$C222</f>
        <v>1</v>
      </c>
      <c r="V222" s="325">
        <f>=$C222</f>
        <v>1</v>
      </c>
      <c r="W222" s="325">
        <f>=$C222</f>
        <v>1</v>
      </c>
      <c r="X222" s="325">
        <f>=$C222</f>
        <v>1</v>
      </c>
      <c r="Y222" s="325">
        <f>=$C222</f>
        <v>1</v>
      </c>
      <c r="Z222" s="325">
        <f>=$C222</f>
        <v>1</v>
      </c>
    </row>
    <row r="223" spans="1:26" ht="12" customHeight="true">
      <c r="A223" s="314" t="s"/>
      <c r="B223" s="326" t="s">
        <v>676</v>
      </c>
      <c r="C223" s="327" t="s"/>
      <c r="D223" s="310" t="s"/>
      <c r="E223" s="328">
        <f>=E221*E222</f>
        <v>0</v>
      </c>
      <c r="F223" s="328">
        <f>=F221*F222</f>
        <v>0</v>
      </c>
      <c r="G223" s="328">
        <f>=G221*G222</f>
        <v>0</v>
      </c>
      <c r="H223" s="328">
        <f>=H221*H222</f>
        <v>0</v>
      </c>
      <c r="I223" s="328">
        <f>=I221*I222</f>
        <v>0</v>
      </c>
      <c r="J223" s="328">
        <f>=J221*J222</f>
        <v>0</v>
      </c>
      <c r="K223" s="328">
        <f>=K221*K222</f>
        <v>0</v>
      </c>
      <c r="L223" s="328">
        <f>=L221*L222</f>
        <v>0</v>
      </c>
      <c r="M223" s="328">
        <f>=M221*M222</f>
        <v>0</v>
      </c>
      <c r="N223" s="328">
        <f>=N221*N222</f>
        <v>0</v>
      </c>
      <c r="O223" s="328">
        <f>=O221*O222</f>
        <v>0</v>
      </c>
      <c r="P223" s="328">
        <f>=P221*P222</f>
        <v>0</v>
      </c>
      <c r="Q223" s="328">
        <f>=Q221*Q222</f>
        <v>0</v>
      </c>
      <c r="R223" s="328">
        <f>=R221*R222</f>
        <v>0</v>
      </c>
      <c r="S223" s="328">
        <f>=S221*S222</f>
        <v>0</v>
      </c>
      <c r="T223" s="328">
        <f>=T221*T222</f>
        <v>0</v>
      </c>
      <c r="U223" s="328">
        <f>=U221*U222</f>
        <v>0</v>
      </c>
      <c r="V223" s="328">
        <f>=V221*V222</f>
        <v>0</v>
      </c>
      <c r="W223" s="328">
        <f>=W221*W222</f>
        <v>0</v>
      </c>
      <c r="X223" s="328">
        <f>=X221*X222</f>
        <v>0</v>
      </c>
      <c r="Y223" s="328">
        <f>=Y221*Y222</f>
        <v>0</v>
      </c>
      <c r="Z223" s="328">
        <f>=Z221*Z222</f>
        <v>0</v>
      </c>
    </row>
    <row r="224" spans="1:26" ht="12" customHeight="true">
      <c r="A224" s="314" t="s"/>
      <c r="B224" s="333" t="s">
        <v>1236</v>
      </c>
      <c r="C224" s="585" t="s"/>
      <c r="D224" s="345">
        <f>=SUM(E224:Z224)</f>
        <v>0</v>
      </c>
      <c r="E224" s="331" t="s"/>
      <c r="F224" s="331" t="s"/>
      <c r="G224" s="331" t="s"/>
      <c r="H224" s="331" t="s"/>
      <c r="I224" s="331" t="s"/>
      <c r="J224" s="331" t="s"/>
      <c r="K224" s="331" t="s"/>
      <c r="L224" s="331" t="s"/>
      <c r="M224" s="331" t="s"/>
      <c r="N224" s="331" t="s"/>
      <c r="O224" s="331" t="s"/>
      <c r="P224" s="331" t="s"/>
      <c r="Q224" s="331" t="s"/>
      <c r="R224" s="331" t="s"/>
      <c r="S224" s="331" t="s"/>
      <c r="T224" s="331" t="s"/>
      <c r="U224" s="331" t="s"/>
      <c r="V224" s="331" t="s"/>
      <c r="W224" s="331" t="s"/>
      <c r="X224" s="331" t="s"/>
      <c r="Y224" s="331" t="s"/>
      <c r="Z224" s="331" t="s"/>
    </row>
    <row r="225" spans="1:26" ht="12" customHeight="true">
      <c r="A225" s="314" t="s"/>
      <c r="B225" s="333" t="s">
        <v>1238</v>
      </c>
      <c r="C225" s="333" t="s"/>
      <c r="D225" s="345">
        <f>=SUM(E225:Z225)</f>
        <v>0</v>
      </c>
      <c r="E225" s="306">
        <f>=E223*E224</f>
        <v>0</v>
      </c>
      <c r="F225" s="306">
        <f>=F223*F224</f>
        <v>0</v>
      </c>
      <c r="G225" s="306">
        <f>=G223*G224</f>
        <v>0</v>
      </c>
      <c r="H225" s="306">
        <f>=H223*H224</f>
        <v>0</v>
      </c>
      <c r="I225" s="306">
        <f>=I223*I224</f>
        <v>0</v>
      </c>
      <c r="J225" s="306">
        <f>=J223*J224</f>
        <v>0</v>
      </c>
      <c r="K225" s="306">
        <f>=K223*K224</f>
        <v>0</v>
      </c>
      <c r="L225" s="306">
        <f>=L223*L224</f>
        <v>0</v>
      </c>
      <c r="M225" s="306">
        <f>=M223*M224</f>
        <v>0</v>
      </c>
      <c r="N225" s="306">
        <f>=N223*N224</f>
        <v>0</v>
      </c>
      <c r="O225" s="306">
        <f>=O223*O224</f>
        <v>0</v>
      </c>
      <c r="P225" s="306">
        <f>=P223*P224</f>
        <v>0</v>
      </c>
      <c r="Q225" s="306">
        <f>=Q223*Q224</f>
        <v>0</v>
      </c>
      <c r="R225" s="306">
        <f>=R223*R224</f>
        <v>0</v>
      </c>
      <c r="S225" s="306">
        <f>=S223*S224</f>
        <v>0</v>
      </c>
      <c r="T225" s="306">
        <f>=T223*T224</f>
        <v>0</v>
      </c>
      <c r="U225" s="306">
        <f>=U223*U224</f>
        <v>0</v>
      </c>
      <c r="V225" s="306">
        <f>=V223*V224</f>
        <v>0</v>
      </c>
      <c r="W225" s="306">
        <f>=W223*W224</f>
        <v>0</v>
      </c>
      <c r="X225" s="306">
        <f>=X223*X224</f>
        <v>0</v>
      </c>
      <c r="Y225" s="306">
        <f>=Y223*Y224</f>
        <v>0</v>
      </c>
      <c r="Z225" s="306">
        <f>=Z223*Z224</f>
        <v>0</v>
      </c>
    </row>
    <row r="226" spans="1:26" ht="12" customHeight="true">
      <c r="A226" s="314" t="s"/>
      <c r="B226" s="334" t="s">
        <v>1240</v>
      </c>
      <c r="C226" s="335" t="s"/>
      <c r="D226" s="310" t="s"/>
      <c r="E226" s="336">
        <f>=$C226</f>
        <v>0</v>
      </c>
      <c r="F226" s="336">
        <f>=$C226</f>
        <v>0</v>
      </c>
      <c r="G226" s="336">
        <f>=$C226</f>
        <v>0</v>
      </c>
      <c r="H226" s="336">
        <f>=$C226</f>
        <v>0</v>
      </c>
      <c r="I226" s="336">
        <f>=$C226</f>
        <v>0</v>
      </c>
      <c r="J226" s="336">
        <f>=$C226</f>
        <v>0</v>
      </c>
      <c r="K226" s="336">
        <f>=$C226</f>
        <v>0</v>
      </c>
      <c r="L226" s="336">
        <f>=$C226</f>
        <v>0</v>
      </c>
      <c r="M226" s="336">
        <f>=$C226</f>
        <v>0</v>
      </c>
      <c r="N226" s="336">
        <f>=$C226</f>
        <v>0</v>
      </c>
      <c r="O226" s="336">
        <f>=$C226</f>
        <v>0</v>
      </c>
      <c r="P226" s="336">
        <f>=$C226</f>
        <v>0</v>
      </c>
      <c r="Q226" s="336">
        <f>=$C226</f>
        <v>0</v>
      </c>
      <c r="R226" s="336">
        <f>=$C226</f>
        <v>0</v>
      </c>
      <c r="S226" s="336">
        <f>=$C226</f>
        <v>0</v>
      </c>
      <c r="T226" s="336">
        <f>=$C226</f>
        <v>0</v>
      </c>
      <c r="U226" s="336">
        <f>=$C226</f>
        <v>0</v>
      </c>
      <c r="V226" s="336">
        <f>=$C226</f>
        <v>0</v>
      </c>
      <c r="W226" s="336">
        <f>=$C226</f>
        <v>0</v>
      </c>
      <c r="X226" s="336">
        <f>=$C226</f>
        <v>0</v>
      </c>
      <c r="Y226" s="336">
        <f>=$C226</f>
        <v>0</v>
      </c>
      <c r="Z226" s="336">
        <f>=$C226</f>
        <v>0</v>
      </c>
    </row>
    <row r="227" spans="1:26" ht="12" customHeight="true">
      <c r="A227" s="314" t="s"/>
      <c r="B227" s="334" t="s">
        <v>1229</v>
      </c>
      <c r="C227" s="310" t="s"/>
      <c r="D227" s="310">
        <f>=SUM(E227:Z227)</f>
        <v>0</v>
      </c>
      <c r="E227" s="306">
        <f>=E225*(1+E226)</f>
        <v>0</v>
      </c>
      <c r="F227" s="306">
        <f>=F225*(1+F226)</f>
        <v>0</v>
      </c>
      <c r="G227" s="306">
        <f>=G225*(1+G226)</f>
        <v>0</v>
      </c>
      <c r="H227" s="306">
        <f>=H225*(1+H226)</f>
        <v>0</v>
      </c>
      <c r="I227" s="306">
        <f>=I225*(1+I226)</f>
        <v>0</v>
      </c>
      <c r="J227" s="306">
        <f>=J225*(1+J226)</f>
        <v>0</v>
      </c>
      <c r="K227" s="306">
        <f>=K225*(1+K226)</f>
        <v>0</v>
      </c>
      <c r="L227" s="306">
        <f>=L225*(1+L226)</f>
        <v>0</v>
      </c>
      <c r="M227" s="306">
        <f>=M225*(1+M226)</f>
        <v>0</v>
      </c>
      <c r="N227" s="306">
        <f>=N225*(1+N226)</f>
        <v>0</v>
      </c>
      <c r="O227" s="306">
        <f>=O225*(1+O226)</f>
        <v>0</v>
      </c>
      <c r="P227" s="306">
        <f>=P225*(1+P226)</f>
        <v>0</v>
      </c>
      <c r="Q227" s="306">
        <f>=Q225*(1+Q226)</f>
        <v>0</v>
      </c>
      <c r="R227" s="306">
        <f>=R225*(1+R226)</f>
        <v>0</v>
      </c>
      <c r="S227" s="306">
        <f>=S225*(1+S226)</f>
        <v>0</v>
      </c>
      <c r="T227" s="306">
        <f>=T225*(1+T226)</f>
        <v>0</v>
      </c>
      <c r="U227" s="306">
        <f>=U225*(1+U226)</f>
        <v>0</v>
      </c>
      <c r="V227" s="306">
        <f>=V225*(1+V226)</f>
        <v>0</v>
      </c>
      <c r="W227" s="306">
        <f>=W225*(1+W226)</f>
        <v>0</v>
      </c>
      <c r="X227" s="306">
        <f>=X225*(1+X226)</f>
        <v>0</v>
      </c>
      <c r="Y227" s="306">
        <f>=Y225*(1+Y226)</f>
        <v>0</v>
      </c>
      <c r="Z227" s="306">
        <f>=Z225*(1+Z226)</f>
        <v>0</v>
      </c>
    </row>
    <row r="228" spans="1:26" ht="12" customHeight="true">
      <c r="A228" s="314" t="s"/>
      <c r="B228" s="334" t="s">
        <v>682</v>
      </c>
      <c r="C228" s="335" t="s"/>
      <c r="D228" s="310" t="s"/>
      <c r="E228" s="336">
        <f>=$C228</f>
        <v>0</v>
      </c>
      <c r="F228" s="336">
        <f>=$C228</f>
        <v>0</v>
      </c>
      <c r="G228" s="336">
        <f>=$C228</f>
        <v>0</v>
      </c>
      <c r="H228" s="336">
        <f>=$C228</f>
        <v>0</v>
      </c>
      <c r="I228" s="336">
        <f>=$C228</f>
        <v>0</v>
      </c>
      <c r="J228" s="336">
        <f>=$C228</f>
        <v>0</v>
      </c>
      <c r="K228" s="336">
        <f>=$C228</f>
        <v>0</v>
      </c>
      <c r="L228" s="336">
        <f>=$C228</f>
        <v>0</v>
      </c>
      <c r="M228" s="336">
        <f>=$C228</f>
        <v>0</v>
      </c>
      <c r="N228" s="336">
        <f>=$C228</f>
        <v>0</v>
      </c>
      <c r="O228" s="336">
        <f>=$C228</f>
        <v>0</v>
      </c>
      <c r="P228" s="336">
        <f>=$C228</f>
        <v>0</v>
      </c>
      <c r="Q228" s="336">
        <f>=$C228</f>
        <v>0</v>
      </c>
      <c r="R228" s="336">
        <f>=$C228</f>
        <v>0</v>
      </c>
      <c r="S228" s="336">
        <f>=$C228</f>
        <v>0</v>
      </c>
      <c r="T228" s="336">
        <f>=$C228</f>
        <v>0</v>
      </c>
      <c r="U228" s="336">
        <f>=$C228</f>
        <v>0</v>
      </c>
      <c r="V228" s="336">
        <f>=$C228</f>
        <v>0</v>
      </c>
      <c r="W228" s="336">
        <f>=$C228</f>
        <v>0</v>
      </c>
      <c r="X228" s="336">
        <f>=$C228</f>
        <v>0</v>
      </c>
      <c r="Y228" s="336">
        <f>=$C228</f>
        <v>0</v>
      </c>
      <c r="Z228" s="336">
        <f>=$C228</f>
        <v>0</v>
      </c>
    </row>
    <row r="229" spans="1:26" ht="12" customHeight="true">
      <c r="A229" s="314" t="s"/>
      <c r="B229" s="334" t="s">
        <v>656</v>
      </c>
      <c r="C229" s="337" t="s"/>
      <c r="D229" s="345">
        <f>=SUM(E229:Z229)</f>
        <v>0</v>
      </c>
      <c r="E229" s="306">
        <f>=IF(E226=0,E227*E228/(1+E228),E227*E228)</f>
        <v>0</v>
      </c>
      <c r="F229" s="306">
        <f>=IF(F226=0,F227*F228/(1+F228),F227*F228)</f>
        <v>0</v>
      </c>
      <c r="G229" s="306">
        <f>=IF(G226=0,G227*G228/(1+G228),G227*G228)</f>
        <v>0</v>
      </c>
      <c r="H229" s="306">
        <f>=IF(H226=0,H227*H228/(1+H228),H227*H228)</f>
        <v>0</v>
      </c>
      <c r="I229" s="306">
        <f>=IF(I226=0,I227*I228/(1+I228),I227*I228)</f>
        <v>0</v>
      </c>
      <c r="J229" s="306">
        <f>=IF(J226=0,J227*J228/(1+J228),J227*J228)</f>
        <v>0</v>
      </c>
      <c r="K229" s="306">
        <f>=IF(K226=0,K227*K228/(1+K228),K227*K228)</f>
        <v>0</v>
      </c>
      <c r="L229" s="306">
        <f>=IF(L226=0,L227*L228/(1+L228),L227*L228)</f>
        <v>0</v>
      </c>
      <c r="M229" s="306">
        <f>=IF(M226=0,M227*M228/(1+M228),M227*M228)</f>
        <v>0</v>
      </c>
      <c r="N229" s="306">
        <f>=IF(N226=0,N227*N228/(1+N228),N227*N228)</f>
        <v>0</v>
      </c>
      <c r="O229" s="306">
        <f>=IF(O226=0,O227*O228/(1+O228),O227*O228)</f>
        <v>0</v>
      </c>
      <c r="P229" s="306">
        <f>=IF(P226=0,P227*P228/(1+P228),P227*P228)</f>
        <v>0</v>
      </c>
      <c r="Q229" s="306">
        <f>=IF(Q226=0,Q227*Q228/(1+Q228),Q227*Q228)</f>
        <v>0</v>
      </c>
      <c r="R229" s="306">
        <f>=IF(R226=0,R227*R228/(1+R228),R227*R228)</f>
        <v>0</v>
      </c>
      <c r="S229" s="306">
        <f>=IF(S226=0,S227*S228/(1+S228),S227*S228)</f>
        <v>0</v>
      </c>
      <c r="T229" s="306">
        <f>=IF(T226=0,T227*T228/(1+T228),T227*T228)</f>
        <v>0</v>
      </c>
      <c r="U229" s="306">
        <f>=IF(U226=0,U227*U228/(1+U228),U227*U228)</f>
        <v>0</v>
      </c>
      <c r="V229" s="306">
        <f>=IF(V226=0,V227*V228/(1+V228),V227*V228)</f>
        <v>0</v>
      </c>
      <c r="W229" s="306">
        <f>=IF(W226=0,W227*W228/(1+W228),W227*W228)</f>
        <v>0</v>
      </c>
      <c r="X229" s="306">
        <f>=IF(X226=0,X227*X228/(1+X228),X227*X228)</f>
        <v>0</v>
      </c>
      <c r="Y229" s="306">
        <f>=IF(Y226=0,Y227*Y228/(1+Y228),Y227*Y228)</f>
        <v>0</v>
      </c>
      <c r="Z229" s="306">
        <f>=IF(Z226=0,Z227*Z228/(1+Z228),Z227*Z228)</f>
        <v>0</v>
      </c>
    </row>
    <row r="230" spans="1:26" ht="12" customHeight="true">
      <c r="A230" s="314" t="s"/>
      <c r="B230" s="334" t="s">
        <v>1242</v>
      </c>
      <c r="C230" s="337" t="s"/>
      <c r="D230" s="345">
        <f>=SUM(E230:Z230)</f>
        <v>0</v>
      </c>
      <c r="E230" s="306">
        <f>=IF(E226=0,E225,E227+E229)</f>
        <v>0</v>
      </c>
      <c r="F230" s="306">
        <f>=IF(F226=0,F225,F227+F229)</f>
        <v>0</v>
      </c>
      <c r="G230" s="306">
        <f>=IF(G226=0,G225,G227+G229)</f>
        <v>0</v>
      </c>
      <c r="H230" s="306">
        <f>=IF(H226=0,H225,H227+H229)</f>
        <v>0</v>
      </c>
      <c r="I230" s="306">
        <f>=IF(I226=0,I225,I227+I229)</f>
        <v>0</v>
      </c>
      <c r="J230" s="306">
        <f>=IF(J226=0,J225,J227+J229)</f>
        <v>0</v>
      </c>
      <c r="K230" s="306">
        <f>=IF(K226=0,K225,K227+K229)</f>
        <v>0</v>
      </c>
      <c r="L230" s="306">
        <f>=IF(L226=0,L225,L227+L229)</f>
        <v>0</v>
      </c>
      <c r="M230" s="306">
        <f>=IF(M226=0,M225,M227+M229)</f>
        <v>0</v>
      </c>
      <c r="N230" s="306">
        <f>=IF(N226=0,N225,N227+N229)</f>
        <v>0</v>
      </c>
      <c r="O230" s="306">
        <f>=IF(O226=0,O225,O227+O229)</f>
        <v>0</v>
      </c>
      <c r="P230" s="306">
        <f>=IF(P226=0,P225,P227+P229)</f>
        <v>0</v>
      </c>
      <c r="Q230" s="306">
        <f>=IF(Q226=0,Q225,Q227+Q229)</f>
        <v>0</v>
      </c>
      <c r="R230" s="306">
        <f>=IF(R226=0,R225,R227+R229)</f>
        <v>0</v>
      </c>
      <c r="S230" s="306">
        <f>=IF(S226=0,S225,S227+S229)</f>
        <v>0</v>
      </c>
      <c r="T230" s="306">
        <f>=IF(T226=0,T225,T227+T229)</f>
        <v>0</v>
      </c>
      <c r="U230" s="306">
        <f>=IF(U226=0,U225,U227+U229)</f>
        <v>0</v>
      </c>
      <c r="V230" s="306">
        <f>=IF(V226=0,V225,V227+V229)</f>
        <v>0</v>
      </c>
      <c r="W230" s="306">
        <f>=IF(W226=0,W225,W227+W229)</f>
        <v>0</v>
      </c>
      <c r="X230" s="306">
        <f>=IF(X226=0,X225,X227+X229)</f>
        <v>0</v>
      </c>
      <c r="Y230" s="306">
        <f>=IF(Y226=0,Y225,Y227+Y229)</f>
        <v>0</v>
      </c>
      <c r="Z230" s="306">
        <f>=IF(Z226=0,Z225,Z227+Z229)</f>
        <v>0</v>
      </c>
    </row>
    <row r="231" spans="1:26" s="707" customFormat="true" ht="12" customHeight="true">
      <c r="A231" s="314">
        <v>5</v>
      </c>
      <c r="B231" s="318" t="s">
        <v>926</v>
      </c>
      <c r="C231" s="587" t="s"/>
      <c r="D231" s="345">
        <f>=SUM(E231:Z231)</f>
        <v>494.02</v>
      </c>
      <c r="E231" s="306">
        <f>=E242+E253</f>
        <v>0</v>
      </c>
      <c r="F231" s="306">
        <f>=F242+F253</f>
        <v>0</v>
      </c>
      <c r="G231" s="306">
        <f>=G242+G253</f>
        <v>21.46</v>
      </c>
      <c r="H231" s="306">
        <f>=H242+H253</f>
        <v>42.96</v>
      </c>
      <c r="I231" s="306">
        <f>=I242+I253</f>
        <v>42.96</v>
      </c>
      <c r="J231" s="306">
        <f>=J242+J253</f>
        <v>42.96</v>
      </c>
      <c r="K231" s="306">
        <f>=K242+K253</f>
        <v>42.96</v>
      </c>
      <c r="L231" s="306">
        <f>=L242+L253</f>
        <v>42.96</v>
      </c>
      <c r="M231" s="306">
        <f>=M242+M253</f>
        <v>42.96</v>
      </c>
      <c r="N231" s="306">
        <f>=N242+N253</f>
        <v>42.96</v>
      </c>
      <c r="O231" s="306">
        <f>=O242+O253</f>
        <v>42.96</v>
      </c>
      <c r="P231" s="306">
        <f>=P242+P253</f>
        <v>42.96</v>
      </c>
      <c r="Q231" s="306">
        <f>=Q242+Q253</f>
        <v>42.96</v>
      </c>
      <c r="R231" s="306">
        <f>=R242+R253</f>
        <v>42.96</v>
      </c>
      <c r="S231" s="306">
        <f>=S242+S253</f>
        <v>0</v>
      </c>
      <c r="T231" s="306">
        <f>=T242+T253</f>
        <v>0</v>
      </c>
      <c r="U231" s="306">
        <f>=U242+U253</f>
        <v>0</v>
      </c>
      <c r="V231" s="306">
        <f>=V242+V253</f>
        <v>0</v>
      </c>
      <c r="W231" s="306">
        <f>=W242+W253</f>
        <v>0</v>
      </c>
      <c r="X231" s="306">
        <f>=X242+X253</f>
        <v>0</v>
      </c>
      <c r="Y231" s="306">
        <f>=Y242+Y253</f>
        <v>0</v>
      </c>
      <c r="Z231" s="306">
        <f>=Z242+Z253</f>
        <v>0</v>
      </c>
    </row>
    <row r="232" spans="1:26" s="707" customFormat="true" ht="12" customHeight="true">
      <c r="A232" s="314">
        <v>5.1</v>
      </c>
      <c r="B232" s="580" t="s">
        <v>1245</v>
      </c>
      <c r="C232" s="580" t="s"/>
      <c r="D232" s="316" t="s">
        <v>672</v>
      </c>
      <c r="E232" s="316" t="s"/>
      <c r="F232" s="316" t="s"/>
      <c r="G232" s="316" t="s"/>
      <c r="H232" s="316" t="s"/>
      <c r="I232" s="316" t="s"/>
      <c r="J232" s="316" t="s"/>
      <c r="K232" s="316" t="s"/>
      <c r="L232" s="316" t="s"/>
      <c r="M232" s="316" t="s"/>
      <c r="N232" s="316" t="s"/>
      <c r="O232" s="316" t="s"/>
      <c r="P232" s="316" t="s"/>
      <c r="Q232" s="316" t="s"/>
      <c r="R232" s="316" t="s"/>
      <c r="S232" s="316" t="s"/>
      <c r="T232" s="316" t="s"/>
      <c r="U232" s="316" t="s"/>
      <c r="V232" s="316" t="s"/>
      <c r="W232" s="316" t="s"/>
      <c r="X232" s="316" t="s"/>
      <c r="Y232" s="316" t="s"/>
      <c r="Z232" s="316" t="s"/>
    </row>
    <row r="233" spans="1:26" s="707" customFormat="true" ht="12" customHeight="true">
      <c r="A233" s="314" t="s"/>
      <c r="B233" s="318" t="s">
        <v>1246</v>
      </c>
      <c r="C233" s="319" t="s"/>
      <c r="D233" s="582" t="s">
        <v>674</v>
      </c>
      <c r="E233" s="331" t="s"/>
      <c r="F233" s="331">
        <f>=E233*1.02</f>
        <v>0</v>
      </c>
      <c r="G233" s="331">
        <v>2.6</v>
      </c>
      <c r="H233" s="331">
        <f>=2.64</f>
        <v>2.64</v>
      </c>
      <c r="I233" s="331">
        <f>=H233</f>
        <v>2.64</v>
      </c>
      <c r="J233" s="331">
        <f>=I233</f>
        <v>2.64</v>
      </c>
      <c r="K233" s="331">
        <f>=J233</f>
        <v>2.64</v>
      </c>
      <c r="L233" s="331">
        <f>=K233</f>
        <v>2.64</v>
      </c>
      <c r="M233" s="331">
        <f>=L233</f>
        <v>2.64</v>
      </c>
      <c r="N233" s="331">
        <f>=M233</f>
        <v>2.64</v>
      </c>
      <c r="O233" s="331">
        <f>=N233</f>
        <v>2.64</v>
      </c>
      <c r="P233" s="331">
        <f>=O233</f>
        <v>2.64</v>
      </c>
      <c r="Q233" s="331">
        <f>=P233</f>
        <v>2.64</v>
      </c>
      <c r="R233" s="331">
        <f>=Q233</f>
        <v>2.64</v>
      </c>
      <c r="S233" s="331" t="s"/>
      <c r="T233" s="331" t="s"/>
      <c r="U233" s="331">
        <f>=T233*(1+2%)</f>
        <v>0</v>
      </c>
      <c r="V233" s="331" t="s"/>
      <c r="W233" s="331" t="s"/>
      <c r="X233" s="331" t="s"/>
      <c r="Y233" s="331" t="s"/>
      <c r="Z233" s="331" t="s"/>
    </row>
    <row r="234" spans="1:26" s="707" customFormat="true" ht="12" customHeight="true">
      <c r="A234" s="314" t="s"/>
      <c r="B234" s="323" t="s">
        <v>534</v>
      </c>
      <c r="C234" s="586">
        <f>=IF($D233="美元",辅助表1评估项目基础数据表!$C$17,IF($D233="其他外币",辅助表1评估项目基础数据表!$C$18,1))</f>
        <v>1</v>
      </c>
      <c r="D234" s="300" t="s"/>
      <c r="E234" s="325">
        <f>=$C234</f>
        <v>1</v>
      </c>
      <c r="F234" s="325">
        <f>=$C234</f>
        <v>1</v>
      </c>
      <c r="G234" s="325">
        <f>=$C234</f>
        <v>1</v>
      </c>
      <c r="H234" s="325">
        <f>=$C234</f>
        <v>1</v>
      </c>
      <c r="I234" s="325">
        <f>=$C234</f>
        <v>1</v>
      </c>
      <c r="J234" s="325">
        <f>=$C234</f>
        <v>1</v>
      </c>
      <c r="K234" s="325">
        <f>=$C234</f>
        <v>1</v>
      </c>
      <c r="L234" s="325">
        <f>=$C234</f>
        <v>1</v>
      </c>
      <c r="M234" s="325">
        <f>=$C234</f>
        <v>1</v>
      </c>
      <c r="N234" s="325">
        <f>=$C234</f>
        <v>1</v>
      </c>
      <c r="O234" s="325">
        <f>=$C234</f>
        <v>1</v>
      </c>
      <c r="P234" s="325">
        <f>=$C234</f>
        <v>1</v>
      </c>
      <c r="Q234" s="325">
        <f>=$C234</f>
        <v>1</v>
      </c>
      <c r="R234" s="325">
        <f>=$C234</f>
        <v>1</v>
      </c>
      <c r="S234" s="325">
        <f>=$C234</f>
        <v>1</v>
      </c>
      <c r="T234" s="325">
        <f>=$C234</f>
        <v>1</v>
      </c>
      <c r="U234" s="325">
        <f>=$C234</f>
        <v>1</v>
      </c>
      <c r="V234" s="325">
        <f>=$C234</f>
        <v>1</v>
      </c>
      <c r="W234" s="325">
        <f>=$C234</f>
        <v>1</v>
      </c>
      <c r="X234" s="325">
        <f>=$C234</f>
        <v>1</v>
      </c>
      <c r="Y234" s="325">
        <f>=$C234</f>
        <v>1</v>
      </c>
      <c r="Z234" s="325">
        <f>=$C234</f>
        <v>1</v>
      </c>
    </row>
    <row r="235" spans="1:26" s="707" customFormat="true" ht="12" customHeight="true">
      <c r="A235" s="314" t="s"/>
      <c r="B235" s="326" t="s">
        <v>676</v>
      </c>
      <c r="C235" s="327" t="s"/>
      <c r="D235" s="310" t="s"/>
      <c r="E235" s="328">
        <f>=E233*E234</f>
        <v>0</v>
      </c>
      <c r="F235" s="328">
        <f>=F233*F234</f>
        <v>0</v>
      </c>
      <c r="G235" s="328">
        <f>=G233*G234</f>
        <v>2.6</v>
      </c>
      <c r="H235" s="328">
        <f>=H233*H234</f>
        <v>2.64</v>
      </c>
      <c r="I235" s="328">
        <f>=I233*I234</f>
        <v>2.64</v>
      </c>
      <c r="J235" s="328">
        <f>=J233*J234</f>
        <v>2.64</v>
      </c>
      <c r="K235" s="328">
        <f>=K233*K234</f>
        <v>2.64</v>
      </c>
      <c r="L235" s="328">
        <f>=L233*L234</f>
        <v>2.64</v>
      </c>
      <c r="M235" s="328">
        <f>=M233*M234</f>
        <v>2.64</v>
      </c>
      <c r="N235" s="328">
        <f>=N233*N234</f>
        <v>2.64</v>
      </c>
      <c r="O235" s="328">
        <f>=O233*O234</f>
        <v>2.64</v>
      </c>
      <c r="P235" s="328">
        <f>=P233*P234</f>
        <v>2.64</v>
      </c>
      <c r="Q235" s="328">
        <f>=Q233*Q234</f>
        <v>2.64</v>
      </c>
      <c r="R235" s="328">
        <f>=R233*R234</f>
        <v>2.64</v>
      </c>
      <c r="S235" s="328">
        <f>=S233*S234</f>
        <v>0</v>
      </c>
      <c r="T235" s="328">
        <f>=T233*T234</f>
        <v>0</v>
      </c>
      <c r="U235" s="328">
        <f>=U233*U234</f>
        <v>0</v>
      </c>
      <c r="V235" s="328">
        <f>=V233*V234</f>
        <v>0</v>
      </c>
      <c r="W235" s="328">
        <f>=W233*W234</f>
        <v>0</v>
      </c>
      <c r="X235" s="328">
        <f>=X233*X234</f>
        <v>0</v>
      </c>
      <c r="Y235" s="328">
        <f>=Y233*Y234</f>
        <v>0</v>
      </c>
      <c r="Z235" s="328">
        <f>=Z233*Z234</f>
        <v>0</v>
      </c>
    </row>
    <row r="236" spans="1:26" s="707" customFormat="true" ht="12" customHeight="true">
      <c r="A236" s="314" t="s"/>
      <c r="B236" s="333" t="s">
        <v>1236</v>
      </c>
      <c r="C236" s="585" t="s"/>
      <c r="D236" s="345">
        <f>=SUM(E236:Z236)</f>
        <v>14.5</v>
      </c>
      <c r="E236" s="331" t="s"/>
      <c r="F236" s="331" t="s"/>
      <c r="G236" s="331">
        <v>0.5</v>
      </c>
      <c r="H236" s="331">
        <v>1</v>
      </c>
      <c r="I236" s="331">
        <v>1</v>
      </c>
      <c r="J236" s="331">
        <v>1</v>
      </c>
      <c r="K236" s="331">
        <v>1</v>
      </c>
      <c r="L236" s="331">
        <v>1</v>
      </c>
      <c r="M236" s="331">
        <v>1</v>
      </c>
      <c r="N236" s="331">
        <v>1</v>
      </c>
      <c r="O236" s="331">
        <v>1</v>
      </c>
      <c r="P236" s="331">
        <v>1</v>
      </c>
      <c r="Q236" s="331">
        <v>1</v>
      </c>
      <c r="R236" s="331">
        <v>1</v>
      </c>
      <c r="S236" s="331">
        <v>1</v>
      </c>
      <c r="T236" s="331">
        <v>1</v>
      </c>
      <c r="U236" s="331">
        <v>1</v>
      </c>
      <c r="V236" s="331" t="s"/>
      <c r="W236" s="331" t="s"/>
      <c r="X236" s="331" t="s"/>
      <c r="Y236" s="331" t="s"/>
      <c r="Z236" s="331" t="s"/>
    </row>
    <row r="237" spans="1:26" s="707" customFormat="true" ht="12" customHeight="true">
      <c r="A237" s="314" t="s"/>
      <c r="B237" s="333" t="s">
        <v>1238</v>
      </c>
      <c r="C237" s="333" t="s"/>
      <c r="D237" s="345">
        <f>=SUM(E237:Z237)</f>
        <v>30.34</v>
      </c>
      <c r="E237" s="306">
        <f>=E235*E236</f>
        <v>0</v>
      </c>
      <c r="F237" s="306">
        <f>=F235*F236</f>
        <v>0</v>
      </c>
      <c r="G237" s="306">
        <f>=G235*G236</f>
        <v>1.3</v>
      </c>
      <c r="H237" s="306">
        <f>=H235*H236</f>
        <v>2.64</v>
      </c>
      <c r="I237" s="306">
        <f>=I235*I236</f>
        <v>2.64</v>
      </c>
      <c r="J237" s="306">
        <f>=J235*J236</f>
        <v>2.64</v>
      </c>
      <c r="K237" s="306">
        <f>=K235*K236</f>
        <v>2.64</v>
      </c>
      <c r="L237" s="306">
        <f>=L235*L236</f>
        <v>2.64</v>
      </c>
      <c r="M237" s="306">
        <f>=M235*M236</f>
        <v>2.64</v>
      </c>
      <c r="N237" s="306">
        <f>=N235*N236</f>
        <v>2.64</v>
      </c>
      <c r="O237" s="306">
        <f>=O235*O236</f>
        <v>2.64</v>
      </c>
      <c r="P237" s="306">
        <f>=P235*P236</f>
        <v>2.64</v>
      </c>
      <c r="Q237" s="306">
        <f>=Q235*Q236</f>
        <v>2.64</v>
      </c>
      <c r="R237" s="306">
        <f>=R235*R236</f>
        <v>2.64</v>
      </c>
      <c r="S237" s="306">
        <f>=S235*S236</f>
        <v>0</v>
      </c>
      <c r="T237" s="306">
        <f>=T235*T236</f>
        <v>0</v>
      </c>
      <c r="U237" s="306">
        <f>=U235*U236</f>
        <v>0</v>
      </c>
      <c r="V237" s="306">
        <f>=V235*V236</f>
        <v>0</v>
      </c>
      <c r="W237" s="306">
        <f>=W235*W236</f>
        <v>0</v>
      </c>
      <c r="X237" s="306">
        <f>=X235*X236</f>
        <v>0</v>
      </c>
      <c r="Y237" s="306">
        <f>=Y235*Y236</f>
        <v>0</v>
      </c>
      <c r="Z237" s="306">
        <f>=Z235*Z236</f>
        <v>0</v>
      </c>
    </row>
    <row r="238" spans="1:26" s="707" customFormat="true" ht="12" customHeight="true">
      <c r="A238" s="314" t="s"/>
      <c r="B238" s="334" t="s">
        <v>1240</v>
      </c>
      <c r="C238" s="335" t="s"/>
      <c r="D238" s="310" t="s"/>
      <c r="E238" s="336">
        <f>=$C238</f>
        <v>0</v>
      </c>
      <c r="F238" s="336">
        <f>=$C238</f>
        <v>0</v>
      </c>
      <c r="G238" s="336">
        <f>=$C238</f>
        <v>0</v>
      </c>
      <c r="H238" s="336">
        <f>=$C238</f>
        <v>0</v>
      </c>
      <c r="I238" s="336">
        <f>=$C238</f>
        <v>0</v>
      </c>
      <c r="J238" s="336">
        <f>=$C238</f>
        <v>0</v>
      </c>
      <c r="K238" s="336">
        <f>=$C238</f>
        <v>0</v>
      </c>
      <c r="L238" s="336">
        <f>=$C238</f>
        <v>0</v>
      </c>
      <c r="M238" s="336">
        <f>=$C238</f>
        <v>0</v>
      </c>
      <c r="N238" s="336">
        <f>=$C238</f>
        <v>0</v>
      </c>
      <c r="O238" s="336">
        <f>=$C238</f>
        <v>0</v>
      </c>
      <c r="P238" s="336">
        <f>=$C238</f>
        <v>0</v>
      </c>
      <c r="Q238" s="336">
        <f>=$C238</f>
        <v>0</v>
      </c>
      <c r="R238" s="336">
        <f>=$C238</f>
        <v>0</v>
      </c>
      <c r="S238" s="336">
        <f>=$C238</f>
        <v>0</v>
      </c>
      <c r="T238" s="336">
        <f>=$C238</f>
        <v>0</v>
      </c>
      <c r="U238" s="336">
        <f>=$C238</f>
        <v>0</v>
      </c>
      <c r="V238" s="336">
        <f>=$C238</f>
        <v>0</v>
      </c>
      <c r="W238" s="336">
        <f>=$C238</f>
        <v>0</v>
      </c>
      <c r="X238" s="336">
        <f>=$C238</f>
        <v>0</v>
      </c>
      <c r="Y238" s="336">
        <f>=$C238</f>
        <v>0</v>
      </c>
      <c r="Z238" s="336">
        <f>=$C238</f>
        <v>0</v>
      </c>
    </row>
    <row r="239" spans="1:26" s="707" customFormat="true" ht="12" customHeight="true">
      <c r="A239" s="314" t="s"/>
      <c r="B239" s="334" t="s">
        <v>1229</v>
      </c>
      <c r="C239" s="310" t="s"/>
      <c r="D239" s="310">
        <f>=SUM(E239:Z239)</f>
        <v>30.34</v>
      </c>
      <c r="E239" s="306">
        <f>=E237*(1+E238)</f>
        <v>0</v>
      </c>
      <c r="F239" s="306">
        <f>=F237*(1+F238)</f>
        <v>0</v>
      </c>
      <c r="G239" s="306">
        <f>=G237*(1+G238)</f>
        <v>1.3</v>
      </c>
      <c r="H239" s="306">
        <f>=H237*(1+H238)</f>
        <v>2.64</v>
      </c>
      <c r="I239" s="306">
        <f>=I237*(1+I238)</f>
        <v>2.64</v>
      </c>
      <c r="J239" s="306">
        <f>=J237*(1+J238)</f>
        <v>2.64</v>
      </c>
      <c r="K239" s="306">
        <f>=K237*(1+K238)</f>
        <v>2.64</v>
      </c>
      <c r="L239" s="306">
        <f>=L237*(1+L238)</f>
        <v>2.64</v>
      </c>
      <c r="M239" s="306">
        <f>=M237*(1+M238)</f>
        <v>2.64</v>
      </c>
      <c r="N239" s="306">
        <f>=N237*(1+N238)</f>
        <v>2.64</v>
      </c>
      <c r="O239" s="306">
        <f>=O237*(1+O238)</f>
        <v>2.64</v>
      </c>
      <c r="P239" s="306">
        <f>=P237*(1+P238)</f>
        <v>2.64</v>
      </c>
      <c r="Q239" s="306">
        <f>=Q237*(1+Q238)</f>
        <v>2.64</v>
      </c>
      <c r="R239" s="306">
        <f>=R237*(1+R238)</f>
        <v>2.64</v>
      </c>
      <c r="S239" s="306">
        <f>=S237*(1+S238)</f>
        <v>0</v>
      </c>
      <c r="T239" s="306">
        <f>=T237*(1+T238)</f>
        <v>0</v>
      </c>
      <c r="U239" s="306">
        <f>=U237*(1+U238)</f>
        <v>0</v>
      </c>
      <c r="V239" s="306">
        <f>=V237*(1+V238)</f>
        <v>0</v>
      </c>
      <c r="W239" s="306">
        <f>=W237*(1+W238)</f>
        <v>0</v>
      </c>
      <c r="X239" s="306">
        <f>=X237*(1+X238)</f>
        <v>0</v>
      </c>
      <c r="Y239" s="306">
        <f>=Y237*(1+Y238)</f>
        <v>0</v>
      </c>
      <c r="Z239" s="306">
        <f>=Z237*(1+Z238)</f>
        <v>0</v>
      </c>
    </row>
    <row r="240" spans="1:26" s="707" customFormat="true" ht="12" customHeight="true">
      <c r="A240" s="314" t="s"/>
      <c r="B240" s="334" t="s">
        <v>682</v>
      </c>
      <c r="C240" s="335">
        <v>0.13</v>
      </c>
      <c r="D240" s="310" t="s"/>
      <c r="E240" s="336">
        <f>=$C240</f>
        <v>0.13</v>
      </c>
      <c r="F240" s="336">
        <f>=$C240</f>
        <v>0.13</v>
      </c>
      <c r="G240" s="336">
        <f>=$C240</f>
        <v>0.13</v>
      </c>
      <c r="H240" s="336">
        <f>=$C240</f>
        <v>0.13</v>
      </c>
      <c r="I240" s="336">
        <f>=$C240</f>
        <v>0.13</v>
      </c>
      <c r="J240" s="336">
        <f>=$C240</f>
        <v>0.13</v>
      </c>
      <c r="K240" s="336">
        <f>=$C240</f>
        <v>0.13</v>
      </c>
      <c r="L240" s="336">
        <f>=$C240</f>
        <v>0.13</v>
      </c>
      <c r="M240" s="336">
        <f>=$C240</f>
        <v>0.13</v>
      </c>
      <c r="N240" s="336">
        <f>=$C240</f>
        <v>0.13</v>
      </c>
      <c r="O240" s="336">
        <f>=$C240</f>
        <v>0.13</v>
      </c>
      <c r="P240" s="336">
        <f>=$C240</f>
        <v>0.13</v>
      </c>
      <c r="Q240" s="336">
        <f>=$C240</f>
        <v>0.13</v>
      </c>
      <c r="R240" s="336">
        <f>=$C240</f>
        <v>0.13</v>
      </c>
      <c r="S240" s="336">
        <f>=$C240</f>
        <v>0.13</v>
      </c>
      <c r="T240" s="336">
        <f>=$C240</f>
        <v>0.13</v>
      </c>
      <c r="U240" s="336">
        <f>=$C240</f>
        <v>0.13</v>
      </c>
      <c r="V240" s="336">
        <f>=$C240</f>
        <v>0.13</v>
      </c>
      <c r="W240" s="336">
        <f>=$C240</f>
        <v>0.13</v>
      </c>
      <c r="X240" s="336">
        <f>=$C240</f>
        <v>0.13</v>
      </c>
      <c r="Y240" s="336">
        <f>=$C240</f>
        <v>0.13</v>
      </c>
      <c r="Z240" s="336">
        <f>=$C240</f>
        <v>0.13</v>
      </c>
    </row>
    <row r="241" spans="1:26" s="707" customFormat="true" ht="12" customHeight="true">
      <c r="A241" s="314" t="s"/>
      <c r="B241" s="334" t="s">
        <v>656</v>
      </c>
      <c r="C241" s="337" t="s"/>
      <c r="D241" s="345">
        <f>=SUM(E241:Z241)</f>
        <v>3.49044247787611</v>
      </c>
      <c r="E241" s="306">
        <f>=IF(E238=0,E239*E240/(1+E240),E239*E240)</f>
        <v>0</v>
      </c>
      <c r="F241" s="306">
        <f>=IF(F238=0,F239*F240/(1+F240),F239*F240)</f>
        <v>0</v>
      </c>
      <c r="G241" s="306">
        <f>=IF(G238=0,G239*G240/(1+G240),G239*G240)</f>
        <v>0.149557522123894</v>
      </c>
      <c r="H241" s="306">
        <f>=IF(H238=0,H239*H240/(1+H240),H239*H240)</f>
        <v>0.303716814159292</v>
      </c>
      <c r="I241" s="306">
        <f>=IF(I238=0,I239*I240/(1+I240),I239*I240)</f>
        <v>0.303716814159292</v>
      </c>
      <c r="J241" s="306">
        <f>=IF(J238=0,J239*J240/(1+J240),J239*J240)</f>
        <v>0.303716814159292</v>
      </c>
      <c r="K241" s="306">
        <f>=IF(K238=0,K239*K240/(1+K240),K239*K240)</f>
        <v>0.303716814159292</v>
      </c>
      <c r="L241" s="306">
        <f>=IF(L238=0,L239*L240/(1+L240),L239*L240)</f>
        <v>0.303716814159292</v>
      </c>
      <c r="M241" s="306">
        <f>=IF(M238=0,M239*M240/(1+M240),M239*M240)</f>
        <v>0.303716814159292</v>
      </c>
      <c r="N241" s="306">
        <f>=IF(N238=0,N239*N240/(1+N240),N239*N240)</f>
        <v>0.303716814159292</v>
      </c>
      <c r="O241" s="306">
        <f>=IF(O238=0,O239*O240/(1+O240),O239*O240)</f>
        <v>0.303716814159292</v>
      </c>
      <c r="P241" s="306">
        <f>=IF(P238=0,P239*P240/(1+P240),P239*P240)</f>
        <v>0.303716814159292</v>
      </c>
      <c r="Q241" s="306">
        <f>=IF(Q238=0,Q239*Q240/(1+Q240),Q239*Q240)</f>
        <v>0.303716814159292</v>
      </c>
      <c r="R241" s="306">
        <f>=IF(R238=0,R239*R240/(1+R240),R239*R240)</f>
        <v>0.303716814159292</v>
      </c>
      <c r="S241" s="306">
        <f>=IF(S238=0,S239*S240/(1+S240),S239*S240)</f>
        <v>0</v>
      </c>
      <c r="T241" s="306">
        <f>=IF(T238=0,T239*T240/(1+T240),T239*T240)</f>
        <v>0</v>
      </c>
      <c r="U241" s="306">
        <f>=IF(U238=0,U239*U240/(1+U240),U239*U240)</f>
        <v>0</v>
      </c>
      <c r="V241" s="306">
        <f>=IF(V238=0,V239*V240/(1+V240),V239*V240)</f>
        <v>0</v>
      </c>
      <c r="W241" s="306">
        <f>=IF(W238=0,W239*W240/(1+W240),W239*W240)</f>
        <v>0</v>
      </c>
      <c r="X241" s="306">
        <f>=IF(X238=0,X239*X240/(1+X240),X239*X240)</f>
        <v>0</v>
      </c>
      <c r="Y241" s="306">
        <f>=IF(Y238=0,Y239*Y240/(1+Y240),Y239*Y240)</f>
        <v>0</v>
      </c>
      <c r="Z241" s="306">
        <f>=IF(Z238=0,Z239*Z240/(1+Z240),Z239*Z240)</f>
        <v>0</v>
      </c>
    </row>
    <row r="242" spans="1:26" s="707" customFormat="true" ht="12" customHeight="true">
      <c r="A242" s="314" t="s"/>
      <c r="B242" s="334" t="s">
        <v>1242</v>
      </c>
      <c r="C242" s="337" t="s"/>
      <c r="D242" s="345">
        <f>=SUM(E242:Z242)</f>
        <v>30.34</v>
      </c>
      <c r="E242" s="306">
        <f>=IF(E238=0,E237,E239+E241)</f>
        <v>0</v>
      </c>
      <c r="F242" s="306">
        <f>=IF(F238=0,F237,F239+F241)</f>
        <v>0</v>
      </c>
      <c r="G242" s="306">
        <f>=IF(G238=0,G237,G239+G241)</f>
        <v>1.3</v>
      </c>
      <c r="H242" s="306">
        <f>=IF(H238=0,H237,H239+H241)</f>
        <v>2.64</v>
      </c>
      <c r="I242" s="306">
        <f>=IF(I238=0,I237,I239+I241)</f>
        <v>2.64</v>
      </c>
      <c r="J242" s="306">
        <f>=IF(J238=0,J237,J239+J241)</f>
        <v>2.64</v>
      </c>
      <c r="K242" s="306">
        <f>=IF(K238=0,K237,K239+K241)</f>
        <v>2.64</v>
      </c>
      <c r="L242" s="306">
        <f>=IF(L238=0,L237,L239+L241)</f>
        <v>2.64</v>
      </c>
      <c r="M242" s="306">
        <f>=IF(M238=0,M237,M239+M241)</f>
        <v>2.64</v>
      </c>
      <c r="N242" s="306">
        <f>=IF(N238=0,N237,N239+N241)</f>
        <v>2.64</v>
      </c>
      <c r="O242" s="306">
        <f>=IF(O238=0,O237,O239+O241)</f>
        <v>2.64</v>
      </c>
      <c r="P242" s="306">
        <f>=IF(P238=0,P237,P239+P241)</f>
        <v>2.64</v>
      </c>
      <c r="Q242" s="306">
        <f>=IF(Q238=0,Q237,Q239+Q241)</f>
        <v>2.64</v>
      </c>
      <c r="R242" s="306">
        <f>=IF(R238=0,R237,R239+R241)</f>
        <v>2.64</v>
      </c>
      <c r="S242" s="306">
        <f>=IF(S238=0,S237,S239+S241)</f>
        <v>0</v>
      </c>
      <c r="T242" s="306">
        <f>=IF(T238=0,T237,T239+T241)</f>
        <v>0</v>
      </c>
      <c r="U242" s="306">
        <f>=IF(U238=0,U237,U239+U241)</f>
        <v>0</v>
      </c>
      <c r="V242" s="306">
        <f>=IF(V238=0,V237,V239+V241)</f>
        <v>0</v>
      </c>
      <c r="W242" s="306">
        <f>=IF(W238=0,W237,W239+W241)</f>
        <v>0</v>
      </c>
      <c r="X242" s="306">
        <f>=IF(X238=0,X237,X239+X241)</f>
        <v>0</v>
      </c>
      <c r="Y242" s="306">
        <f>=IF(Y238=0,Y237,Y239+Y241)</f>
        <v>0</v>
      </c>
      <c r="Z242" s="306">
        <f>=IF(Z238=0,Z237,Z239+Z241)</f>
        <v>0</v>
      </c>
    </row>
    <row r="243" spans="1:26" s="707" customFormat="true" ht="20" customHeight="true">
      <c r="A243" s="314">
        <v>5.2</v>
      </c>
      <c r="B243" s="580" t="s">
        <v>1247</v>
      </c>
      <c r="C243" s="580" t="s"/>
      <c r="D243" s="316" t="s">
        <v>672</v>
      </c>
      <c r="E243" s="316" t="s"/>
      <c r="F243" s="316" t="s"/>
      <c r="G243" s="316" t="s"/>
      <c r="H243" s="316" t="s"/>
      <c r="I243" s="316" t="s"/>
      <c r="J243" s="316" t="s"/>
      <c r="K243" s="316" t="s"/>
      <c r="L243" s="316" t="s"/>
      <c r="M243" s="316" t="s"/>
      <c r="N243" s="316" t="s"/>
      <c r="O243" s="316" t="s"/>
      <c r="P243" s="316" t="s"/>
      <c r="Q243" s="316" t="s"/>
      <c r="R243" s="316" t="s"/>
      <c r="S243" s="316" t="s"/>
      <c r="T243" s="316" t="s"/>
      <c r="U243" s="316" t="s"/>
      <c r="V243" s="316" t="s"/>
      <c r="W243" s="316" t="s"/>
      <c r="X243" s="316" t="s"/>
      <c r="Y243" s="316" t="s"/>
      <c r="Z243" s="316" t="s"/>
    </row>
    <row r="244" spans="1:26" s="707" customFormat="true" ht="12" customHeight="true">
      <c r="A244" s="314" t="s"/>
      <c r="B244" s="318" t="s">
        <v>673</v>
      </c>
      <c r="C244" s="319" t="s"/>
      <c r="D244" s="582" t="s">
        <v>674</v>
      </c>
      <c r="E244" s="331" t="s"/>
      <c r="F244" s="331" t="s"/>
      <c r="G244" s="331">
        <v>0.35</v>
      </c>
      <c r="H244" s="331">
        <f>=G244</f>
        <v>0.35</v>
      </c>
      <c r="I244" s="331">
        <f>=H244</f>
        <v>0.35</v>
      </c>
      <c r="J244" s="331">
        <f>=I244</f>
        <v>0.35</v>
      </c>
      <c r="K244" s="331">
        <f>=J244</f>
        <v>0.35</v>
      </c>
      <c r="L244" s="331">
        <f>=K244</f>
        <v>0.35</v>
      </c>
      <c r="M244" s="331">
        <f>=L244</f>
        <v>0.35</v>
      </c>
      <c r="N244" s="331">
        <f>=M244</f>
        <v>0.35</v>
      </c>
      <c r="O244" s="331">
        <f>=N244</f>
        <v>0.35</v>
      </c>
      <c r="P244" s="331">
        <f>=O244</f>
        <v>0.35</v>
      </c>
      <c r="Q244" s="331">
        <f>=P244</f>
        <v>0.35</v>
      </c>
      <c r="R244" s="331">
        <f>=Q244</f>
        <v>0.35</v>
      </c>
      <c r="S244" s="331">
        <f>=R244</f>
        <v>0.35</v>
      </c>
      <c r="T244" s="331" t="s"/>
      <c r="U244" s="331" t="s"/>
      <c r="V244" s="331" t="s"/>
      <c r="W244" s="331" t="s"/>
      <c r="X244" s="331" t="s"/>
      <c r="Y244" s="331" t="s"/>
      <c r="Z244" s="331" t="s"/>
    </row>
    <row r="245" spans="1:26" s="707" customFormat="true" ht="12" customHeight="true">
      <c r="A245" s="314" t="s"/>
      <c r="B245" s="323" t="s">
        <v>534</v>
      </c>
      <c r="C245" s="586">
        <f>=IF($D244="美元",辅助表1评估项目基础数据表!$C$17,IF($D244="其他外币",辅助表1评估项目基础数据表!$C$18,1))</f>
        <v>1</v>
      </c>
      <c r="D245" s="300" t="s"/>
      <c r="E245" s="325">
        <f>=$C245</f>
        <v>1</v>
      </c>
      <c r="F245" s="325">
        <f>=$C245</f>
        <v>1</v>
      </c>
      <c r="G245" s="325">
        <f>=$C245</f>
        <v>1</v>
      </c>
      <c r="H245" s="325">
        <f>=$C245</f>
        <v>1</v>
      </c>
      <c r="I245" s="325">
        <f>=$C245</f>
        <v>1</v>
      </c>
      <c r="J245" s="325">
        <f>=$C245</f>
        <v>1</v>
      </c>
      <c r="K245" s="325">
        <f>=$C245</f>
        <v>1</v>
      </c>
      <c r="L245" s="325">
        <f>=$C245</f>
        <v>1</v>
      </c>
      <c r="M245" s="325">
        <f>=$C245</f>
        <v>1</v>
      </c>
      <c r="N245" s="325">
        <f>=$C245</f>
        <v>1</v>
      </c>
      <c r="O245" s="325">
        <f>=$C245</f>
        <v>1</v>
      </c>
      <c r="P245" s="325">
        <f>=$C245</f>
        <v>1</v>
      </c>
      <c r="Q245" s="325">
        <f>=$C245</f>
        <v>1</v>
      </c>
      <c r="R245" s="325">
        <f>=$C245</f>
        <v>1</v>
      </c>
      <c r="S245" s="325">
        <f>=$C245</f>
        <v>1</v>
      </c>
      <c r="T245" s="325">
        <f>=$C245</f>
        <v>1</v>
      </c>
      <c r="U245" s="325">
        <f>=$C245</f>
        <v>1</v>
      </c>
      <c r="V245" s="325">
        <f>=$C245</f>
        <v>1</v>
      </c>
      <c r="W245" s="325">
        <f>=$C245</f>
        <v>1</v>
      </c>
      <c r="X245" s="325">
        <f>=$C245</f>
        <v>1</v>
      </c>
      <c r="Y245" s="325">
        <f>=$C245</f>
        <v>1</v>
      </c>
      <c r="Z245" s="325">
        <f>=$C245</f>
        <v>1</v>
      </c>
    </row>
    <row r="246" spans="1:26" s="707" customFormat="true" ht="12" customHeight="true">
      <c r="A246" s="314" t="s"/>
      <c r="B246" s="326" t="s">
        <v>676</v>
      </c>
      <c r="C246" s="327" t="s"/>
      <c r="D246" s="310" t="s"/>
      <c r="E246" s="328">
        <f>=E244*E245</f>
        <v>0</v>
      </c>
      <c r="F246" s="328">
        <f>=F244*F245</f>
        <v>0</v>
      </c>
      <c r="G246" s="328">
        <f>=G244*G245</f>
        <v>0.35</v>
      </c>
      <c r="H246" s="328">
        <f>=H244*H245</f>
        <v>0.35</v>
      </c>
      <c r="I246" s="328">
        <f>=I244*I245</f>
        <v>0.35</v>
      </c>
      <c r="J246" s="328">
        <f>=J244*J245</f>
        <v>0.35</v>
      </c>
      <c r="K246" s="328">
        <f>=K244*K245</f>
        <v>0.35</v>
      </c>
      <c r="L246" s="328">
        <f>=L244*L245</f>
        <v>0.35</v>
      </c>
      <c r="M246" s="328">
        <f>=M244*M245</f>
        <v>0.35</v>
      </c>
      <c r="N246" s="328">
        <f>=N244*N245</f>
        <v>0.35</v>
      </c>
      <c r="O246" s="328">
        <f>=O244*O245</f>
        <v>0.35</v>
      </c>
      <c r="P246" s="328">
        <f>=P244*P245</f>
        <v>0.35</v>
      </c>
      <c r="Q246" s="328">
        <f>=Q244*Q245</f>
        <v>0.35</v>
      </c>
      <c r="R246" s="328">
        <f>=R244*R245</f>
        <v>0.35</v>
      </c>
      <c r="S246" s="328">
        <f>=S244*S245</f>
        <v>0.35</v>
      </c>
      <c r="T246" s="328">
        <f>=T244*T245</f>
        <v>0</v>
      </c>
      <c r="U246" s="328">
        <f>=U244*U245</f>
        <v>0</v>
      </c>
      <c r="V246" s="328">
        <f>=V244*V245</f>
        <v>0</v>
      </c>
      <c r="W246" s="328">
        <f>=W244*W245</f>
        <v>0</v>
      </c>
      <c r="X246" s="328">
        <f>=X244*X245</f>
        <v>0</v>
      </c>
      <c r="Y246" s="328">
        <f>=Y244*Y245</f>
        <v>0</v>
      </c>
      <c r="Z246" s="328">
        <f>=Z244*Z245</f>
        <v>0</v>
      </c>
    </row>
    <row r="247" spans="1:26" s="707" customFormat="true" ht="12" customHeight="true">
      <c r="A247" s="314" t="s"/>
      <c r="B247" s="333" t="s">
        <v>1248</v>
      </c>
      <c r="C247" s="585" t="s"/>
      <c r="D247" s="345" t="s"/>
      <c r="E247" s="331" t="s"/>
      <c r="F247" s="331" t="s"/>
      <c r="G247" s="331">
        <f>=3200*180/10000</f>
        <v>57.6</v>
      </c>
      <c r="H247" s="331">
        <f>=3200*360/10000</f>
        <v>115.2</v>
      </c>
      <c r="I247" s="331">
        <f>=3200*360/10000</f>
        <v>115.2</v>
      </c>
      <c r="J247" s="331">
        <f>=3200*360/10000</f>
        <v>115.2</v>
      </c>
      <c r="K247" s="331">
        <f>=3200*360/10000</f>
        <v>115.2</v>
      </c>
      <c r="L247" s="331">
        <f>=3200*360/10000</f>
        <v>115.2</v>
      </c>
      <c r="M247" s="331">
        <f>=3200*360/10000</f>
        <v>115.2</v>
      </c>
      <c r="N247" s="331">
        <f>=3200*360/10000</f>
        <v>115.2</v>
      </c>
      <c r="O247" s="331">
        <f>=3200*360/10000</f>
        <v>115.2</v>
      </c>
      <c r="P247" s="331">
        <f>=3200*360/10000</f>
        <v>115.2</v>
      </c>
      <c r="Q247" s="331">
        <f>=3200*360/10000</f>
        <v>115.2</v>
      </c>
      <c r="R247" s="331">
        <f>=3200*360/10000</f>
        <v>115.2</v>
      </c>
      <c r="S247" s="331" t="s"/>
      <c r="T247" s="331" t="s"/>
      <c r="U247" s="331" t="s"/>
      <c r="V247" s="331" t="s"/>
      <c r="W247" s="331" t="s"/>
      <c r="X247" s="331" t="s"/>
      <c r="Y247" s="331" t="s"/>
      <c r="Z247" s="331" t="s"/>
    </row>
    <row r="248" spans="1:26" s="707" customFormat="true" ht="12" customHeight="true">
      <c r="A248" s="314" t="s"/>
      <c r="B248" s="333" t="s">
        <v>1238</v>
      </c>
      <c r="C248" s="333" t="s"/>
      <c r="D248" s="345" t="s"/>
      <c r="E248" s="306" t="s"/>
      <c r="F248" s="306" t="s"/>
      <c r="G248" s="306">
        <f>=G246*G247</f>
        <v>20.16</v>
      </c>
      <c r="H248" s="306">
        <f>=H246*H247</f>
        <v>40.32</v>
      </c>
      <c r="I248" s="306">
        <f>=I246*I247</f>
        <v>40.32</v>
      </c>
      <c r="J248" s="306">
        <f>=J246*J247</f>
        <v>40.32</v>
      </c>
      <c r="K248" s="306">
        <f>=K246*K247</f>
        <v>40.32</v>
      </c>
      <c r="L248" s="306">
        <f>=L246*L247</f>
        <v>40.32</v>
      </c>
      <c r="M248" s="306">
        <f>=M246*M247</f>
        <v>40.32</v>
      </c>
      <c r="N248" s="306">
        <f>=N246*N247</f>
        <v>40.32</v>
      </c>
      <c r="O248" s="306">
        <f>=O246*O247</f>
        <v>40.32</v>
      </c>
      <c r="P248" s="306">
        <f>=P246*P247</f>
        <v>40.32</v>
      </c>
      <c r="Q248" s="306">
        <f>=Q246*Q247</f>
        <v>40.32</v>
      </c>
      <c r="R248" s="306">
        <f>=R246*R247</f>
        <v>40.32</v>
      </c>
      <c r="S248" s="306">
        <f>=S246*S247</f>
        <v>0</v>
      </c>
      <c r="T248" s="306">
        <f>=T246*T247</f>
        <v>0</v>
      </c>
      <c r="U248" s="306">
        <f>=U246*U247</f>
        <v>0</v>
      </c>
      <c r="V248" s="306">
        <f>=V246*V247</f>
        <v>0</v>
      </c>
      <c r="W248" s="306">
        <f>=W246*W247</f>
        <v>0</v>
      </c>
      <c r="X248" s="306">
        <f>=X246*X247</f>
        <v>0</v>
      </c>
      <c r="Y248" s="306">
        <f>=Y246*Y247</f>
        <v>0</v>
      </c>
      <c r="Z248" s="306">
        <f>=Z246*Z247</f>
        <v>0</v>
      </c>
    </row>
    <row r="249" spans="1:26" s="707" customFormat="true" ht="12" customHeight="true">
      <c r="A249" s="314" t="s"/>
      <c r="B249" s="334" t="s">
        <v>1240</v>
      </c>
      <c r="C249" s="335" t="s"/>
      <c r="D249" s="310" t="s"/>
      <c r="E249" s="336">
        <f>=$C249</f>
        <v>0</v>
      </c>
      <c r="F249" s="336">
        <f>=$C249</f>
        <v>0</v>
      </c>
      <c r="G249" s="336">
        <f>=$C249</f>
        <v>0</v>
      </c>
      <c r="H249" s="336">
        <f>=$C249</f>
        <v>0</v>
      </c>
      <c r="I249" s="336">
        <f>=$C249</f>
        <v>0</v>
      </c>
      <c r="J249" s="336">
        <f>=$C249</f>
        <v>0</v>
      </c>
      <c r="K249" s="336">
        <f>=$C249</f>
        <v>0</v>
      </c>
      <c r="L249" s="336">
        <f>=$C249</f>
        <v>0</v>
      </c>
      <c r="M249" s="336">
        <f>=$C249</f>
        <v>0</v>
      </c>
      <c r="N249" s="336">
        <f>=$C249</f>
        <v>0</v>
      </c>
      <c r="O249" s="336">
        <f>=$C249</f>
        <v>0</v>
      </c>
      <c r="P249" s="336">
        <f>=$C249</f>
        <v>0</v>
      </c>
      <c r="Q249" s="336">
        <f>=$C249</f>
        <v>0</v>
      </c>
      <c r="R249" s="336">
        <f>=$C249</f>
        <v>0</v>
      </c>
      <c r="S249" s="336">
        <f>=$C249</f>
        <v>0</v>
      </c>
      <c r="T249" s="336">
        <f>=$C249</f>
        <v>0</v>
      </c>
      <c r="U249" s="336">
        <f>=$C249</f>
        <v>0</v>
      </c>
      <c r="V249" s="336">
        <f>=$C249</f>
        <v>0</v>
      </c>
      <c r="W249" s="336">
        <f>=$C249</f>
        <v>0</v>
      </c>
      <c r="X249" s="336">
        <f>=$C249</f>
        <v>0</v>
      </c>
      <c r="Y249" s="336">
        <f>=$C249</f>
        <v>0</v>
      </c>
      <c r="Z249" s="336">
        <f>=$C249</f>
        <v>0</v>
      </c>
    </row>
    <row r="250" spans="1:26" s="707" customFormat="true" ht="12" customHeight="true">
      <c r="A250" s="314" t="s"/>
      <c r="B250" s="334" t="s">
        <v>1229</v>
      </c>
      <c r="C250" s="310" t="s"/>
      <c r="D250" s="310">
        <f>=SUM(E250:Z250)</f>
        <v>463.68</v>
      </c>
      <c r="E250" s="306">
        <f>=E248*(1+E249)</f>
        <v>0</v>
      </c>
      <c r="F250" s="306">
        <f>=F248*(1+F249)</f>
        <v>0</v>
      </c>
      <c r="G250" s="306">
        <f>=G248*(1+G249)</f>
        <v>20.16</v>
      </c>
      <c r="H250" s="306">
        <f>=H248*(1+H249)</f>
        <v>40.32</v>
      </c>
      <c r="I250" s="306">
        <f>=I248*(1+I249)</f>
        <v>40.32</v>
      </c>
      <c r="J250" s="306">
        <f>=J248*(1+J249)</f>
        <v>40.32</v>
      </c>
      <c r="K250" s="306">
        <f>=K248*(1+K249)</f>
        <v>40.32</v>
      </c>
      <c r="L250" s="306">
        <f>=L248*(1+L249)</f>
        <v>40.32</v>
      </c>
      <c r="M250" s="306">
        <f>=M248*(1+M249)</f>
        <v>40.32</v>
      </c>
      <c r="N250" s="306">
        <f>=N248*(1+N249)</f>
        <v>40.32</v>
      </c>
      <c r="O250" s="306">
        <f>=O248*(1+O249)</f>
        <v>40.32</v>
      </c>
      <c r="P250" s="306">
        <f>=P248*(1+P249)</f>
        <v>40.32</v>
      </c>
      <c r="Q250" s="306">
        <f>=Q248*(1+Q249)</f>
        <v>40.32</v>
      </c>
      <c r="R250" s="306">
        <f>=R248*(1+R249)</f>
        <v>40.32</v>
      </c>
      <c r="S250" s="306">
        <f>=S248*(1+S249)</f>
        <v>0</v>
      </c>
      <c r="T250" s="306">
        <f>=T248*(1+T249)</f>
        <v>0</v>
      </c>
      <c r="U250" s="306">
        <f>=U248*(1+U249)</f>
        <v>0</v>
      </c>
      <c r="V250" s="306">
        <f>=V248*(1+V249)</f>
        <v>0</v>
      </c>
      <c r="W250" s="306">
        <f>=W248*(1+W249)</f>
        <v>0</v>
      </c>
      <c r="X250" s="306">
        <f>=X248*(1+X249)</f>
        <v>0</v>
      </c>
      <c r="Y250" s="306">
        <f>=Y248*(1+Y249)</f>
        <v>0</v>
      </c>
      <c r="Z250" s="306">
        <f>=Z248*(1+Z249)</f>
        <v>0</v>
      </c>
    </row>
    <row r="251" spans="1:26" s="707" customFormat="true" ht="12" customHeight="true">
      <c r="A251" s="314" t="s"/>
      <c r="B251" s="334" t="s">
        <v>682</v>
      </c>
      <c r="C251" s="335">
        <v>0.13</v>
      </c>
      <c r="D251" s="310" t="s"/>
      <c r="E251" s="336">
        <f>=$C251</f>
        <v>0.13</v>
      </c>
      <c r="F251" s="336">
        <f>=$C251</f>
        <v>0.13</v>
      </c>
      <c r="G251" s="336">
        <f>=$C251</f>
        <v>0.13</v>
      </c>
      <c r="H251" s="336">
        <f>=$C251</f>
        <v>0.13</v>
      </c>
      <c r="I251" s="336">
        <f>=$C251</f>
        <v>0.13</v>
      </c>
      <c r="J251" s="336">
        <f>=$C251</f>
        <v>0.13</v>
      </c>
      <c r="K251" s="336">
        <f>=$C251</f>
        <v>0.13</v>
      </c>
      <c r="L251" s="336">
        <f>=$C251</f>
        <v>0.13</v>
      </c>
      <c r="M251" s="336">
        <f>=$C251</f>
        <v>0.13</v>
      </c>
      <c r="N251" s="336">
        <f>=$C251</f>
        <v>0.13</v>
      </c>
      <c r="O251" s="336">
        <f>=$C251</f>
        <v>0.13</v>
      </c>
      <c r="P251" s="336">
        <f>=$C251</f>
        <v>0.13</v>
      </c>
      <c r="Q251" s="336">
        <f>=$C251</f>
        <v>0.13</v>
      </c>
      <c r="R251" s="336">
        <f>=$C251</f>
        <v>0.13</v>
      </c>
      <c r="S251" s="336">
        <f>=$C251</f>
        <v>0.13</v>
      </c>
      <c r="T251" s="336">
        <f>=$C251</f>
        <v>0.13</v>
      </c>
      <c r="U251" s="336">
        <f>=$C251</f>
        <v>0.13</v>
      </c>
      <c r="V251" s="336">
        <f>=$C251</f>
        <v>0.13</v>
      </c>
      <c r="W251" s="336">
        <f>=$C251</f>
        <v>0.13</v>
      </c>
      <c r="X251" s="336">
        <f>=$C251</f>
        <v>0.13</v>
      </c>
      <c r="Y251" s="336">
        <f>=$C251</f>
        <v>0.13</v>
      </c>
      <c r="Z251" s="336">
        <f>=$C251</f>
        <v>0.13</v>
      </c>
    </row>
    <row r="252" spans="1:26" s="707" customFormat="true" ht="12" customHeight="true">
      <c r="A252" s="314" t="s"/>
      <c r="B252" s="334" t="s">
        <v>656</v>
      </c>
      <c r="C252" s="337" t="s"/>
      <c r="D252" s="345">
        <f>=SUM(E252:Z252)</f>
        <v>53.3437168141593</v>
      </c>
      <c r="E252" s="306">
        <f>=IF(E249=0,E250*E251/(1+E251),E250*E251)</f>
        <v>0</v>
      </c>
      <c r="F252" s="306">
        <f>=IF(F249=0,F250*F251/(1+F251),F250*F251)</f>
        <v>0</v>
      </c>
      <c r="G252" s="306">
        <f>=IF(G249=0,G250*G251/(1+G251),G250*G251)</f>
        <v>2.31929203539823</v>
      </c>
      <c r="H252" s="306">
        <f>=IF(H249=0,H250*H251/(1+H251),H250*H251)</f>
        <v>4.63858407079646</v>
      </c>
      <c r="I252" s="306">
        <f>=IF(I249=0,I250*I251/(1+I251),I250*I251)</f>
        <v>4.63858407079646</v>
      </c>
      <c r="J252" s="306">
        <f>=IF(J249=0,J250*J251/(1+J251),J250*J251)</f>
        <v>4.63858407079646</v>
      </c>
      <c r="K252" s="306">
        <f>=IF(K249=0,K250*K251/(1+K251),K250*K251)</f>
        <v>4.63858407079646</v>
      </c>
      <c r="L252" s="306">
        <f>=IF(L249=0,L250*L251/(1+L251),L250*L251)</f>
        <v>4.63858407079646</v>
      </c>
      <c r="M252" s="306">
        <f>=IF(M249=0,M250*M251/(1+M251),M250*M251)</f>
        <v>4.63858407079646</v>
      </c>
      <c r="N252" s="306">
        <f>=IF(N249=0,N250*N251/(1+N251),N250*N251)</f>
        <v>4.63858407079646</v>
      </c>
      <c r="O252" s="306">
        <f>=IF(O249=0,O250*O251/(1+O251),O250*O251)</f>
        <v>4.63858407079646</v>
      </c>
      <c r="P252" s="306">
        <f>=IF(P249=0,P250*P251/(1+P251),P250*P251)</f>
        <v>4.63858407079646</v>
      </c>
      <c r="Q252" s="306">
        <f>=IF(Q249=0,Q250*Q251/(1+Q251),Q250*Q251)</f>
        <v>4.63858407079646</v>
      </c>
      <c r="R252" s="306">
        <f>=IF(R249=0,R250*R251/(1+R251),R250*R251)</f>
        <v>4.63858407079646</v>
      </c>
      <c r="S252" s="306">
        <f>=IF(S249=0,S250*S251/(1+S251),S250*S251)</f>
        <v>0</v>
      </c>
      <c r="T252" s="306">
        <f>=IF(T249=0,T250*T251/(1+T251),T250*T251)</f>
        <v>0</v>
      </c>
      <c r="U252" s="306">
        <f>=IF(U249=0,U250*U251/(1+U251),U250*U251)</f>
        <v>0</v>
      </c>
      <c r="V252" s="306">
        <f>=IF(V249=0,V250*V251/(1+V251),V250*V251)</f>
        <v>0</v>
      </c>
      <c r="W252" s="306">
        <f>=IF(W249=0,W250*W251/(1+W251),W250*W251)</f>
        <v>0</v>
      </c>
      <c r="X252" s="306">
        <f>=IF(X249=0,X250*X251/(1+X251),X250*X251)</f>
        <v>0</v>
      </c>
      <c r="Y252" s="306">
        <f>=IF(Y249=0,Y250*Y251/(1+Y251),Y250*Y251)</f>
        <v>0</v>
      </c>
      <c r="Z252" s="306">
        <f>=IF(Z249=0,Z250*Z251/(1+Z251),Z250*Z251)</f>
        <v>0</v>
      </c>
    </row>
    <row r="253" spans="1:26" s="707" customFormat="true" ht="12" customHeight="true">
      <c r="A253" s="314" t="s"/>
      <c r="B253" s="334" t="s">
        <v>1242</v>
      </c>
      <c r="C253" s="337" t="s"/>
      <c r="D253" s="345">
        <f>=SUM(E253:Z253)</f>
        <v>463.68</v>
      </c>
      <c r="E253" s="306">
        <f>=IF(E249=0,E248,E250+E252)</f>
        <v>0</v>
      </c>
      <c r="F253" s="306">
        <f>=IF(F249=0,F248,F250+F252)</f>
        <v>0</v>
      </c>
      <c r="G253" s="306">
        <f>=IF(G249=0,G248,G250+G252)</f>
        <v>20.16</v>
      </c>
      <c r="H253" s="306">
        <f>=IF(H249=0,H248,H250+H252)</f>
        <v>40.32</v>
      </c>
      <c r="I253" s="306">
        <f>=IF(I249=0,I248,I250+I252)</f>
        <v>40.32</v>
      </c>
      <c r="J253" s="306">
        <f>=IF(J249=0,J248,J250+J252)</f>
        <v>40.32</v>
      </c>
      <c r="K253" s="306">
        <f>=IF(K249=0,K248,K250+K252)</f>
        <v>40.32</v>
      </c>
      <c r="L253" s="306">
        <f>=IF(L249=0,L248,L250+L252)</f>
        <v>40.32</v>
      </c>
      <c r="M253" s="306">
        <f>=IF(M249=0,M248,M250+M252)</f>
        <v>40.32</v>
      </c>
      <c r="N253" s="306">
        <f>=IF(N249=0,N248,N250+N252)</f>
        <v>40.32</v>
      </c>
      <c r="O253" s="306">
        <f>=IF(O249=0,O248,O250+O252)</f>
        <v>40.32</v>
      </c>
      <c r="P253" s="306">
        <f>=IF(P249=0,P248,P250+P252)</f>
        <v>40.32</v>
      </c>
      <c r="Q253" s="306">
        <f>=IF(Q249=0,Q248,Q250+Q252)</f>
        <v>40.32</v>
      </c>
      <c r="R253" s="306">
        <f>=IF(R249=0,R248,R250+R252)</f>
        <v>40.32</v>
      </c>
      <c r="S253" s="306">
        <f>=IF(S249=0,S248,S250+S252)</f>
        <v>0</v>
      </c>
      <c r="T253" s="306">
        <f>=IF(T249=0,T248,T250+T252)</f>
        <v>0</v>
      </c>
      <c r="U253" s="306">
        <f>=IF(U249=0,U248,U250+U252)</f>
        <v>0</v>
      </c>
      <c r="V253" s="306">
        <f>=IF(V249=0,V248,V250+V252)</f>
        <v>0</v>
      </c>
      <c r="W253" s="306">
        <f>=IF(W249=0,W248,W250+W252)</f>
        <v>0</v>
      </c>
      <c r="X253" s="306">
        <f>=IF(X249=0,X248,X250+X252)</f>
        <v>0</v>
      </c>
      <c r="Y253" s="306">
        <f>=IF(Y249=0,Y248,Y250+Y252)</f>
        <v>0</v>
      </c>
      <c r="Z253" s="306">
        <f>=IF(Z249=0,Z248,Z250+Z252)</f>
        <v>0</v>
      </c>
    </row>
    <row r="254" spans="1:26" s="707" customFormat="true" ht="12" customHeight="true">
      <c r="A254" s="314">
        <v>6</v>
      </c>
      <c r="B254" s="318" t="s">
        <v>927</v>
      </c>
      <c r="C254" s="587" t="s"/>
      <c r="D254" s="345">
        <f>=SUM(E254:Z254)</f>
        <v>0</v>
      </c>
      <c r="E254" s="306">
        <f>=E265+E276</f>
        <v>0</v>
      </c>
      <c r="F254" s="306">
        <f>=F265+F276</f>
        <v>0</v>
      </c>
      <c r="G254" s="306">
        <f>=G265+G276</f>
        <v>0</v>
      </c>
      <c r="H254" s="306">
        <f>=H265+H276</f>
        <v>0</v>
      </c>
      <c r="I254" s="306">
        <f>=I265+I276</f>
        <v>0</v>
      </c>
      <c r="J254" s="306">
        <f>=J265+J276</f>
        <v>0</v>
      </c>
      <c r="K254" s="306">
        <f>=K265+K276</f>
        <v>0</v>
      </c>
      <c r="L254" s="306">
        <f>=L265+L276</f>
        <v>0</v>
      </c>
      <c r="M254" s="306">
        <f>=M265+M276</f>
        <v>0</v>
      </c>
      <c r="N254" s="306">
        <f>=N265+N276</f>
        <v>0</v>
      </c>
      <c r="O254" s="306">
        <f>=O265+O276</f>
        <v>0</v>
      </c>
      <c r="P254" s="306">
        <f>=P265+P276</f>
        <v>0</v>
      </c>
      <c r="Q254" s="306">
        <f>=Q265+Q276</f>
        <v>0</v>
      </c>
      <c r="R254" s="306">
        <f>=R265+R276</f>
        <v>0</v>
      </c>
      <c r="S254" s="306">
        <f>=S265+S276</f>
        <v>0</v>
      </c>
      <c r="T254" s="306">
        <f>=T265+T276</f>
        <v>0</v>
      </c>
      <c r="U254" s="306">
        <f>=U265+U276</f>
        <v>0</v>
      </c>
      <c r="V254" s="306">
        <f>=V265+V276</f>
        <v>0</v>
      </c>
      <c r="W254" s="306">
        <f>=W265+W276</f>
        <v>0</v>
      </c>
      <c r="X254" s="306">
        <f>=X265+X276</f>
        <v>0</v>
      </c>
      <c r="Y254" s="306">
        <f>=Y265+Y276</f>
        <v>0</v>
      </c>
      <c r="Z254" s="306">
        <f>=Z265+Z276</f>
        <v>0</v>
      </c>
    </row>
    <row r="255" spans="1:26" ht="12" customHeight="true">
      <c r="A255" s="314">
        <v>6.1</v>
      </c>
      <c r="B255" s="580" t="s"/>
      <c r="C255" s="580" t="s"/>
      <c r="D255" s="316" t="s">
        <v>672</v>
      </c>
      <c r="E255" s="316" t="s"/>
      <c r="F255" s="316" t="s"/>
      <c r="G255" s="316" t="s"/>
      <c r="H255" s="316" t="s"/>
      <c r="I255" s="316" t="s"/>
      <c r="J255" s="316" t="s"/>
      <c r="K255" s="316" t="s"/>
      <c r="L255" s="316" t="s"/>
      <c r="M255" s="316" t="s"/>
      <c r="N255" s="316" t="s"/>
      <c r="O255" s="316" t="s"/>
      <c r="P255" s="316" t="s"/>
      <c r="Q255" s="316" t="s"/>
      <c r="R255" s="316" t="s"/>
      <c r="S255" s="316" t="s"/>
      <c r="T255" s="316" t="s"/>
      <c r="U255" s="316" t="s"/>
      <c r="V255" s="316" t="s"/>
      <c r="W255" s="316" t="s"/>
      <c r="X255" s="316" t="s"/>
      <c r="Y255" s="316" t="s"/>
      <c r="Z255" s="316" t="s"/>
    </row>
    <row r="256" spans="1:26" ht="12" customHeight="true">
      <c r="A256" s="314" t="s"/>
      <c r="B256" s="318" t="s">
        <v>688</v>
      </c>
      <c r="C256" s="319" t="s"/>
      <c r="D256" s="582" t="s">
        <v>674</v>
      </c>
      <c r="E256" s="331" t="s"/>
      <c r="F256" s="331" t="s"/>
      <c r="G256" s="331" t="s"/>
      <c r="H256" s="331" t="s"/>
      <c r="I256" s="331" t="s"/>
      <c r="J256" s="331" t="s"/>
      <c r="K256" s="331" t="s"/>
      <c r="L256" s="331" t="s"/>
      <c r="M256" s="331" t="s"/>
      <c r="N256" s="331" t="s"/>
      <c r="O256" s="331" t="s"/>
      <c r="P256" s="331" t="s"/>
      <c r="Q256" s="331" t="s"/>
      <c r="R256" s="331" t="s"/>
      <c r="S256" s="331" t="s"/>
      <c r="T256" s="331" t="s"/>
      <c r="U256" s="331" t="s"/>
      <c r="V256" s="331" t="s"/>
      <c r="W256" s="331" t="s"/>
      <c r="X256" s="331" t="s"/>
      <c r="Y256" s="331" t="s"/>
      <c r="Z256" s="331" t="s"/>
    </row>
    <row r="257" spans="1:26" ht="12" customHeight="true">
      <c r="A257" s="314" t="s"/>
      <c r="B257" s="323" t="s">
        <v>534</v>
      </c>
      <c r="C257" s="586">
        <f>=IF($D256="美元",辅助表1评估项目基础数据表!$C$17,IF($D256="其他外币",辅助表1评估项目基础数据表!$C$18,1))</f>
        <v>1</v>
      </c>
      <c r="D257" s="300" t="s"/>
      <c r="E257" s="325">
        <f>=$C257</f>
        <v>1</v>
      </c>
      <c r="F257" s="325">
        <f>=$C257</f>
        <v>1</v>
      </c>
      <c r="G257" s="325">
        <f>=$C257</f>
        <v>1</v>
      </c>
      <c r="H257" s="325">
        <f>=$C257</f>
        <v>1</v>
      </c>
      <c r="I257" s="325">
        <f>=$C257</f>
        <v>1</v>
      </c>
      <c r="J257" s="325">
        <f>=$C257</f>
        <v>1</v>
      </c>
      <c r="K257" s="325">
        <f>=$C257</f>
        <v>1</v>
      </c>
      <c r="L257" s="325">
        <f>=$C257</f>
        <v>1</v>
      </c>
      <c r="M257" s="325">
        <f>=$C257</f>
        <v>1</v>
      </c>
      <c r="N257" s="325">
        <f>=$C257</f>
        <v>1</v>
      </c>
      <c r="O257" s="325">
        <f>=$C257</f>
        <v>1</v>
      </c>
      <c r="P257" s="325">
        <f>=$C257</f>
        <v>1</v>
      </c>
      <c r="Q257" s="325">
        <f>=$C257</f>
        <v>1</v>
      </c>
      <c r="R257" s="325">
        <f>=$C257</f>
        <v>1</v>
      </c>
      <c r="S257" s="325">
        <f>=$C257</f>
        <v>1</v>
      </c>
      <c r="T257" s="325">
        <f>=$C257</f>
        <v>1</v>
      </c>
      <c r="U257" s="325">
        <f>=$C257</f>
        <v>1</v>
      </c>
      <c r="V257" s="325">
        <f>=$C257</f>
        <v>1</v>
      </c>
      <c r="W257" s="325">
        <f>=$C257</f>
        <v>1</v>
      </c>
      <c r="X257" s="325">
        <f>=$C257</f>
        <v>1</v>
      </c>
      <c r="Y257" s="325">
        <f>=$C257</f>
        <v>1</v>
      </c>
      <c r="Z257" s="325">
        <f>=$C257</f>
        <v>1</v>
      </c>
    </row>
    <row r="258" spans="1:26" ht="12" customHeight="true">
      <c r="A258" s="314" t="s"/>
      <c r="B258" s="326" t="s">
        <v>676</v>
      </c>
      <c r="C258" s="327" t="s"/>
      <c r="D258" s="310" t="s"/>
      <c r="E258" s="328">
        <f>=E256*E257</f>
        <v>0</v>
      </c>
      <c r="F258" s="328">
        <f>=F256*F257</f>
        <v>0</v>
      </c>
      <c r="G258" s="328">
        <f>=G256*G257</f>
        <v>0</v>
      </c>
      <c r="H258" s="328">
        <f>=H256*H257</f>
        <v>0</v>
      </c>
      <c r="I258" s="328">
        <f>=I256*I257</f>
        <v>0</v>
      </c>
      <c r="J258" s="328">
        <f>=J256*J257</f>
        <v>0</v>
      </c>
      <c r="K258" s="328">
        <f>=K256*K257</f>
        <v>0</v>
      </c>
      <c r="L258" s="328">
        <f>=L256*L257</f>
        <v>0</v>
      </c>
      <c r="M258" s="328">
        <f>=M256*M257</f>
        <v>0</v>
      </c>
      <c r="N258" s="328">
        <f>=N256*N257</f>
        <v>0</v>
      </c>
      <c r="O258" s="328">
        <f>=O256*O257</f>
        <v>0</v>
      </c>
      <c r="P258" s="328">
        <f>=P256*P257</f>
        <v>0</v>
      </c>
      <c r="Q258" s="328">
        <f>=Q256*Q257</f>
        <v>0</v>
      </c>
      <c r="R258" s="328">
        <f>=R256*R257</f>
        <v>0</v>
      </c>
      <c r="S258" s="328">
        <f>=S256*S257</f>
        <v>0</v>
      </c>
      <c r="T258" s="328">
        <f>=T256*T257</f>
        <v>0</v>
      </c>
      <c r="U258" s="328">
        <f>=U256*U257</f>
        <v>0</v>
      </c>
      <c r="V258" s="328">
        <f>=V256*V257</f>
        <v>0</v>
      </c>
      <c r="W258" s="328">
        <f>=W256*W257</f>
        <v>0</v>
      </c>
      <c r="X258" s="328">
        <f>=X256*X257</f>
        <v>0</v>
      </c>
      <c r="Y258" s="328">
        <f>=Y256*Y257</f>
        <v>0</v>
      </c>
      <c r="Z258" s="328">
        <f>=Z256*Z257</f>
        <v>0</v>
      </c>
    </row>
    <row r="259" spans="1:26" ht="12" customHeight="true">
      <c r="A259" s="314" t="s"/>
      <c r="B259" s="333" t="s">
        <v>1236</v>
      </c>
      <c r="C259" s="585" t="s"/>
      <c r="D259" s="345">
        <f>=SUM(E259:Z259)</f>
        <v>0</v>
      </c>
      <c r="E259" s="331" t="s"/>
      <c r="F259" s="331" t="s"/>
      <c r="G259" s="331" t="s"/>
      <c r="H259" s="331" t="s"/>
      <c r="I259" s="331" t="s"/>
      <c r="J259" s="331" t="s"/>
      <c r="K259" s="331" t="s"/>
      <c r="L259" s="331" t="s"/>
      <c r="M259" s="331" t="s"/>
      <c r="N259" s="331" t="s"/>
      <c r="O259" s="331" t="s"/>
      <c r="P259" s="331" t="s"/>
      <c r="Q259" s="331" t="s"/>
      <c r="R259" s="331" t="s"/>
      <c r="S259" s="331" t="s"/>
      <c r="T259" s="331" t="s"/>
      <c r="U259" s="331" t="s"/>
      <c r="V259" s="331" t="s"/>
      <c r="W259" s="331" t="s"/>
      <c r="X259" s="331" t="s"/>
      <c r="Y259" s="331" t="s"/>
      <c r="Z259" s="331" t="s"/>
    </row>
    <row r="260" spans="1:26" ht="12" customHeight="true">
      <c r="A260" s="314" t="s"/>
      <c r="B260" s="333" t="s">
        <v>1238</v>
      </c>
      <c r="C260" s="333" t="s"/>
      <c r="D260" s="345">
        <f>=SUM(E260:Z260)</f>
        <v>0</v>
      </c>
      <c r="E260" s="306">
        <f>=E258*E259</f>
        <v>0</v>
      </c>
      <c r="F260" s="306">
        <f>=F258*F259</f>
        <v>0</v>
      </c>
      <c r="G260" s="306">
        <f>=G258*G259</f>
        <v>0</v>
      </c>
      <c r="H260" s="306">
        <f>=H258*H259</f>
        <v>0</v>
      </c>
      <c r="I260" s="306">
        <f>=I258*I259</f>
        <v>0</v>
      </c>
      <c r="J260" s="306">
        <f>=J258*J259</f>
        <v>0</v>
      </c>
      <c r="K260" s="306">
        <f>=K258*K259</f>
        <v>0</v>
      </c>
      <c r="L260" s="306">
        <f>=L258*L259</f>
        <v>0</v>
      </c>
      <c r="M260" s="306">
        <f>=M258*M259</f>
        <v>0</v>
      </c>
      <c r="N260" s="306">
        <f>=N258*N259</f>
        <v>0</v>
      </c>
      <c r="O260" s="306">
        <f>=O258*O259</f>
        <v>0</v>
      </c>
      <c r="P260" s="306">
        <f>=P258*P259</f>
        <v>0</v>
      </c>
      <c r="Q260" s="306">
        <f>=Q258*Q259</f>
        <v>0</v>
      </c>
      <c r="R260" s="306">
        <f>=R258*R259</f>
        <v>0</v>
      </c>
      <c r="S260" s="306">
        <f>=S258*S259</f>
        <v>0</v>
      </c>
      <c r="T260" s="306">
        <f>=T258*T259</f>
        <v>0</v>
      </c>
      <c r="U260" s="306">
        <f>=U258*U259</f>
        <v>0</v>
      </c>
      <c r="V260" s="306">
        <f>=V258*V259</f>
        <v>0</v>
      </c>
      <c r="W260" s="306">
        <f>=W258*W259</f>
        <v>0</v>
      </c>
      <c r="X260" s="306">
        <f>=X258*X259</f>
        <v>0</v>
      </c>
      <c r="Y260" s="306">
        <f>=Y258*Y259</f>
        <v>0</v>
      </c>
      <c r="Z260" s="306">
        <f>=Z258*Z259</f>
        <v>0</v>
      </c>
    </row>
    <row r="261" spans="1:26" ht="12" customHeight="true">
      <c r="A261" s="314" t="s"/>
      <c r="B261" s="334" t="s">
        <v>1240</v>
      </c>
      <c r="C261" s="335" t="s"/>
      <c r="D261" s="310" t="s"/>
      <c r="E261" s="336">
        <f>=$C261</f>
        <v>0</v>
      </c>
      <c r="F261" s="336">
        <f>=$C261</f>
        <v>0</v>
      </c>
      <c r="G261" s="336">
        <f>=$C261</f>
        <v>0</v>
      </c>
      <c r="H261" s="336">
        <f>=$C261</f>
        <v>0</v>
      </c>
      <c r="I261" s="336">
        <f>=$C261</f>
        <v>0</v>
      </c>
      <c r="J261" s="336">
        <f>=$C261</f>
        <v>0</v>
      </c>
      <c r="K261" s="336">
        <f>=$C261</f>
        <v>0</v>
      </c>
      <c r="L261" s="336">
        <f>=$C261</f>
        <v>0</v>
      </c>
      <c r="M261" s="336">
        <f>=$C261</f>
        <v>0</v>
      </c>
      <c r="N261" s="336">
        <f>=$C261</f>
        <v>0</v>
      </c>
      <c r="O261" s="336">
        <f>=$C261</f>
        <v>0</v>
      </c>
      <c r="P261" s="336">
        <f>=$C261</f>
        <v>0</v>
      </c>
      <c r="Q261" s="336">
        <f>=$C261</f>
        <v>0</v>
      </c>
      <c r="R261" s="336">
        <f>=$C261</f>
        <v>0</v>
      </c>
      <c r="S261" s="336">
        <f>=$C261</f>
        <v>0</v>
      </c>
      <c r="T261" s="336">
        <f>=$C261</f>
        <v>0</v>
      </c>
      <c r="U261" s="336">
        <f>=$C261</f>
        <v>0</v>
      </c>
      <c r="V261" s="336">
        <f>=$C261</f>
        <v>0</v>
      </c>
      <c r="W261" s="336">
        <f>=$C261</f>
        <v>0</v>
      </c>
      <c r="X261" s="336">
        <f>=$C261</f>
        <v>0</v>
      </c>
      <c r="Y261" s="336">
        <f>=$C261</f>
        <v>0</v>
      </c>
      <c r="Z261" s="336">
        <f>=$C261</f>
        <v>0</v>
      </c>
    </row>
    <row r="262" spans="1:26" ht="12" customHeight="true">
      <c r="A262" s="314" t="s"/>
      <c r="B262" s="334" t="s">
        <v>1229</v>
      </c>
      <c r="C262" s="310" t="s"/>
      <c r="D262" s="310">
        <f>=SUM(E262:Z262)</f>
        <v>0</v>
      </c>
      <c r="E262" s="306">
        <f>=E260*(1+E261)</f>
        <v>0</v>
      </c>
      <c r="F262" s="306">
        <f>=F260*(1+F261)</f>
        <v>0</v>
      </c>
      <c r="G262" s="306">
        <f>=G260*(1+G261)</f>
        <v>0</v>
      </c>
      <c r="H262" s="306">
        <f>=H260*(1+H261)</f>
        <v>0</v>
      </c>
      <c r="I262" s="306">
        <f>=I260*(1+I261)</f>
        <v>0</v>
      </c>
      <c r="J262" s="306">
        <f>=J260*(1+J261)</f>
        <v>0</v>
      </c>
      <c r="K262" s="306">
        <f>=K260*(1+K261)</f>
        <v>0</v>
      </c>
      <c r="L262" s="306">
        <f>=L260*(1+L261)</f>
        <v>0</v>
      </c>
      <c r="M262" s="306">
        <f>=M260*(1+M261)</f>
        <v>0</v>
      </c>
      <c r="N262" s="306">
        <f>=N260*(1+N261)</f>
        <v>0</v>
      </c>
      <c r="O262" s="306">
        <f>=O260*(1+O261)</f>
        <v>0</v>
      </c>
      <c r="P262" s="306">
        <f>=P260*(1+P261)</f>
        <v>0</v>
      </c>
      <c r="Q262" s="306">
        <f>=Q260*(1+Q261)</f>
        <v>0</v>
      </c>
      <c r="R262" s="306">
        <f>=R260*(1+R261)</f>
        <v>0</v>
      </c>
      <c r="S262" s="306">
        <f>=S260*(1+S261)</f>
        <v>0</v>
      </c>
      <c r="T262" s="306">
        <f>=T260*(1+T261)</f>
        <v>0</v>
      </c>
      <c r="U262" s="306">
        <f>=U260*(1+U261)</f>
        <v>0</v>
      </c>
      <c r="V262" s="306">
        <f>=V260*(1+V261)</f>
        <v>0</v>
      </c>
      <c r="W262" s="306">
        <f>=W260*(1+W261)</f>
        <v>0</v>
      </c>
      <c r="X262" s="306">
        <f>=X260*(1+X261)</f>
        <v>0</v>
      </c>
      <c r="Y262" s="306">
        <f>=Y260*(1+Y261)</f>
        <v>0</v>
      </c>
      <c r="Z262" s="306">
        <f>=Z260*(1+Z261)</f>
        <v>0</v>
      </c>
    </row>
    <row r="263" spans="1:26" ht="12" customHeight="true">
      <c r="A263" s="314" t="s"/>
      <c r="B263" s="334" t="s">
        <v>682</v>
      </c>
      <c r="C263" s="335" t="s"/>
      <c r="D263" s="310" t="s"/>
      <c r="E263" s="336">
        <f>=$C263</f>
        <v>0</v>
      </c>
      <c r="F263" s="336">
        <f>=$C263</f>
        <v>0</v>
      </c>
      <c r="G263" s="336">
        <f>=$C263</f>
        <v>0</v>
      </c>
      <c r="H263" s="336">
        <f>=$C263</f>
        <v>0</v>
      </c>
      <c r="I263" s="336">
        <f>=$C263</f>
        <v>0</v>
      </c>
      <c r="J263" s="336">
        <f>=$C263</f>
        <v>0</v>
      </c>
      <c r="K263" s="336">
        <f>=$C263</f>
        <v>0</v>
      </c>
      <c r="L263" s="336">
        <f>=$C263</f>
        <v>0</v>
      </c>
      <c r="M263" s="336">
        <f>=$C263</f>
        <v>0</v>
      </c>
      <c r="N263" s="336">
        <f>=$C263</f>
        <v>0</v>
      </c>
      <c r="O263" s="336">
        <f>=$C263</f>
        <v>0</v>
      </c>
      <c r="P263" s="336">
        <f>=$C263</f>
        <v>0</v>
      </c>
      <c r="Q263" s="336">
        <f>=$C263</f>
        <v>0</v>
      </c>
      <c r="R263" s="336">
        <f>=$C263</f>
        <v>0</v>
      </c>
      <c r="S263" s="336">
        <f>=$C263</f>
        <v>0</v>
      </c>
      <c r="T263" s="336">
        <f>=$C263</f>
        <v>0</v>
      </c>
      <c r="U263" s="336">
        <f>=$C263</f>
        <v>0</v>
      </c>
      <c r="V263" s="336">
        <f>=$C263</f>
        <v>0</v>
      </c>
      <c r="W263" s="336">
        <f>=$C263</f>
        <v>0</v>
      </c>
      <c r="X263" s="336">
        <f>=$C263</f>
        <v>0</v>
      </c>
      <c r="Y263" s="336">
        <f>=$C263</f>
        <v>0</v>
      </c>
      <c r="Z263" s="336">
        <f>=$C263</f>
        <v>0</v>
      </c>
    </row>
    <row r="264" spans="1:26" ht="12" customHeight="true">
      <c r="A264" s="314" t="s"/>
      <c r="B264" s="334" t="s">
        <v>656</v>
      </c>
      <c r="C264" s="337" t="s"/>
      <c r="D264" s="345">
        <f>=SUM(E264:Z264)</f>
        <v>0</v>
      </c>
      <c r="E264" s="306">
        <f>=IF(E261=0,E262*E263/(1+E263),E262*E263)</f>
        <v>0</v>
      </c>
      <c r="F264" s="306">
        <f>=IF(F261=0,F262*F263/(1+F263),F262*F263)</f>
        <v>0</v>
      </c>
      <c r="G264" s="306">
        <f>=IF(G261=0,G262*G263/(1+G263),G262*G263)</f>
        <v>0</v>
      </c>
      <c r="H264" s="306">
        <f>=IF(H261=0,H262*H263/(1+H263),H262*H263)</f>
        <v>0</v>
      </c>
      <c r="I264" s="306">
        <f>=IF(I261=0,I262*I263/(1+I263),I262*I263)</f>
        <v>0</v>
      </c>
      <c r="J264" s="306">
        <f>=IF(J261=0,J262*J263/(1+J263),J262*J263)</f>
        <v>0</v>
      </c>
      <c r="K264" s="306">
        <f>=IF(K261=0,K262*K263/(1+K263),K262*K263)</f>
        <v>0</v>
      </c>
      <c r="L264" s="306">
        <f>=IF(L261=0,L262*L263/(1+L263),L262*L263)</f>
        <v>0</v>
      </c>
      <c r="M264" s="306">
        <f>=IF(M261=0,M262*M263/(1+M263),M262*M263)</f>
        <v>0</v>
      </c>
      <c r="N264" s="306">
        <f>=IF(N261=0,N262*N263/(1+N263),N262*N263)</f>
        <v>0</v>
      </c>
      <c r="O264" s="306">
        <f>=IF(O261=0,O262*O263/(1+O263),O262*O263)</f>
        <v>0</v>
      </c>
      <c r="P264" s="306">
        <f>=IF(P261=0,P262*P263/(1+P263),P262*P263)</f>
        <v>0</v>
      </c>
      <c r="Q264" s="306">
        <f>=IF(Q261=0,Q262*Q263/(1+Q263),Q262*Q263)</f>
        <v>0</v>
      </c>
      <c r="R264" s="306">
        <f>=IF(R261=0,R262*R263/(1+R263),R262*R263)</f>
        <v>0</v>
      </c>
      <c r="S264" s="306">
        <f>=IF(S261=0,S262*S263/(1+S263),S262*S263)</f>
        <v>0</v>
      </c>
      <c r="T264" s="306">
        <f>=IF(T261=0,T262*T263/(1+T263),T262*T263)</f>
        <v>0</v>
      </c>
      <c r="U264" s="306">
        <f>=IF(U261=0,U262*U263/(1+U263),U262*U263)</f>
        <v>0</v>
      </c>
      <c r="V264" s="306">
        <f>=IF(V261=0,V262*V263/(1+V263),V262*V263)</f>
        <v>0</v>
      </c>
      <c r="W264" s="306">
        <f>=IF(W261=0,W262*W263/(1+W263),W262*W263)</f>
        <v>0</v>
      </c>
      <c r="X264" s="306">
        <f>=IF(X261=0,X262*X263/(1+X263),X262*X263)</f>
        <v>0</v>
      </c>
      <c r="Y264" s="306">
        <f>=IF(Y261=0,Y262*Y263/(1+Y263),Y262*Y263)</f>
        <v>0</v>
      </c>
      <c r="Z264" s="306">
        <f>=IF(Z261=0,Z262*Z263/(1+Z263),Z262*Z263)</f>
        <v>0</v>
      </c>
    </row>
    <row r="265" spans="1:26" ht="12" customHeight="true">
      <c r="A265" s="314" t="s"/>
      <c r="B265" s="334" t="s">
        <v>1242</v>
      </c>
      <c r="C265" s="337" t="s"/>
      <c r="D265" s="345">
        <f>=SUM(E265:Z265)</f>
        <v>0</v>
      </c>
      <c r="E265" s="306">
        <f>=IF(E261=0,E260,E262+E264)</f>
        <v>0</v>
      </c>
      <c r="F265" s="306">
        <f>=IF(F261=0,F260,F262+F264)</f>
        <v>0</v>
      </c>
      <c r="G265" s="306">
        <f>=IF(G261=0,G260,G262+G264)</f>
        <v>0</v>
      </c>
      <c r="H265" s="306">
        <f>=IF(H261=0,H260,H262+H264)</f>
        <v>0</v>
      </c>
      <c r="I265" s="306">
        <f>=IF(I261=0,I260,I262+I264)</f>
        <v>0</v>
      </c>
      <c r="J265" s="306">
        <f>=IF(J261=0,J260,J262+J264)</f>
        <v>0</v>
      </c>
      <c r="K265" s="306">
        <f>=IF(K261=0,K260,K262+K264)</f>
        <v>0</v>
      </c>
      <c r="L265" s="306">
        <f>=IF(L261=0,L260,L262+L264)</f>
        <v>0</v>
      </c>
      <c r="M265" s="306">
        <f>=IF(M261=0,M260,M262+M264)</f>
        <v>0</v>
      </c>
      <c r="N265" s="306">
        <f>=IF(N261=0,N260,N262+N264)</f>
        <v>0</v>
      </c>
      <c r="O265" s="306">
        <f>=IF(O261=0,O260,O262+O264)</f>
        <v>0</v>
      </c>
      <c r="P265" s="306">
        <f>=IF(P261=0,P260,P262+P264)</f>
        <v>0</v>
      </c>
      <c r="Q265" s="306">
        <f>=IF(Q261=0,Q260,Q262+Q264)</f>
        <v>0</v>
      </c>
      <c r="R265" s="306">
        <f>=IF(R261=0,R260,R262+R264)</f>
        <v>0</v>
      </c>
      <c r="S265" s="306">
        <f>=IF(S261=0,S260,S262+S264)</f>
        <v>0</v>
      </c>
      <c r="T265" s="306">
        <f>=IF(T261=0,T260,T262+T264)</f>
        <v>0</v>
      </c>
      <c r="U265" s="306">
        <f>=IF(U261=0,U260,U262+U264)</f>
        <v>0</v>
      </c>
      <c r="V265" s="306">
        <f>=IF(V261=0,V260,V262+V264)</f>
        <v>0</v>
      </c>
      <c r="W265" s="306">
        <f>=IF(W261=0,W260,W262+W264)</f>
        <v>0</v>
      </c>
      <c r="X265" s="306">
        <f>=IF(X261=0,X260,X262+X264)</f>
        <v>0</v>
      </c>
      <c r="Y265" s="306">
        <f>=IF(Y261=0,Y260,Y262+Y264)</f>
        <v>0</v>
      </c>
      <c r="Z265" s="306">
        <f>=IF(Z261=0,Z260,Z262+Z264)</f>
        <v>0</v>
      </c>
    </row>
    <row r="266" spans="1:26" ht="12" customHeight="true">
      <c r="A266" s="314">
        <v>6.2</v>
      </c>
      <c r="B266" s="580" t="s"/>
      <c r="C266" s="580" t="s"/>
      <c r="D266" s="316" t="s">
        <v>672</v>
      </c>
      <c r="E266" s="316" t="s"/>
      <c r="F266" s="316" t="s"/>
      <c r="G266" s="316" t="s"/>
      <c r="H266" s="316" t="s"/>
      <c r="I266" s="316" t="s"/>
      <c r="J266" s="316" t="s"/>
      <c r="K266" s="316" t="s"/>
      <c r="L266" s="316" t="s"/>
      <c r="M266" s="316" t="s"/>
      <c r="N266" s="316" t="s"/>
      <c r="O266" s="316" t="s"/>
      <c r="P266" s="316" t="s"/>
      <c r="Q266" s="316" t="s"/>
      <c r="R266" s="316" t="s"/>
      <c r="S266" s="316" t="s"/>
      <c r="T266" s="316" t="s"/>
      <c r="U266" s="316" t="s"/>
      <c r="V266" s="316" t="s"/>
      <c r="W266" s="316" t="s"/>
      <c r="X266" s="316" t="s"/>
      <c r="Y266" s="316" t="s"/>
      <c r="Z266" s="316" t="s"/>
    </row>
    <row r="267" spans="1:26" ht="12" customHeight="true">
      <c r="A267" s="314" t="s"/>
      <c r="B267" s="318" t="s">
        <v>688</v>
      </c>
      <c r="C267" s="319" t="s"/>
      <c r="D267" s="582" t="s">
        <v>674</v>
      </c>
      <c r="E267" s="331" t="s"/>
      <c r="F267" s="331" t="s"/>
      <c r="G267" s="331" t="s"/>
      <c r="H267" s="331" t="s"/>
      <c r="I267" s="331" t="s"/>
      <c r="J267" s="331" t="s"/>
      <c r="K267" s="331" t="s"/>
      <c r="L267" s="331" t="s"/>
      <c r="M267" s="331" t="s"/>
      <c r="N267" s="331" t="s"/>
      <c r="O267" s="331" t="s"/>
      <c r="P267" s="331" t="s"/>
      <c r="Q267" s="331" t="s"/>
      <c r="R267" s="331" t="s"/>
      <c r="S267" s="331" t="s"/>
      <c r="T267" s="331" t="s"/>
      <c r="U267" s="331" t="s"/>
      <c r="V267" s="331" t="s"/>
      <c r="W267" s="331" t="s"/>
      <c r="X267" s="331" t="s"/>
      <c r="Y267" s="331" t="s"/>
      <c r="Z267" s="331" t="s"/>
    </row>
    <row r="268" spans="1:26" ht="12" customHeight="true">
      <c r="A268" s="314" t="s"/>
      <c r="B268" s="323" t="s">
        <v>534</v>
      </c>
      <c r="C268" s="586">
        <f>=IF($D267="美元",辅助表1评估项目基础数据表!$C$17,IF($D267="其他外币",辅助表1评估项目基础数据表!$C$18,1))</f>
        <v>1</v>
      </c>
      <c r="D268" s="300" t="s"/>
      <c r="E268" s="325">
        <f>=$C268</f>
        <v>1</v>
      </c>
      <c r="F268" s="325">
        <f>=$C268</f>
        <v>1</v>
      </c>
      <c r="G268" s="325">
        <f>=$C268</f>
        <v>1</v>
      </c>
      <c r="H268" s="325">
        <f>=$C268</f>
        <v>1</v>
      </c>
      <c r="I268" s="325">
        <f>=$C268</f>
        <v>1</v>
      </c>
      <c r="J268" s="325">
        <f>=$C268</f>
        <v>1</v>
      </c>
      <c r="K268" s="325">
        <f>=$C268</f>
        <v>1</v>
      </c>
      <c r="L268" s="325">
        <f>=$C268</f>
        <v>1</v>
      </c>
      <c r="M268" s="325">
        <f>=$C268</f>
        <v>1</v>
      </c>
      <c r="N268" s="325">
        <f>=$C268</f>
        <v>1</v>
      </c>
      <c r="O268" s="325">
        <f>=$C268</f>
        <v>1</v>
      </c>
      <c r="P268" s="325">
        <f>=$C268</f>
        <v>1</v>
      </c>
      <c r="Q268" s="325">
        <f>=$C268</f>
        <v>1</v>
      </c>
      <c r="R268" s="325">
        <f>=$C268</f>
        <v>1</v>
      </c>
      <c r="S268" s="325">
        <f>=$C268</f>
        <v>1</v>
      </c>
      <c r="T268" s="325">
        <f>=$C268</f>
        <v>1</v>
      </c>
      <c r="U268" s="325">
        <f>=$C268</f>
        <v>1</v>
      </c>
      <c r="V268" s="325">
        <f>=$C268</f>
        <v>1</v>
      </c>
      <c r="W268" s="325">
        <f>=$C268</f>
        <v>1</v>
      </c>
      <c r="X268" s="325">
        <f>=$C268</f>
        <v>1</v>
      </c>
      <c r="Y268" s="325">
        <f>=$C268</f>
        <v>1</v>
      </c>
      <c r="Z268" s="325">
        <f>=$C268</f>
        <v>1</v>
      </c>
    </row>
    <row r="269" spans="1:26" ht="12" customHeight="true">
      <c r="A269" s="314" t="s"/>
      <c r="B269" s="326" t="s">
        <v>676</v>
      </c>
      <c r="C269" s="327" t="s"/>
      <c r="D269" s="310" t="s"/>
      <c r="E269" s="328">
        <f>=E267*E268</f>
        <v>0</v>
      </c>
      <c r="F269" s="328">
        <f>=F267*F268</f>
        <v>0</v>
      </c>
      <c r="G269" s="328">
        <f>=G267*G268</f>
        <v>0</v>
      </c>
      <c r="H269" s="328">
        <f>=H267*H268</f>
        <v>0</v>
      </c>
      <c r="I269" s="328">
        <f>=I267*I268</f>
        <v>0</v>
      </c>
      <c r="J269" s="328">
        <f>=J267*J268</f>
        <v>0</v>
      </c>
      <c r="K269" s="328">
        <f>=K267*K268</f>
        <v>0</v>
      </c>
      <c r="L269" s="328">
        <f>=L267*L268</f>
        <v>0</v>
      </c>
      <c r="M269" s="328">
        <f>=M267*M268</f>
        <v>0</v>
      </c>
      <c r="N269" s="328">
        <f>=N267*N268</f>
        <v>0</v>
      </c>
      <c r="O269" s="328">
        <f>=O267*O268</f>
        <v>0</v>
      </c>
      <c r="P269" s="328">
        <f>=P267*P268</f>
        <v>0</v>
      </c>
      <c r="Q269" s="328">
        <f>=Q267*Q268</f>
        <v>0</v>
      </c>
      <c r="R269" s="328">
        <f>=R267*R268</f>
        <v>0</v>
      </c>
      <c r="S269" s="328">
        <f>=S267*S268</f>
        <v>0</v>
      </c>
      <c r="T269" s="328">
        <f>=T267*T268</f>
        <v>0</v>
      </c>
      <c r="U269" s="328">
        <f>=U267*U268</f>
        <v>0</v>
      </c>
      <c r="V269" s="328">
        <f>=V267*V268</f>
        <v>0</v>
      </c>
      <c r="W269" s="328">
        <f>=W267*W268</f>
        <v>0</v>
      </c>
      <c r="X269" s="328">
        <f>=X267*X268</f>
        <v>0</v>
      </c>
      <c r="Y269" s="328">
        <f>=Y267*Y268</f>
        <v>0</v>
      </c>
      <c r="Z269" s="328">
        <f>=Z267*Z268</f>
        <v>0</v>
      </c>
    </row>
    <row r="270" spans="1:26" ht="12" customHeight="true">
      <c r="A270" s="314" t="s"/>
      <c r="B270" s="333" t="s">
        <v>1236</v>
      </c>
      <c r="C270" s="585" t="s"/>
      <c r="D270" s="345">
        <f>=SUM(E270:Z270)</f>
        <v>0</v>
      </c>
      <c r="E270" s="331" t="s"/>
      <c r="F270" s="331" t="s"/>
      <c r="G270" s="331" t="s"/>
      <c r="H270" s="331" t="s"/>
      <c r="I270" s="331" t="s"/>
      <c r="J270" s="331" t="s"/>
      <c r="K270" s="331" t="s"/>
      <c r="L270" s="331" t="s"/>
      <c r="M270" s="331" t="s"/>
      <c r="N270" s="331" t="s"/>
      <c r="O270" s="331" t="s"/>
      <c r="P270" s="331" t="s"/>
      <c r="Q270" s="331" t="s"/>
      <c r="R270" s="331" t="s"/>
      <c r="S270" s="331" t="s"/>
      <c r="T270" s="331" t="s"/>
      <c r="U270" s="331" t="s"/>
      <c r="V270" s="331" t="s"/>
      <c r="W270" s="331" t="s"/>
      <c r="X270" s="331" t="s"/>
      <c r="Y270" s="331" t="s"/>
      <c r="Z270" s="331" t="s"/>
    </row>
    <row r="271" spans="1:26" ht="12" customHeight="true">
      <c r="A271" s="314" t="s"/>
      <c r="B271" s="333" t="s">
        <v>1238</v>
      </c>
      <c r="C271" s="333" t="s"/>
      <c r="D271" s="345">
        <f>=SUM(E271:Z271)</f>
        <v>0</v>
      </c>
      <c r="E271" s="306">
        <f>=E269*E270</f>
        <v>0</v>
      </c>
      <c r="F271" s="306">
        <f>=F269*F270</f>
        <v>0</v>
      </c>
      <c r="G271" s="306">
        <f>=G269*G270</f>
        <v>0</v>
      </c>
      <c r="H271" s="306">
        <f>=H269*H270</f>
        <v>0</v>
      </c>
      <c r="I271" s="306">
        <f>=I269*I270</f>
        <v>0</v>
      </c>
      <c r="J271" s="306">
        <f>=J269*J270</f>
        <v>0</v>
      </c>
      <c r="K271" s="306">
        <f>=K269*K270</f>
        <v>0</v>
      </c>
      <c r="L271" s="306">
        <f>=L269*L270</f>
        <v>0</v>
      </c>
      <c r="M271" s="306">
        <f>=M269*M270</f>
        <v>0</v>
      </c>
      <c r="N271" s="306">
        <f>=N269*N270</f>
        <v>0</v>
      </c>
      <c r="O271" s="306">
        <f>=O269*O270</f>
        <v>0</v>
      </c>
      <c r="P271" s="306">
        <f>=P269*P270</f>
        <v>0</v>
      </c>
      <c r="Q271" s="306">
        <f>=Q269*Q270</f>
        <v>0</v>
      </c>
      <c r="R271" s="306">
        <f>=R269*R270</f>
        <v>0</v>
      </c>
      <c r="S271" s="306">
        <f>=S269*S270</f>
        <v>0</v>
      </c>
      <c r="T271" s="306">
        <f>=T269*T270</f>
        <v>0</v>
      </c>
      <c r="U271" s="306">
        <f>=U269*U270</f>
        <v>0</v>
      </c>
      <c r="V271" s="306">
        <f>=V269*V270</f>
        <v>0</v>
      </c>
      <c r="W271" s="306">
        <f>=W269*W270</f>
        <v>0</v>
      </c>
      <c r="X271" s="306">
        <f>=X269*X270</f>
        <v>0</v>
      </c>
      <c r="Y271" s="306">
        <f>=Y269*Y270</f>
        <v>0</v>
      </c>
      <c r="Z271" s="306">
        <f>=Z269*Z270</f>
        <v>0</v>
      </c>
    </row>
    <row r="272" spans="1:26" ht="12" customHeight="true">
      <c r="A272" s="314" t="s"/>
      <c r="B272" s="334" t="s">
        <v>1240</v>
      </c>
      <c r="C272" s="335" t="s"/>
      <c r="D272" s="310" t="s"/>
      <c r="E272" s="336">
        <f>=$C272</f>
        <v>0</v>
      </c>
      <c r="F272" s="336">
        <f>=$C272</f>
        <v>0</v>
      </c>
      <c r="G272" s="336">
        <f>=$C272</f>
        <v>0</v>
      </c>
      <c r="H272" s="336">
        <f>=$C272</f>
        <v>0</v>
      </c>
      <c r="I272" s="336">
        <f>=$C272</f>
        <v>0</v>
      </c>
      <c r="J272" s="336">
        <f>=$C272</f>
        <v>0</v>
      </c>
      <c r="K272" s="336">
        <f>=$C272</f>
        <v>0</v>
      </c>
      <c r="L272" s="336">
        <f>=$C272</f>
        <v>0</v>
      </c>
      <c r="M272" s="336">
        <f>=$C272</f>
        <v>0</v>
      </c>
      <c r="N272" s="336">
        <f>=$C272</f>
        <v>0</v>
      </c>
      <c r="O272" s="336">
        <f>=$C272</f>
        <v>0</v>
      </c>
      <c r="P272" s="336">
        <f>=$C272</f>
        <v>0</v>
      </c>
      <c r="Q272" s="336">
        <f>=$C272</f>
        <v>0</v>
      </c>
      <c r="R272" s="336">
        <f>=$C272</f>
        <v>0</v>
      </c>
      <c r="S272" s="336">
        <f>=$C272</f>
        <v>0</v>
      </c>
      <c r="T272" s="336">
        <f>=$C272</f>
        <v>0</v>
      </c>
      <c r="U272" s="336">
        <f>=$C272</f>
        <v>0</v>
      </c>
      <c r="V272" s="336">
        <f>=$C272</f>
        <v>0</v>
      </c>
      <c r="W272" s="336">
        <f>=$C272</f>
        <v>0</v>
      </c>
      <c r="X272" s="336">
        <f>=$C272</f>
        <v>0</v>
      </c>
      <c r="Y272" s="336">
        <f>=$C272</f>
        <v>0</v>
      </c>
      <c r="Z272" s="336">
        <f>=$C272</f>
        <v>0</v>
      </c>
    </row>
    <row r="273" spans="1:26" ht="12" customHeight="true">
      <c r="A273" s="314" t="s"/>
      <c r="B273" s="334" t="s">
        <v>1229</v>
      </c>
      <c r="C273" s="310" t="s"/>
      <c r="D273" s="310">
        <f>=SUM(E273:Z273)</f>
        <v>0</v>
      </c>
      <c r="E273" s="306">
        <f>=E271*(1+E272)</f>
        <v>0</v>
      </c>
      <c r="F273" s="306">
        <f>=F271*(1+F272)</f>
        <v>0</v>
      </c>
      <c r="G273" s="306">
        <f>=G271*(1+G272)</f>
        <v>0</v>
      </c>
      <c r="H273" s="306">
        <f>=H271*(1+H272)</f>
        <v>0</v>
      </c>
      <c r="I273" s="306">
        <f>=I271*(1+I272)</f>
        <v>0</v>
      </c>
      <c r="J273" s="306">
        <f>=J271*(1+J272)</f>
        <v>0</v>
      </c>
      <c r="K273" s="306">
        <f>=K271*(1+K272)</f>
        <v>0</v>
      </c>
      <c r="L273" s="306">
        <f>=L271*(1+L272)</f>
        <v>0</v>
      </c>
      <c r="M273" s="306">
        <f>=M271*(1+M272)</f>
        <v>0</v>
      </c>
      <c r="N273" s="306">
        <f>=N271*(1+N272)</f>
        <v>0</v>
      </c>
      <c r="O273" s="306">
        <f>=O271*(1+O272)</f>
        <v>0</v>
      </c>
      <c r="P273" s="306">
        <f>=P271*(1+P272)</f>
        <v>0</v>
      </c>
      <c r="Q273" s="306">
        <f>=Q271*(1+Q272)</f>
        <v>0</v>
      </c>
      <c r="R273" s="306">
        <f>=R271*(1+R272)</f>
        <v>0</v>
      </c>
      <c r="S273" s="306">
        <f>=S271*(1+S272)</f>
        <v>0</v>
      </c>
      <c r="T273" s="306">
        <f>=T271*(1+T272)</f>
        <v>0</v>
      </c>
      <c r="U273" s="306">
        <f>=U271*(1+U272)</f>
        <v>0</v>
      </c>
      <c r="V273" s="306">
        <f>=V271*(1+V272)</f>
        <v>0</v>
      </c>
      <c r="W273" s="306">
        <f>=W271*(1+W272)</f>
        <v>0</v>
      </c>
      <c r="X273" s="306">
        <f>=X271*(1+X272)</f>
        <v>0</v>
      </c>
      <c r="Y273" s="306">
        <f>=Y271*(1+Y272)</f>
        <v>0</v>
      </c>
      <c r="Z273" s="306">
        <f>=Z271*(1+Z272)</f>
        <v>0</v>
      </c>
    </row>
    <row r="274" spans="1:26" ht="12" customHeight="true">
      <c r="A274" s="314" t="s"/>
      <c r="B274" s="334" t="s">
        <v>682</v>
      </c>
      <c r="C274" s="335" t="s"/>
      <c r="D274" s="310" t="s"/>
      <c r="E274" s="336">
        <f>=$C274</f>
        <v>0</v>
      </c>
      <c r="F274" s="336">
        <f>=$C274</f>
        <v>0</v>
      </c>
      <c r="G274" s="336">
        <f>=$C274</f>
        <v>0</v>
      </c>
      <c r="H274" s="336">
        <f>=$C274</f>
        <v>0</v>
      </c>
      <c r="I274" s="336">
        <f>=$C274</f>
        <v>0</v>
      </c>
      <c r="J274" s="336">
        <f>=$C274</f>
        <v>0</v>
      </c>
      <c r="K274" s="336">
        <f>=$C274</f>
        <v>0</v>
      </c>
      <c r="L274" s="336">
        <f>=$C274</f>
        <v>0</v>
      </c>
      <c r="M274" s="336">
        <f>=$C274</f>
        <v>0</v>
      </c>
      <c r="N274" s="336">
        <f>=$C274</f>
        <v>0</v>
      </c>
      <c r="O274" s="336">
        <f>=$C274</f>
        <v>0</v>
      </c>
      <c r="P274" s="336">
        <f>=$C274</f>
        <v>0</v>
      </c>
      <c r="Q274" s="336">
        <f>=$C274</f>
        <v>0</v>
      </c>
      <c r="R274" s="336">
        <f>=$C274</f>
        <v>0</v>
      </c>
      <c r="S274" s="336">
        <f>=$C274</f>
        <v>0</v>
      </c>
      <c r="T274" s="336">
        <f>=$C274</f>
        <v>0</v>
      </c>
      <c r="U274" s="336">
        <f>=$C274</f>
        <v>0</v>
      </c>
      <c r="V274" s="336">
        <f>=$C274</f>
        <v>0</v>
      </c>
      <c r="W274" s="336">
        <f>=$C274</f>
        <v>0</v>
      </c>
      <c r="X274" s="336">
        <f>=$C274</f>
        <v>0</v>
      </c>
      <c r="Y274" s="336">
        <f>=$C274</f>
        <v>0</v>
      </c>
      <c r="Z274" s="336">
        <f>=$C274</f>
        <v>0</v>
      </c>
    </row>
    <row r="275" spans="1:26" ht="12" customHeight="true">
      <c r="A275" s="314" t="s"/>
      <c r="B275" s="334" t="s">
        <v>656</v>
      </c>
      <c r="C275" s="337" t="s"/>
      <c r="D275" s="345">
        <f>=SUM(E275:Z275)</f>
        <v>0</v>
      </c>
      <c r="E275" s="306">
        <f>=IF(E272=0,E273*E274/(1+E274),E273*E274)</f>
        <v>0</v>
      </c>
      <c r="F275" s="306">
        <f>=IF(F272=0,F273*F274/(1+F274),F273*F274)</f>
        <v>0</v>
      </c>
      <c r="G275" s="306">
        <f>=IF(G272=0,G273*G274/(1+G274),G273*G274)</f>
        <v>0</v>
      </c>
      <c r="H275" s="306">
        <f>=IF(H272=0,H273*H274/(1+H274),H273*H274)</f>
        <v>0</v>
      </c>
      <c r="I275" s="306">
        <f>=IF(I272=0,I273*I274/(1+I274),I273*I274)</f>
        <v>0</v>
      </c>
      <c r="J275" s="306">
        <f>=IF(J272=0,J273*J274/(1+J274),J273*J274)</f>
        <v>0</v>
      </c>
      <c r="K275" s="306">
        <f>=IF(K272=0,K273*K274/(1+K274),K273*K274)</f>
        <v>0</v>
      </c>
      <c r="L275" s="306">
        <f>=IF(L272=0,L273*L274/(1+L274),L273*L274)</f>
        <v>0</v>
      </c>
      <c r="M275" s="306">
        <f>=IF(M272=0,M273*M274/(1+M274),M273*M274)</f>
        <v>0</v>
      </c>
      <c r="N275" s="306">
        <f>=IF(N272=0,N273*N274/(1+N274),N273*N274)</f>
        <v>0</v>
      </c>
      <c r="O275" s="306">
        <f>=IF(O272=0,O273*O274/(1+O274),O273*O274)</f>
        <v>0</v>
      </c>
      <c r="P275" s="306">
        <f>=IF(P272=0,P273*P274/(1+P274),P273*P274)</f>
        <v>0</v>
      </c>
      <c r="Q275" s="306">
        <f>=IF(Q272=0,Q273*Q274/(1+Q274),Q273*Q274)</f>
        <v>0</v>
      </c>
      <c r="R275" s="306">
        <f>=IF(R272=0,R273*R274/(1+R274),R273*R274)</f>
        <v>0</v>
      </c>
      <c r="S275" s="306">
        <f>=IF(S272=0,S273*S274/(1+S274),S273*S274)</f>
        <v>0</v>
      </c>
      <c r="T275" s="306">
        <f>=IF(T272=0,T273*T274/(1+T274),T273*T274)</f>
        <v>0</v>
      </c>
      <c r="U275" s="306">
        <f>=IF(U272=0,U273*U274/(1+U274),U273*U274)</f>
        <v>0</v>
      </c>
      <c r="V275" s="306">
        <f>=IF(V272=0,V273*V274/(1+V274),V273*V274)</f>
        <v>0</v>
      </c>
      <c r="W275" s="306">
        <f>=IF(W272=0,W273*W274/(1+W274),W273*W274)</f>
        <v>0</v>
      </c>
      <c r="X275" s="306">
        <f>=IF(X272=0,X273*X274/(1+X274),X273*X274)</f>
        <v>0</v>
      </c>
      <c r="Y275" s="306">
        <f>=IF(Y272=0,Y273*Y274/(1+Y274),Y273*Y274)</f>
        <v>0</v>
      </c>
      <c r="Z275" s="306">
        <f>=IF(Z272=0,Z273*Z274/(1+Z274),Z273*Z274)</f>
        <v>0</v>
      </c>
    </row>
    <row r="276" spans="1:26" ht="12" customHeight="true">
      <c r="A276" s="314" t="s"/>
      <c r="B276" s="334" t="s">
        <v>1242</v>
      </c>
      <c r="C276" s="337" t="s"/>
      <c r="D276" s="345">
        <f>=SUM(E276:Z276)</f>
        <v>0</v>
      </c>
      <c r="E276" s="306">
        <f>=IF(E272=0,E271,E273+E275)</f>
        <v>0</v>
      </c>
      <c r="F276" s="306">
        <f>=IF(F272=0,F271,F273+F275)</f>
        <v>0</v>
      </c>
      <c r="G276" s="306">
        <f>=IF(G272=0,G271,G273+G275)</f>
        <v>0</v>
      </c>
      <c r="H276" s="306">
        <f>=IF(H272=0,H271,H273+H275)</f>
        <v>0</v>
      </c>
      <c r="I276" s="306">
        <f>=IF(I272=0,I271,I273+I275)</f>
        <v>0</v>
      </c>
      <c r="J276" s="306">
        <f>=IF(J272=0,J271,J273+J275)</f>
        <v>0</v>
      </c>
      <c r="K276" s="306">
        <f>=IF(K272=0,K271,K273+K275)</f>
        <v>0</v>
      </c>
      <c r="L276" s="306">
        <f>=IF(L272=0,L271,L273+L275)</f>
        <v>0</v>
      </c>
      <c r="M276" s="306">
        <f>=IF(M272=0,M271,M273+M275)</f>
        <v>0</v>
      </c>
      <c r="N276" s="306">
        <f>=IF(N272=0,N271,N273+N275)</f>
        <v>0</v>
      </c>
      <c r="O276" s="306">
        <f>=IF(O272=0,O271,O273+O275)</f>
        <v>0</v>
      </c>
      <c r="P276" s="306">
        <f>=IF(P272=0,P271,P273+P275)</f>
        <v>0</v>
      </c>
      <c r="Q276" s="306">
        <f>=IF(Q272=0,Q271,Q273+Q275)</f>
        <v>0</v>
      </c>
      <c r="R276" s="306">
        <f>=IF(R272=0,R271,R273+R275)</f>
        <v>0</v>
      </c>
      <c r="S276" s="306">
        <f>=IF(S272=0,S271,S273+S275)</f>
        <v>0</v>
      </c>
      <c r="T276" s="306">
        <f>=IF(T272=0,T271,T273+T275)</f>
        <v>0</v>
      </c>
      <c r="U276" s="306">
        <f>=IF(U272=0,U271,U273+U275)</f>
        <v>0</v>
      </c>
      <c r="V276" s="306">
        <f>=IF(V272=0,V271,V273+V275)</f>
        <v>0</v>
      </c>
      <c r="W276" s="306">
        <f>=IF(W272=0,W271,W273+W275)</f>
        <v>0</v>
      </c>
      <c r="X276" s="306">
        <f>=IF(X272=0,X271,X273+X275)</f>
        <v>0</v>
      </c>
      <c r="Y276" s="306">
        <f>=IF(Y272=0,Y271,Y273+Y275)</f>
        <v>0</v>
      </c>
      <c r="Z276" s="306">
        <f>=IF(Z272=0,Z271,Z273+Z275)</f>
        <v>0</v>
      </c>
    </row>
    <row r="277" spans="1:26" ht="12" customHeight="true">
      <c r="A277" s="314">
        <v>7</v>
      </c>
      <c r="B277" s="318" t="s">
        <v>928</v>
      </c>
      <c r="C277" s="587" t="s"/>
      <c r="D277" s="345">
        <f>=SUM(E277:Z277)</f>
        <v>0</v>
      </c>
      <c r="E277" s="306">
        <f>=E288+E299</f>
        <v>0</v>
      </c>
      <c r="F277" s="306">
        <f>=F288+F299</f>
        <v>0</v>
      </c>
      <c r="G277" s="306">
        <f>=G288+G299</f>
        <v>0</v>
      </c>
      <c r="H277" s="306">
        <f>=H288+H299</f>
        <v>0</v>
      </c>
      <c r="I277" s="306">
        <f>=I288+I299</f>
        <v>0</v>
      </c>
      <c r="J277" s="306">
        <f>=J288+J299</f>
        <v>0</v>
      </c>
      <c r="K277" s="306">
        <f>=K288+K299</f>
        <v>0</v>
      </c>
      <c r="L277" s="306">
        <f>=L288+L299</f>
        <v>0</v>
      </c>
      <c r="M277" s="306">
        <f>=M288+M299</f>
        <v>0</v>
      </c>
      <c r="N277" s="306">
        <f>=N288+N299</f>
        <v>0</v>
      </c>
      <c r="O277" s="306">
        <f>=O288+O299</f>
        <v>0</v>
      </c>
      <c r="P277" s="306">
        <f>=P288+P299</f>
        <v>0</v>
      </c>
      <c r="Q277" s="306">
        <f>=Q288+Q299</f>
        <v>0</v>
      </c>
      <c r="R277" s="306">
        <f>=R288+R299</f>
        <v>0</v>
      </c>
      <c r="S277" s="306">
        <f>=S288+S299</f>
        <v>0</v>
      </c>
      <c r="T277" s="306">
        <f>=T288+T299</f>
        <v>0</v>
      </c>
      <c r="U277" s="306">
        <f>=U288+U299</f>
        <v>0</v>
      </c>
      <c r="V277" s="306">
        <f>=V288+V299</f>
        <v>0</v>
      </c>
      <c r="W277" s="306">
        <f>=W288+W299</f>
        <v>0</v>
      </c>
      <c r="X277" s="306">
        <f>=X288+X299</f>
        <v>0</v>
      </c>
      <c r="Y277" s="306">
        <f>=Y288+Y299</f>
        <v>0</v>
      </c>
      <c r="Z277" s="306">
        <f>=Z288+Z299</f>
        <v>0</v>
      </c>
    </row>
    <row r="278" spans="1:26" ht="12" customHeight="true">
      <c r="A278" s="314">
        <v>7.1</v>
      </c>
      <c r="B278" s="580" t="s"/>
      <c r="C278" s="580" t="s"/>
      <c r="D278" s="316" t="s">
        <v>672</v>
      </c>
      <c r="E278" s="316" t="s"/>
      <c r="F278" s="316" t="s"/>
      <c r="G278" s="316" t="s"/>
      <c r="H278" s="316" t="s"/>
      <c r="I278" s="316" t="s"/>
      <c r="J278" s="316" t="s"/>
      <c r="K278" s="316" t="s"/>
      <c r="L278" s="316" t="s"/>
      <c r="M278" s="316" t="s"/>
      <c r="N278" s="316" t="s"/>
      <c r="O278" s="316" t="s"/>
      <c r="P278" s="316" t="s"/>
      <c r="Q278" s="316" t="s"/>
      <c r="R278" s="316" t="s"/>
      <c r="S278" s="316" t="s"/>
      <c r="T278" s="316" t="s"/>
      <c r="U278" s="316" t="s"/>
      <c r="V278" s="316" t="s"/>
      <c r="W278" s="316" t="s"/>
      <c r="X278" s="316" t="s"/>
      <c r="Y278" s="316" t="s"/>
      <c r="Z278" s="316" t="s"/>
    </row>
    <row r="279" spans="1:26" ht="12" customHeight="true">
      <c r="A279" s="314" t="s"/>
      <c r="B279" s="318" t="s">
        <v>688</v>
      </c>
      <c r="C279" s="319" t="s"/>
      <c r="D279" s="582" t="s">
        <v>674</v>
      </c>
      <c r="E279" s="331" t="s"/>
      <c r="F279" s="331" t="s"/>
      <c r="G279" s="331" t="s"/>
      <c r="H279" s="331" t="s"/>
      <c r="I279" s="331" t="s"/>
      <c r="J279" s="331" t="s"/>
      <c r="K279" s="331" t="s"/>
      <c r="L279" s="331" t="s"/>
      <c r="M279" s="331" t="s"/>
      <c r="N279" s="331" t="s"/>
      <c r="O279" s="331" t="s"/>
      <c r="P279" s="331" t="s"/>
      <c r="Q279" s="331" t="s"/>
      <c r="R279" s="331" t="s"/>
      <c r="S279" s="331" t="s"/>
      <c r="T279" s="331" t="s"/>
      <c r="U279" s="331" t="s"/>
      <c r="V279" s="331" t="s"/>
      <c r="W279" s="331" t="s"/>
      <c r="X279" s="331" t="s"/>
      <c r="Y279" s="331" t="s"/>
      <c r="Z279" s="331" t="s"/>
    </row>
    <row r="280" spans="1:26" ht="12" customHeight="true">
      <c r="A280" s="314" t="s"/>
      <c r="B280" s="323" t="s">
        <v>534</v>
      </c>
      <c r="C280" s="586">
        <f>=IF($D279="美元",辅助表1评估项目基础数据表!$C$17,IF($D279="其他外币",辅助表1评估项目基础数据表!$C$18,1))</f>
        <v>1</v>
      </c>
      <c r="D280" s="300" t="s"/>
      <c r="E280" s="325">
        <f>=$C280</f>
        <v>1</v>
      </c>
      <c r="F280" s="325">
        <f>=$C280</f>
        <v>1</v>
      </c>
      <c r="G280" s="325">
        <f>=$C280</f>
        <v>1</v>
      </c>
      <c r="H280" s="325">
        <f>=$C280</f>
        <v>1</v>
      </c>
      <c r="I280" s="325">
        <f>=$C280</f>
        <v>1</v>
      </c>
      <c r="J280" s="325">
        <f>=$C280</f>
        <v>1</v>
      </c>
      <c r="K280" s="325">
        <f>=$C280</f>
        <v>1</v>
      </c>
      <c r="L280" s="325">
        <f>=$C280</f>
        <v>1</v>
      </c>
      <c r="M280" s="325">
        <f>=$C280</f>
        <v>1</v>
      </c>
      <c r="N280" s="325">
        <f>=$C280</f>
        <v>1</v>
      </c>
      <c r="O280" s="325">
        <f>=$C280</f>
        <v>1</v>
      </c>
      <c r="P280" s="325">
        <f>=$C280</f>
        <v>1</v>
      </c>
      <c r="Q280" s="325">
        <f>=$C280</f>
        <v>1</v>
      </c>
      <c r="R280" s="325">
        <f>=$C280</f>
        <v>1</v>
      </c>
      <c r="S280" s="325">
        <f>=$C280</f>
        <v>1</v>
      </c>
      <c r="T280" s="325">
        <f>=$C280</f>
        <v>1</v>
      </c>
      <c r="U280" s="325">
        <f>=$C280</f>
        <v>1</v>
      </c>
      <c r="V280" s="325">
        <f>=$C280</f>
        <v>1</v>
      </c>
      <c r="W280" s="325">
        <f>=$C280</f>
        <v>1</v>
      </c>
      <c r="X280" s="325">
        <f>=$C280</f>
        <v>1</v>
      </c>
      <c r="Y280" s="325">
        <f>=$C280</f>
        <v>1</v>
      </c>
      <c r="Z280" s="325">
        <f>=$C280</f>
        <v>1</v>
      </c>
    </row>
    <row r="281" spans="1:26" ht="12" customHeight="true">
      <c r="A281" s="314" t="s"/>
      <c r="B281" s="326" t="s">
        <v>676</v>
      </c>
      <c r="C281" s="327" t="s"/>
      <c r="D281" s="310" t="s"/>
      <c r="E281" s="328">
        <f>=E279*E280</f>
        <v>0</v>
      </c>
      <c r="F281" s="328">
        <f>=F279*F280</f>
        <v>0</v>
      </c>
      <c r="G281" s="328">
        <f>=G279*G280</f>
        <v>0</v>
      </c>
      <c r="H281" s="328">
        <f>=H279*H280</f>
        <v>0</v>
      </c>
      <c r="I281" s="328">
        <f>=I279*I280</f>
        <v>0</v>
      </c>
      <c r="J281" s="328">
        <f>=J279*J280</f>
        <v>0</v>
      </c>
      <c r="K281" s="328">
        <f>=K279*K280</f>
        <v>0</v>
      </c>
      <c r="L281" s="328">
        <f>=L279*L280</f>
        <v>0</v>
      </c>
      <c r="M281" s="328">
        <f>=M279*M280</f>
        <v>0</v>
      </c>
      <c r="N281" s="328">
        <f>=N279*N280</f>
        <v>0</v>
      </c>
      <c r="O281" s="328">
        <f>=O279*O280</f>
        <v>0</v>
      </c>
      <c r="P281" s="328">
        <f>=P279*P280</f>
        <v>0</v>
      </c>
      <c r="Q281" s="328">
        <f>=Q279*Q280</f>
        <v>0</v>
      </c>
      <c r="R281" s="328">
        <f>=R279*R280</f>
        <v>0</v>
      </c>
      <c r="S281" s="328">
        <f>=S279*S280</f>
        <v>0</v>
      </c>
      <c r="T281" s="328">
        <f>=T279*T280</f>
        <v>0</v>
      </c>
      <c r="U281" s="328">
        <f>=U279*U280</f>
        <v>0</v>
      </c>
      <c r="V281" s="328">
        <f>=V279*V280</f>
        <v>0</v>
      </c>
      <c r="W281" s="328">
        <f>=W279*W280</f>
        <v>0</v>
      </c>
      <c r="X281" s="328">
        <f>=X279*X280</f>
        <v>0</v>
      </c>
      <c r="Y281" s="328">
        <f>=Y279*Y280</f>
        <v>0</v>
      </c>
      <c r="Z281" s="328">
        <f>=Z279*Z280</f>
        <v>0</v>
      </c>
    </row>
    <row r="282" spans="1:26" ht="12" customHeight="true">
      <c r="A282" s="314" t="s"/>
      <c r="B282" s="333" t="s">
        <v>1236</v>
      </c>
      <c r="C282" s="585" t="s"/>
      <c r="D282" s="345">
        <f>=SUM(E282:Z282)</f>
        <v>0</v>
      </c>
      <c r="E282" s="331" t="s"/>
      <c r="F282" s="331" t="s"/>
      <c r="G282" s="331" t="s"/>
      <c r="H282" s="331" t="s"/>
      <c r="I282" s="331" t="s"/>
      <c r="J282" s="331" t="s"/>
      <c r="K282" s="331" t="s"/>
      <c r="L282" s="331" t="s"/>
      <c r="M282" s="331" t="s"/>
      <c r="N282" s="331" t="s"/>
      <c r="O282" s="331" t="s"/>
      <c r="P282" s="331" t="s"/>
      <c r="Q282" s="331" t="s"/>
      <c r="R282" s="331" t="s"/>
      <c r="S282" s="331" t="s"/>
      <c r="T282" s="331" t="s"/>
      <c r="U282" s="331" t="s"/>
      <c r="V282" s="331" t="s"/>
      <c r="W282" s="331" t="s"/>
      <c r="X282" s="331" t="s"/>
      <c r="Y282" s="331" t="s"/>
      <c r="Z282" s="331" t="s"/>
    </row>
    <row r="283" spans="1:26" ht="12" customHeight="true">
      <c r="A283" s="314" t="s"/>
      <c r="B283" s="333" t="s">
        <v>1238</v>
      </c>
      <c r="C283" s="333" t="s"/>
      <c r="D283" s="345">
        <f>=SUM(E283:Z283)</f>
        <v>0</v>
      </c>
      <c r="E283" s="306">
        <f>=E281*E282</f>
        <v>0</v>
      </c>
      <c r="F283" s="306">
        <f>=F281*F282</f>
        <v>0</v>
      </c>
      <c r="G283" s="306">
        <f>=G281*G282</f>
        <v>0</v>
      </c>
      <c r="H283" s="306">
        <f>=H281*H282</f>
        <v>0</v>
      </c>
      <c r="I283" s="306">
        <f>=I281*I282</f>
        <v>0</v>
      </c>
      <c r="J283" s="306">
        <f>=J281*J282</f>
        <v>0</v>
      </c>
      <c r="K283" s="306">
        <f>=K281*K282</f>
        <v>0</v>
      </c>
      <c r="L283" s="306">
        <f>=L281*L282</f>
        <v>0</v>
      </c>
      <c r="M283" s="306">
        <f>=M281*M282</f>
        <v>0</v>
      </c>
      <c r="N283" s="306">
        <f>=N281*N282</f>
        <v>0</v>
      </c>
      <c r="O283" s="306">
        <f>=O281*O282</f>
        <v>0</v>
      </c>
      <c r="P283" s="306">
        <f>=P281*P282</f>
        <v>0</v>
      </c>
      <c r="Q283" s="306">
        <f>=Q281*Q282</f>
        <v>0</v>
      </c>
      <c r="R283" s="306">
        <f>=R281*R282</f>
        <v>0</v>
      </c>
      <c r="S283" s="306">
        <f>=S281*S282</f>
        <v>0</v>
      </c>
      <c r="T283" s="306">
        <f>=T281*T282</f>
        <v>0</v>
      </c>
      <c r="U283" s="306">
        <f>=U281*U282</f>
        <v>0</v>
      </c>
      <c r="V283" s="306">
        <f>=V281*V282</f>
        <v>0</v>
      </c>
      <c r="W283" s="306">
        <f>=W281*W282</f>
        <v>0</v>
      </c>
      <c r="X283" s="306">
        <f>=X281*X282</f>
        <v>0</v>
      </c>
      <c r="Y283" s="306">
        <f>=Y281*Y282</f>
        <v>0</v>
      </c>
      <c r="Z283" s="306">
        <f>=Z281*Z282</f>
        <v>0</v>
      </c>
    </row>
    <row r="284" spans="1:26" ht="12" customHeight="true">
      <c r="A284" s="314" t="s"/>
      <c r="B284" s="334" t="s">
        <v>1240</v>
      </c>
      <c r="C284" s="588" t="s"/>
      <c r="D284" s="310" t="s"/>
      <c r="E284" s="336">
        <f>=$C284</f>
        <v>0</v>
      </c>
      <c r="F284" s="336">
        <f>=$C284</f>
        <v>0</v>
      </c>
      <c r="G284" s="336">
        <f>=$C284</f>
        <v>0</v>
      </c>
      <c r="H284" s="336">
        <f>=$C284</f>
        <v>0</v>
      </c>
      <c r="I284" s="336">
        <f>=$C284</f>
        <v>0</v>
      </c>
      <c r="J284" s="336">
        <f>=$C284</f>
        <v>0</v>
      </c>
      <c r="K284" s="336">
        <f>=$C284</f>
        <v>0</v>
      </c>
      <c r="L284" s="336">
        <f>=$C284</f>
        <v>0</v>
      </c>
      <c r="M284" s="336">
        <f>=$C284</f>
        <v>0</v>
      </c>
      <c r="N284" s="336">
        <f>=$C284</f>
        <v>0</v>
      </c>
      <c r="O284" s="336">
        <f>=$C284</f>
        <v>0</v>
      </c>
      <c r="P284" s="336">
        <f>=$C284</f>
        <v>0</v>
      </c>
      <c r="Q284" s="336">
        <f>=$C284</f>
        <v>0</v>
      </c>
      <c r="R284" s="336">
        <f>=$C284</f>
        <v>0</v>
      </c>
      <c r="S284" s="336">
        <f>=$C284</f>
        <v>0</v>
      </c>
      <c r="T284" s="336">
        <f>=$C284</f>
        <v>0</v>
      </c>
      <c r="U284" s="336">
        <f>=$C284</f>
        <v>0</v>
      </c>
      <c r="V284" s="336">
        <f>=$C284</f>
        <v>0</v>
      </c>
      <c r="W284" s="336">
        <f>=$C284</f>
        <v>0</v>
      </c>
      <c r="X284" s="336">
        <f>=$C284</f>
        <v>0</v>
      </c>
      <c r="Y284" s="336">
        <f>=$C284</f>
        <v>0</v>
      </c>
      <c r="Z284" s="336">
        <f>=$C284</f>
        <v>0</v>
      </c>
    </row>
    <row r="285" spans="1:26" ht="12" customHeight="true">
      <c r="A285" s="314" t="s"/>
      <c r="B285" s="334" t="s">
        <v>1229</v>
      </c>
      <c r="C285" s="310" t="s"/>
      <c r="D285" s="310">
        <f>=SUM(E285:Z285)</f>
        <v>0</v>
      </c>
      <c r="E285" s="306">
        <f>=E283*(1+E284)</f>
        <v>0</v>
      </c>
      <c r="F285" s="306">
        <f>=F283*(1+F284)</f>
        <v>0</v>
      </c>
      <c r="G285" s="306">
        <f>=G283*(1+G284)</f>
        <v>0</v>
      </c>
      <c r="H285" s="306">
        <f>=H283*(1+H284)</f>
        <v>0</v>
      </c>
      <c r="I285" s="306">
        <f>=I283*(1+I284)</f>
        <v>0</v>
      </c>
      <c r="J285" s="306">
        <f>=J283*(1+J284)</f>
        <v>0</v>
      </c>
      <c r="K285" s="306">
        <f>=K283*(1+K284)</f>
        <v>0</v>
      </c>
      <c r="L285" s="306">
        <f>=L283*(1+L284)</f>
        <v>0</v>
      </c>
      <c r="M285" s="306">
        <f>=M283*(1+M284)</f>
        <v>0</v>
      </c>
      <c r="N285" s="306">
        <f>=N283*(1+N284)</f>
        <v>0</v>
      </c>
      <c r="O285" s="306">
        <f>=O283*(1+O284)</f>
        <v>0</v>
      </c>
      <c r="P285" s="306">
        <f>=P283*(1+P284)</f>
        <v>0</v>
      </c>
      <c r="Q285" s="306">
        <f>=Q283*(1+Q284)</f>
        <v>0</v>
      </c>
      <c r="R285" s="306">
        <f>=R283*(1+R284)</f>
        <v>0</v>
      </c>
      <c r="S285" s="306">
        <f>=S283*(1+S284)</f>
        <v>0</v>
      </c>
      <c r="T285" s="306">
        <f>=T283*(1+T284)</f>
        <v>0</v>
      </c>
      <c r="U285" s="306">
        <f>=U283*(1+U284)</f>
        <v>0</v>
      </c>
      <c r="V285" s="306">
        <f>=V283*(1+V284)</f>
        <v>0</v>
      </c>
      <c r="W285" s="306">
        <f>=W283*(1+W284)</f>
        <v>0</v>
      </c>
      <c r="X285" s="306">
        <f>=X283*(1+X284)</f>
        <v>0</v>
      </c>
      <c r="Y285" s="306">
        <f>=Y283*(1+Y284)</f>
        <v>0</v>
      </c>
      <c r="Z285" s="306">
        <f>=Z283*(1+Z284)</f>
        <v>0</v>
      </c>
    </row>
    <row r="286" spans="1:26" ht="12" customHeight="true">
      <c r="A286" s="314" t="s"/>
      <c r="B286" s="334" t="s">
        <v>682</v>
      </c>
      <c r="C286" s="335" t="s"/>
      <c r="D286" s="310" t="s"/>
      <c r="E286" s="336">
        <f>=$C286</f>
        <v>0</v>
      </c>
      <c r="F286" s="336">
        <f>=$C286</f>
        <v>0</v>
      </c>
      <c r="G286" s="336">
        <f>=$C286</f>
        <v>0</v>
      </c>
      <c r="H286" s="336">
        <f>=$C286</f>
        <v>0</v>
      </c>
      <c r="I286" s="336">
        <f>=$C286</f>
        <v>0</v>
      </c>
      <c r="J286" s="336">
        <f>=$C286</f>
        <v>0</v>
      </c>
      <c r="K286" s="336">
        <f>=$C286</f>
        <v>0</v>
      </c>
      <c r="L286" s="336">
        <f>=$C286</f>
        <v>0</v>
      </c>
      <c r="M286" s="336">
        <f>=$C286</f>
        <v>0</v>
      </c>
      <c r="N286" s="336">
        <f>=$C286</f>
        <v>0</v>
      </c>
      <c r="O286" s="336">
        <f>=$C286</f>
        <v>0</v>
      </c>
      <c r="P286" s="336">
        <f>=$C286</f>
        <v>0</v>
      </c>
      <c r="Q286" s="336">
        <f>=$C286</f>
        <v>0</v>
      </c>
      <c r="R286" s="336">
        <f>=$C286</f>
        <v>0</v>
      </c>
      <c r="S286" s="336">
        <f>=$C286</f>
        <v>0</v>
      </c>
      <c r="T286" s="336">
        <f>=$C286</f>
        <v>0</v>
      </c>
      <c r="U286" s="336">
        <f>=$C286</f>
        <v>0</v>
      </c>
      <c r="V286" s="336">
        <f>=$C286</f>
        <v>0</v>
      </c>
      <c r="W286" s="336">
        <f>=$C286</f>
        <v>0</v>
      </c>
      <c r="X286" s="336">
        <f>=$C286</f>
        <v>0</v>
      </c>
      <c r="Y286" s="336">
        <f>=$C286</f>
        <v>0</v>
      </c>
      <c r="Z286" s="336">
        <f>=$C286</f>
        <v>0</v>
      </c>
    </row>
    <row r="287" spans="1:26" ht="12" customHeight="true">
      <c r="A287" s="314" t="s"/>
      <c r="B287" s="334" t="s">
        <v>656</v>
      </c>
      <c r="C287" s="337" t="s"/>
      <c r="D287" s="345">
        <f>=SUM(E287:Z287)</f>
        <v>0</v>
      </c>
      <c r="E287" s="306">
        <f>=IF(E284=0,E285*E286/(1+E286),E285*E286)</f>
        <v>0</v>
      </c>
      <c r="F287" s="306">
        <f>=IF(F284=0,F285*F286/(1+F286),F285*F286)</f>
        <v>0</v>
      </c>
      <c r="G287" s="306">
        <f>=IF(G284=0,G285*G286/(1+G286),G285*G286)</f>
        <v>0</v>
      </c>
      <c r="H287" s="306">
        <f>=IF(H284=0,H285*H286/(1+H286),H285*H286)</f>
        <v>0</v>
      </c>
      <c r="I287" s="306">
        <f>=IF(I284=0,I285*I286/(1+I286),I285*I286)</f>
        <v>0</v>
      </c>
      <c r="J287" s="306">
        <f>=IF(J284=0,J285*J286/(1+J286),J285*J286)</f>
        <v>0</v>
      </c>
      <c r="K287" s="306">
        <f>=IF(K284=0,K285*K286/(1+K286),K285*K286)</f>
        <v>0</v>
      </c>
      <c r="L287" s="306">
        <f>=IF(L284=0,L285*L286/(1+L286),L285*L286)</f>
        <v>0</v>
      </c>
      <c r="M287" s="306">
        <f>=IF(M284=0,M285*M286/(1+M286),M285*M286)</f>
        <v>0</v>
      </c>
      <c r="N287" s="306">
        <f>=IF(N284=0,N285*N286/(1+N286),N285*N286)</f>
        <v>0</v>
      </c>
      <c r="O287" s="306">
        <f>=IF(O284=0,O285*O286/(1+O286),O285*O286)</f>
        <v>0</v>
      </c>
      <c r="P287" s="306">
        <f>=IF(P284=0,P285*P286/(1+P286),P285*P286)</f>
        <v>0</v>
      </c>
      <c r="Q287" s="306">
        <f>=IF(Q284=0,Q285*Q286/(1+Q286),Q285*Q286)</f>
        <v>0</v>
      </c>
      <c r="R287" s="306">
        <f>=IF(R284=0,R285*R286/(1+R286),R285*R286)</f>
        <v>0</v>
      </c>
      <c r="S287" s="306">
        <f>=IF(S284=0,S285*S286/(1+S286),S285*S286)</f>
        <v>0</v>
      </c>
      <c r="T287" s="306">
        <f>=IF(T284=0,T285*T286/(1+T286),T285*T286)</f>
        <v>0</v>
      </c>
      <c r="U287" s="306">
        <f>=IF(U284=0,U285*U286/(1+U286),U285*U286)</f>
        <v>0</v>
      </c>
      <c r="V287" s="306">
        <f>=IF(V284=0,V285*V286/(1+V286),V285*V286)</f>
        <v>0</v>
      </c>
      <c r="W287" s="306">
        <f>=IF(W284=0,W285*W286/(1+W286),W285*W286)</f>
        <v>0</v>
      </c>
      <c r="X287" s="306">
        <f>=IF(X284=0,X285*X286/(1+X286),X285*X286)</f>
        <v>0</v>
      </c>
      <c r="Y287" s="306">
        <f>=IF(Y284=0,Y285*Y286/(1+Y286),Y285*Y286)</f>
        <v>0</v>
      </c>
      <c r="Z287" s="306">
        <f>=IF(Z284=0,Z285*Z286/(1+Z286),Z285*Z286)</f>
        <v>0</v>
      </c>
    </row>
    <row r="288" spans="1:26" ht="12" customHeight="true">
      <c r="A288" s="314" t="s"/>
      <c r="B288" s="334" t="s">
        <v>1242</v>
      </c>
      <c r="C288" s="337" t="s"/>
      <c r="D288" s="345">
        <f>=SUM(E288:Z288)</f>
        <v>0</v>
      </c>
      <c r="E288" s="306">
        <f>=IF(E284=0,E283,E285+E287)</f>
        <v>0</v>
      </c>
      <c r="F288" s="306">
        <f>=IF(F284=0,F283,F285+F287)</f>
        <v>0</v>
      </c>
      <c r="G288" s="306">
        <f>=IF(G284=0,G283,G285+G287)</f>
        <v>0</v>
      </c>
      <c r="H288" s="306">
        <f>=IF(H284=0,H283,H285+H287)</f>
        <v>0</v>
      </c>
      <c r="I288" s="306">
        <f>=IF(I284=0,I283,I285+I287)</f>
        <v>0</v>
      </c>
      <c r="J288" s="306">
        <f>=IF(J284=0,J283,J285+J287)</f>
        <v>0</v>
      </c>
      <c r="K288" s="306">
        <f>=IF(K284=0,K283,K285+K287)</f>
        <v>0</v>
      </c>
      <c r="L288" s="306">
        <f>=IF(L284=0,L283,L285+L287)</f>
        <v>0</v>
      </c>
      <c r="M288" s="306">
        <f>=IF(M284=0,M283,M285+M287)</f>
        <v>0</v>
      </c>
      <c r="N288" s="306">
        <f>=IF(N284=0,N283,N285+N287)</f>
        <v>0</v>
      </c>
      <c r="O288" s="306">
        <f>=IF(O284=0,O283,O285+O287)</f>
        <v>0</v>
      </c>
      <c r="P288" s="306">
        <f>=IF(P284=0,P283,P285+P287)</f>
        <v>0</v>
      </c>
      <c r="Q288" s="306">
        <f>=IF(Q284=0,Q283,Q285+Q287)</f>
        <v>0</v>
      </c>
      <c r="R288" s="306">
        <f>=IF(R284=0,R283,R285+R287)</f>
        <v>0</v>
      </c>
      <c r="S288" s="306">
        <f>=IF(S284=0,S283,S285+S287)</f>
        <v>0</v>
      </c>
      <c r="T288" s="306">
        <f>=IF(T284=0,T283,T285+T287)</f>
        <v>0</v>
      </c>
      <c r="U288" s="306">
        <f>=IF(U284=0,U283,U285+U287)</f>
        <v>0</v>
      </c>
      <c r="V288" s="306">
        <f>=IF(V284=0,V283,V285+V287)</f>
        <v>0</v>
      </c>
      <c r="W288" s="306">
        <f>=IF(W284=0,W283,W285+W287)</f>
        <v>0</v>
      </c>
      <c r="X288" s="306">
        <f>=IF(X284=0,X283,X285+X287)</f>
        <v>0</v>
      </c>
      <c r="Y288" s="306">
        <f>=IF(Y284=0,Y283,Y285+Y287)</f>
        <v>0</v>
      </c>
      <c r="Z288" s="306">
        <f>=IF(Z284=0,Z283,Z285+Z287)</f>
        <v>0</v>
      </c>
    </row>
    <row r="289" spans="1:26" ht="12" customHeight="true">
      <c r="A289" s="314">
        <v>7.2</v>
      </c>
      <c r="B289" s="580" t="s"/>
      <c r="C289" s="580" t="s"/>
      <c r="D289" s="316" t="s">
        <v>672</v>
      </c>
      <c r="E289" s="316" t="s"/>
      <c r="F289" s="316" t="s"/>
      <c r="G289" s="316" t="s"/>
      <c r="H289" s="316" t="s"/>
      <c r="I289" s="316" t="s"/>
      <c r="J289" s="316" t="s"/>
      <c r="K289" s="316" t="s"/>
      <c r="L289" s="316" t="s"/>
      <c r="M289" s="316" t="s"/>
      <c r="N289" s="316" t="s"/>
      <c r="O289" s="316" t="s"/>
      <c r="P289" s="316" t="s"/>
      <c r="Q289" s="316" t="s"/>
      <c r="R289" s="316" t="s"/>
      <c r="S289" s="316" t="s"/>
      <c r="T289" s="316" t="s"/>
      <c r="U289" s="316" t="s"/>
      <c r="V289" s="316" t="s"/>
      <c r="W289" s="316" t="s"/>
      <c r="X289" s="316" t="s"/>
      <c r="Y289" s="316" t="s"/>
      <c r="Z289" s="316" t="s"/>
    </row>
    <row r="290" spans="1:26" ht="12" customHeight="true">
      <c r="A290" s="314" t="s"/>
      <c r="B290" s="318" t="s">
        <v>688</v>
      </c>
      <c r="C290" s="319" t="s"/>
      <c r="D290" s="582" t="s">
        <v>674</v>
      </c>
      <c r="E290" s="331" t="s"/>
      <c r="F290" s="331" t="s"/>
      <c r="G290" s="331" t="s"/>
      <c r="H290" s="331" t="s"/>
      <c r="I290" s="331" t="s"/>
      <c r="J290" s="331" t="s"/>
      <c r="K290" s="331" t="s"/>
      <c r="L290" s="331" t="s"/>
      <c r="M290" s="331" t="s"/>
      <c r="N290" s="331" t="s"/>
      <c r="O290" s="331" t="s"/>
      <c r="P290" s="331" t="s"/>
      <c r="Q290" s="331" t="s"/>
      <c r="R290" s="331" t="s"/>
      <c r="S290" s="331" t="s"/>
      <c r="T290" s="331" t="s"/>
      <c r="U290" s="331" t="s"/>
      <c r="V290" s="331" t="s"/>
      <c r="W290" s="331" t="s"/>
      <c r="X290" s="331" t="s"/>
      <c r="Y290" s="331" t="s"/>
      <c r="Z290" s="331" t="s"/>
    </row>
    <row r="291" spans="1:26" ht="12" customHeight="true">
      <c r="A291" s="314" t="s"/>
      <c r="B291" s="323" t="s">
        <v>534</v>
      </c>
      <c r="C291" s="586">
        <f>=IF($D290="美元",辅助表1评估项目基础数据表!$C$17,IF($D290="其他外币",辅助表1评估项目基础数据表!$C$18,1))</f>
        <v>1</v>
      </c>
      <c r="D291" s="300" t="s"/>
      <c r="E291" s="325">
        <f>=$C291</f>
        <v>1</v>
      </c>
      <c r="F291" s="325">
        <f>=$C291</f>
        <v>1</v>
      </c>
      <c r="G291" s="325">
        <f>=$C291</f>
        <v>1</v>
      </c>
      <c r="H291" s="325">
        <f>=$C291</f>
        <v>1</v>
      </c>
      <c r="I291" s="325">
        <f>=$C291</f>
        <v>1</v>
      </c>
      <c r="J291" s="325">
        <f>=$C291</f>
        <v>1</v>
      </c>
      <c r="K291" s="325">
        <f>=$C291</f>
        <v>1</v>
      </c>
      <c r="L291" s="325">
        <f>=$C291</f>
        <v>1</v>
      </c>
      <c r="M291" s="325">
        <f>=$C291</f>
        <v>1</v>
      </c>
      <c r="N291" s="325">
        <f>=$C291</f>
        <v>1</v>
      </c>
      <c r="O291" s="325">
        <f>=$C291</f>
        <v>1</v>
      </c>
      <c r="P291" s="325">
        <f>=$C291</f>
        <v>1</v>
      </c>
      <c r="Q291" s="325">
        <f>=$C291</f>
        <v>1</v>
      </c>
      <c r="R291" s="325">
        <f>=$C291</f>
        <v>1</v>
      </c>
      <c r="S291" s="325">
        <f>=$C291</f>
        <v>1</v>
      </c>
      <c r="T291" s="325">
        <f>=$C291</f>
        <v>1</v>
      </c>
      <c r="U291" s="325">
        <f>=$C291</f>
        <v>1</v>
      </c>
      <c r="V291" s="325">
        <f>=$C291</f>
        <v>1</v>
      </c>
      <c r="W291" s="325">
        <f>=$C291</f>
        <v>1</v>
      </c>
      <c r="X291" s="325">
        <f>=$C291</f>
        <v>1</v>
      </c>
      <c r="Y291" s="325">
        <f>=$C291</f>
        <v>1</v>
      </c>
      <c r="Z291" s="325">
        <f>=$C291</f>
        <v>1</v>
      </c>
    </row>
    <row r="292" spans="1:26" ht="12" customHeight="true">
      <c r="A292" s="314" t="s"/>
      <c r="B292" s="326" t="s">
        <v>676</v>
      </c>
      <c r="C292" s="327" t="s"/>
      <c r="D292" s="310" t="s"/>
      <c r="E292" s="328">
        <f>=E290*E291</f>
        <v>0</v>
      </c>
      <c r="F292" s="328">
        <f>=F290*F291</f>
        <v>0</v>
      </c>
      <c r="G292" s="328">
        <f>=G290*G291</f>
        <v>0</v>
      </c>
      <c r="H292" s="328">
        <f>=H290*H291</f>
        <v>0</v>
      </c>
      <c r="I292" s="328">
        <f>=I290*I291</f>
        <v>0</v>
      </c>
      <c r="J292" s="328">
        <f>=J290*J291</f>
        <v>0</v>
      </c>
      <c r="K292" s="328">
        <f>=K290*K291</f>
        <v>0</v>
      </c>
      <c r="L292" s="328">
        <f>=L290*L291</f>
        <v>0</v>
      </c>
      <c r="M292" s="328">
        <f>=M290*M291</f>
        <v>0</v>
      </c>
      <c r="N292" s="328">
        <f>=N290*N291</f>
        <v>0</v>
      </c>
      <c r="O292" s="328">
        <f>=O290*O291</f>
        <v>0</v>
      </c>
      <c r="P292" s="328">
        <f>=P290*P291</f>
        <v>0</v>
      </c>
      <c r="Q292" s="328">
        <f>=Q290*Q291</f>
        <v>0</v>
      </c>
      <c r="R292" s="328">
        <f>=R290*R291</f>
        <v>0</v>
      </c>
      <c r="S292" s="328">
        <f>=S290*S291</f>
        <v>0</v>
      </c>
      <c r="T292" s="328">
        <f>=T290*T291</f>
        <v>0</v>
      </c>
      <c r="U292" s="328">
        <f>=U290*U291</f>
        <v>0</v>
      </c>
      <c r="V292" s="328">
        <f>=V290*V291</f>
        <v>0</v>
      </c>
      <c r="W292" s="328">
        <f>=W290*W291</f>
        <v>0</v>
      </c>
      <c r="X292" s="328">
        <f>=X290*X291</f>
        <v>0</v>
      </c>
      <c r="Y292" s="328">
        <f>=Y290*Y291</f>
        <v>0</v>
      </c>
      <c r="Z292" s="328">
        <f>=Z290*Z291</f>
        <v>0</v>
      </c>
    </row>
    <row r="293" spans="1:26" ht="12" customHeight="true">
      <c r="A293" s="314" t="s"/>
      <c r="B293" s="333" t="s">
        <v>1236</v>
      </c>
      <c r="C293" s="585" t="s"/>
      <c r="D293" s="345">
        <f>=SUM(E293:Z293)</f>
        <v>0</v>
      </c>
      <c r="E293" s="331" t="s"/>
      <c r="F293" s="331" t="s"/>
      <c r="G293" s="331" t="s"/>
      <c r="H293" s="331" t="s"/>
      <c r="I293" s="331" t="s"/>
      <c r="J293" s="331" t="s"/>
      <c r="K293" s="331" t="s"/>
      <c r="L293" s="331" t="s"/>
      <c r="M293" s="331" t="s"/>
      <c r="N293" s="331" t="s"/>
      <c r="O293" s="331" t="s"/>
      <c r="P293" s="331" t="s"/>
      <c r="Q293" s="331" t="s"/>
      <c r="R293" s="331" t="s"/>
      <c r="S293" s="331" t="s"/>
      <c r="T293" s="331" t="s"/>
      <c r="U293" s="331" t="s"/>
      <c r="V293" s="331" t="s"/>
      <c r="W293" s="331" t="s"/>
      <c r="X293" s="331" t="s"/>
      <c r="Y293" s="331" t="s"/>
      <c r="Z293" s="331" t="s"/>
    </row>
    <row r="294" spans="1:26" ht="12" customHeight="true">
      <c r="A294" s="314" t="s"/>
      <c r="B294" s="333" t="s">
        <v>1238</v>
      </c>
      <c r="C294" s="333" t="s"/>
      <c r="D294" s="345">
        <f>=SUM(E294:Z294)</f>
        <v>0</v>
      </c>
      <c r="E294" s="306">
        <f>=E292*E293</f>
        <v>0</v>
      </c>
      <c r="F294" s="306">
        <f>=F292*F293</f>
        <v>0</v>
      </c>
      <c r="G294" s="306">
        <f>=G292*G293</f>
        <v>0</v>
      </c>
      <c r="H294" s="306">
        <f>=H292*H293</f>
        <v>0</v>
      </c>
      <c r="I294" s="306">
        <f>=I292*I293</f>
        <v>0</v>
      </c>
      <c r="J294" s="306">
        <f>=J292*J293</f>
        <v>0</v>
      </c>
      <c r="K294" s="306">
        <f>=K292*K293</f>
        <v>0</v>
      </c>
      <c r="L294" s="306">
        <f>=L292*L293</f>
        <v>0</v>
      </c>
      <c r="M294" s="306">
        <f>=M292*M293</f>
        <v>0</v>
      </c>
      <c r="N294" s="306">
        <f>=N292*N293</f>
        <v>0</v>
      </c>
      <c r="O294" s="306">
        <f>=O292*O293</f>
        <v>0</v>
      </c>
      <c r="P294" s="306">
        <f>=P292*P293</f>
        <v>0</v>
      </c>
      <c r="Q294" s="306">
        <f>=Q292*Q293</f>
        <v>0</v>
      </c>
      <c r="R294" s="306">
        <f>=R292*R293</f>
        <v>0</v>
      </c>
      <c r="S294" s="306">
        <f>=S292*S293</f>
        <v>0</v>
      </c>
      <c r="T294" s="306">
        <f>=T292*T293</f>
        <v>0</v>
      </c>
      <c r="U294" s="306">
        <f>=U292*U293</f>
        <v>0</v>
      </c>
      <c r="V294" s="306">
        <f>=V292*V293</f>
        <v>0</v>
      </c>
      <c r="W294" s="306">
        <f>=W292*W293</f>
        <v>0</v>
      </c>
      <c r="X294" s="306">
        <f>=X292*X293</f>
        <v>0</v>
      </c>
      <c r="Y294" s="306">
        <f>=Y292*Y293</f>
        <v>0</v>
      </c>
      <c r="Z294" s="306">
        <f>=Z292*Z293</f>
        <v>0</v>
      </c>
    </row>
    <row r="295" spans="1:26" ht="12" customHeight="true">
      <c r="A295" s="314" t="s"/>
      <c r="B295" s="334" t="s">
        <v>1240</v>
      </c>
      <c r="C295" s="335" t="s"/>
      <c r="D295" s="310" t="s"/>
      <c r="E295" s="336">
        <f>=$C295</f>
        <v>0</v>
      </c>
      <c r="F295" s="336">
        <f>=$C295</f>
        <v>0</v>
      </c>
      <c r="G295" s="336">
        <f>=$C295</f>
        <v>0</v>
      </c>
      <c r="H295" s="336">
        <f>=$C295</f>
        <v>0</v>
      </c>
      <c r="I295" s="336">
        <f>=$C295</f>
        <v>0</v>
      </c>
      <c r="J295" s="336">
        <f>=$C295</f>
        <v>0</v>
      </c>
      <c r="K295" s="336">
        <f>=$C295</f>
        <v>0</v>
      </c>
      <c r="L295" s="336">
        <f>=$C295</f>
        <v>0</v>
      </c>
      <c r="M295" s="336">
        <f>=$C295</f>
        <v>0</v>
      </c>
      <c r="N295" s="336">
        <f>=$C295</f>
        <v>0</v>
      </c>
      <c r="O295" s="336">
        <f>=$C295</f>
        <v>0</v>
      </c>
      <c r="P295" s="336">
        <f>=$C295</f>
        <v>0</v>
      </c>
      <c r="Q295" s="336">
        <f>=$C295</f>
        <v>0</v>
      </c>
      <c r="R295" s="336">
        <f>=$C295</f>
        <v>0</v>
      </c>
      <c r="S295" s="336">
        <f>=$C295</f>
        <v>0</v>
      </c>
      <c r="T295" s="336">
        <f>=$C295</f>
        <v>0</v>
      </c>
      <c r="U295" s="336">
        <f>=$C295</f>
        <v>0</v>
      </c>
      <c r="V295" s="336">
        <f>=$C295</f>
        <v>0</v>
      </c>
      <c r="W295" s="336">
        <f>=$C295</f>
        <v>0</v>
      </c>
      <c r="X295" s="336">
        <f>=$C295</f>
        <v>0</v>
      </c>
      <c r="Y295" s="336">
        <f>=$C295</f>
        <v>0</v>
      </c>
      <c r="Z295" s="336">
        <f>=$C295</f>
        <v>0</v>
      </c>
    </row>
    <row r="296" spans="1:26" ht="12" customHeight="true">
      <c r="A296" s="314" t="s"/>
      <c r="B296" s="334" t="s">
        <v>1229</v>
      </c>
      <c r="C296" s="310" t="s"/>
      <c r="D296" s="310">
        <f>=SUM(E296:Z296)</f>
        <v>0</v>
      </c>
      <c r="E296" s="306">
        <f>=E294*(1+E295)</f>
        <v>0</v>
      </c>
      <c r="F296" s="306">
        <f>=F294*(1+F295)</f>
        <v>0</v>
      </c>
      <c r="G296" s="306">
        <f>=G294*(1+G295)</f>
        <v>0</v>
      </c>
      <c r="H296" s="306">
        <f>=H294*(1+H295)</f>
        <v>0</v>
      </c>
      <c r="I296" s="306">
        <f>=I294*(1+I295)</f>
        <v>0</v>
      </c>
      <c r="J296" s="306">
        <f>=J294*(1+J295)</f>
        <v>0</v>
      </c>
      <c r="K296" s="306">
        <f>=K294*(1+K295)</f>
        <v>0</v>
      </c>
      <c r="L296" s="306">
        <f>=L294*(1+L295)</f>
        <v>0</v>
      </c>
      <c r="M296" s="306">
        <f>=M294*(1+M295)</f>
        <v>0</v>
      </c>
      <c r="N296" s="306">
        <f>=N294*(1+N295)</f>
        <v>0</v>
      </c>
      <c r="O296" s="306">
        <f>=O294*(1+O295)</f>
        <v>0</v>
      </c>
      <c r="P296" s="306">
        <f>=P294*(1+P295)</f>
        <v>0</v>
      </c>
      <c r="Q296" s="306">
        <f>=Q294*(1+Q295)</f>
        <v>0</v>
      </c>
      <c r="R296" s="306">
        <f>=R294*(1+R295)</f>
        <v>0</v>
      </c>
      <c r="S296" s="306">
        <f>=S294*(1+S295)</f>
        <v>0</v>
      </c>
      <c r="T296" s="306">
        <f>=T294*(1+T295)</f>
        <v>0</v>
      </c>
      <c r="U296" s="306">
        <f>=U294*(1+U295)</f>
        <v>0</v>
      </c>
      <c r="V296" s="306">
        <f>=V294*(1+V295)</f>
        <v>0</v>
      </c>
      <c r="W296" s="306">
        <f>=W294*(1+W295)</f>
        <v>0</v>
      </c>
      <c r="X296" s="306">
        <f>=X294*(1+X295)</f>
        <v>0</v>
      </c>
      <c r="Y296" s="306">
        <f>=Y294*(1+Y295)</f>
        <v>0</v>
      </c>
      <c r="Z296" s="306">
        <f>=Z294*(1+Z295)</f>
        <v>0</v>
      </c>
    </row>
    <row r="297" spans="1:26" ht="12" customHeight="true">
      <c r="A297" s="314" t="s"/>
      <c r="B297" s="334" t="s">
        <v>682</v>
      </c>
      <c r="C297" s="335" t="s"/>
      <c r="D297" s="310" t="s"/>
      <c r="E297" s="336">
        <f>=$C297</f>
        <v>0</v>
      </c>
      <c r="F297" s="336">
        <f>=$C297</f>
        <v>0</v>
      </c>
      <c r="G297" s="336">
        <f>=$C297</f>
        <v>0</v>
      </c>
      <c r="H297" s="336">
        <f>=$C297</f>
        <v>0</v>
      </c>
      <c r="I297" s="336">
        <f>=$C297</f>
        <v>0</v>
      </c>
      <c r="J297" s="336">
        <f>=$C297</f>
        <v>0</v>
      </c>
      <c r="K297" s="336">
        <f>=$C297</f>
        <v>0</v>
      </c>
      <c r="L297" s="336">
        <f>=$C297</f>
        <v>0</v>
      </c>
      <c r="M297" s="336">
        <f>=$C297</f>
        <v>0</v>
      </c>
      <c r="N297" s="336">
        <f>=$C297</f>
        <v>0</v>
      </c>
      <c r="O297" s="336">
        <f>=$C297</f>
        <v>0</v>
      </c>
      <c r="P297" s="336">
        <f>=$C297</f>
        <v>0</v>
      </c>
      <c r="Q297" s="336">
        <f>=$C297</f>
        <v>0</v>
      </c>
      <c r="R297" s="336">
        <f>=$C297</f>
        <v>0</v>
      </c>
      <c r="S297" s="336">
        <f>=$C297</f>
        <v>0</v>
      </c>
      <c r="T297" s="336">
        <f>=$C297</f>
        <v>0</v>
      </c>
      <c r="U297" s="336">
        <f>=$C297</f>
        <v>0</v>
      </c>
      <c r="V297" s="336">
        <f>=$C297</f>
        <v>0</v>
      </c>
      <c r="W297" s="336">
        <f>=$C297</f>
        <v>0</v>
      </c>
      <c r="X297" s="336">
        <f>=$C297</f>
        <v>0</v>
      </c>
      <c r="Y297" s="336">
        <f>=$C297</f>
        <v>0</v>
      </c>
      <c r="Z297" s="336">
        <f>=$C297</f>
        <v>0</v>
      </c>
    </row>
    <row r="298" spans="1:26" ht="12" customHeight="true">
      <c r="A298" s="314" t="s"/>
      <c r="B298" s="334" t="s">
        <v>656</v>
      </c>
      <c r="C298" s="337" t="s"/>
      <c r="D298" s="345">
        <f>=SUM(E298:Z298)</f>
        <v>0</v>
      </c>
      <c r="E298" s="306">
        <f>=IF(E295=0,E296*E297/(1+E297),E296*E297)</f>
        <v>0</v>
      </c>
      <c r="F298" s="306">
        <f>=IF(F295=0,F296*F297/(1+F297),F296*F297)</f>
        <v>0</v>
      </c>
      <c r="G298" s="306">
        <f>=IF(G295=0,G296*G297/(1+G297),G296*G297)</f>
        <v>0</v>
      </c>
      <c r="H298" s="306">
        <f>=IF(H295=0,H296*H297/(1+H297),H296*H297)</f>
        <v>0</v>
      </c>
      <c r="I298" s="306">
        <f>=IF(I295=0,I296*I297/(1+I297),I296*I297)</f>
        <v>0</v>
      </c>
      <c r="J298" s="306">
        <f>=IF(J295=0,J296*J297/(1+J297),J296*J297)</f>
        <v>0</v>
      </c>
      <c r="K298" s="306">
        <f>=IF(K295=0,K296*K297/(1+K297),K296*K297)</f>
        <v>0</v>
      </c>
      <c r="L298" s="306">
        <f>=IF(L295=0,L296*L297/(1+L297),L296*L297)</f>
        <v>0</v>
      </c>
      <c r="M298" s="306">
        <f>=IF(M295=0,M296*M297/(1+M297),M296*M297)</f>
        <v>0</v>
      </c>
      <c r="N298" s="306">
        <f>=IF(N295=0,N296*N297/(1+N297),N296*N297)</f>
        <v>0</v>
      </c>
      <c r="O298" s="306">
        <f>=IF(O295=0,O296*O297/(1+O297),O296*O297)</f>
        <v>0</v>
      </c>
      <c r="P298" s="306">
        <f>=IF(P295=0,P296*P297/(1+P297),P296*P297)</f>
        <v>0</v>
      </c>
      <c r="Q298" s="306">
        <f>=IF(Q295=0,Q296*Q297/(1+Q297),Q296*Q297)</f>
        <v>0</v>
      </c>
      <c r="R298" s="306">
        <f>=IF(R295=0,R296*R297/(1+R297),R296*R297)</f>
        <v>0</v>
      </c>
      <c r="S298" s="306">
        <f>=IF(S295=0,S296*S297/(1+S297),S296*S297)</f>
        <v>0</v>
      </c>
      <c r="T298" s="306">
        <f>=IF(T295=0,T296*T297/(1+T297),T296*T297)</f>
        <v>0</v>
      </c>
      <c r="U298" s="306">
        <f>=IF(U295=0,U296*U297/(1+U297),U296*U297)</f>
        <v>0</v>
      </c>
      <c r="V298" s="306">
        <f>=IF(V295=0,V296*V297/(1+V297),V296*V297)</f>
        <v>0</v>
      </c>
      <c r="W298" s="306">
        <f>=IF(W295=0,W296*W297/(1+W297),W296*W297)</f>
        <v>0</v>
      </c>
      <c r="X298" s="306">
        <f>=IF(X295=0,X296*X297/(1+X297),X296*X297)</f>
        <v>0</v>
      </c>
      <c r="Y298" s="306">
        <f>=IF(Y295=0,Y296*Y297/(1+Y297),Y296*Y297)</f>
        <v>0</v>
      </c>
      <c r="Z298" s="306">
        <f>=IF(Z295=0,Z296*Z297/(1+Z297),Z296*Z297)</f>
        <v>0</v>
      </c>
    </row>
    <row r="299" spans="1:26" ht="12" customHeight="true">
      <c r="A299" s="314" t="s"/>
      <c r="B299" s="334" t="s">
        <v>1242</v>
      </c>
      <c r="C299" s="337" t="s"/>
      <c r="D299" s="345">
        <f>=SUM(E299:Z299)</f>
        <v>0</v>
      </c>
      <c r="E299" s="306">
        <f>=IF(E295=0,E294,E296+E298)</f>
        <v>0</v>
      </c>
      <c r="F299" s="306">
        <f>=IF(F295=0,F294,F296+F298)</f>
        <v>0</v>
      </c>
      <c r="G299" s="306">
        <f>=IF(G295=0,G294,G296+G298)</f>
        <v>0</v>
      </c>
      <c r="H299" s="306">
        <f>=IF(H295=0,H294,H296+H298)</f>
        <v>0</v>
      </c>
      <c r="I299" s="306">
        <f>=IF(I295=0,I294,I296+I298)</f>
        <v>0</v>
      </c>
      <c r="J299" s="306">
        <f>=IF(J295=0,J294,J296+J298)</f>
        <v>0</v>
      </c>
      <c r="K299" s="306">
        <f>=IF(K295=0,K294,K296+K298)</f>
        <v>0</v>
      </c>
      <c r="L299" s="306">
        <f>=IF(L295=0,L294,L296+L298)</f>
        <v>0</v>
      </c>
      <c r="M299" s="306">
        <f>=IF(M295=0,M294,M296+M298)</f>
        <v>0</v>
      </c>
      <c r="N299" s="306">
        <f>=IF(N295=0,N294,N296+N298)</f>
        <v>0</v>
      </c>
      <c r="O299" s="306">
        <f>=IF(O295=0,O294,O296+O298)</f>
        <v>0</v>
      </c>
      <c r="P299" s="306">
        <f>=IF(P295=0,P294,P296+P298)</f>
        <v>0</v>
      </c>
      <c r="Q299" s="306">
        <f>=IF(Q295=0,Q294,Q296+Q298)</f>
        <v>0</v>
      </c>
      <c r="R299" s="306">
        <f>=IF(R295=0,R294,R296+R298)</f>
        <v>0</v>
      </c>
      <c r="S299" s="306">
        <f>=IF(S295=0,S294,S296+S298)</f>
        <v>0</v>
      </c>
      <c r="T299" s="306">
        <f>=IF(T295=0,T294,T296+T298)</f>
        <v>0</v>
      </c>
      <c r="U299" s="306">
        <f>=IF(U295=0,U294,U296+U298)</f>
        <v>0</v>
      </c>
      <c r="V299" s="306">
        <f>=IF(V295=0,V294,V296+V298)</f>
        <v>0</v>
      </c>
      <c r="W299" s="306">
        <f>=IF(W295=0,W294,W296+W298)</f>
        <v>0</v>
      </c>
      <c r="X299" s="306">
        <f>=IF(X295=0,X294,X296+X298)</f>
        <v>0</v>
      </c>
      <c r="Y299" s="306">
        <f>=IF(Y295=0,Y294,Y296+Y298)</f>
        <v>0</v>
      </c>
      <c r="Z299" s="306">
        <f>=IF(Z295=0,Z294,Z296+Z298)</f>
        <v>0</v>
      </c>
    </row>
    <row r="301" spans="1:1" ht="12" customHeight="true">
      <c r="A301" s="188" t="s">
        <v>1249</v>
      </c>
    </row>
    <row r="302" spans="1:1" ht="12" customHeight="true">
      <c r="A302" s="188" t="s">
        <v>1250</v>
      </c>
    </row>
    <row r="303" spans="1:1" ht="12" customHeight="true">
      <c r="A303" s="188" t="s">
        <v>1251</v>
      </c>
    </row>
    <row r="304" spans="1:1" ht="12" customHeight="true">
      <c r="A304" s="188" t="s">
        <v>1252</v>
      </c>
    </row>
  </sheetData>
  <sheetProtection/>
  <mergeCells count="121">
    <mergeCell ref="B5:C5"/>
    <mergeCell ref="B6:C6"/>
    <mergeCell ref="B7:C7"/>
    <mergeCell ref="B8:C8"/>
    <mergeCell ref="B9:C9"/>
    <mergeCell ref="B10:C10"/>
    <mergeCell ref="B11:C11"/>
    <mergeCell ref="B14:C14"/>
    <mergeCell ref="B15:C15"/>
    <mergeCell ref="B16:C16"/>
    <mergeCell ref="B17:C17"/>
    <mergeCell ref="B18:C18"/>
    <mergeCell ref="B19:C19"/>
    <mergeCell ref="B20:C20"/>
    <mergeCell ref="B22:C22"/>
    <mergeCell ref="B24:C24"/>
    <mergeCell ref="B30:C30"/>
    <mergeCell ref="B31:C31"/>
    <mergeCell ref="B33:C33"/>
    <mergeCell ref="B35:C35"/>
    <mergeCell ref="B41:C41"/>
    <mergeCell ref="B42:C42"/>
    <mergeCell ref="B44:C44"/>
    <mergeCell ref="B46:C46"/>
    <mergeCell ref="B52:C52"/>
    <mergeCell ref="B53:C53"/>
    <mergeCell ref="B55:C55"/>
    <mergeCell ref="B57:C57"/>
    <mergeCell ref="B63:C63"/>
    <mergeCell ref="B64:C64"/>
    <mergeCell ref="B66:C66"/>
    <mergeCell ref="B68:C68"/>
    <mergeCell ref="B74:C74"/>
    <mergeCell ref="B75:C75"/>
    <mergeCell ref="B77:C77"/>
    <mergeCell ref="B79:C79"/>
    <mergeCell ref="B85:C85"/>
    <mergeCell ref="B86:C86"/>
    <mergeCell ref="B88:C88"/>
    <mergeCell ref="B90:C90"/>
    <mergeCell ref="B96:C96"/>
    <mergeCell ref="B97:C97"/>
    <mergeCell ref="B99:C99"/>
    <mergeCell ref="B101:C101"/>
    <mergeCell ref="B107:C107"/>
    <mergeCell ref="B108:C108"/>
    <mergeCell ref="B110:C110"/>
    <mergeCell ref="B112:C112"/>
    <mergeCell ref="B118:C118"/>
    <mergeCell ref="B119:C119"/>
    <mergeCell ref="B121:C121"/>
    <mergeCell ref="B123:C123"/>
    <mergeCell ref="B129:C129"/>
    <mergeCell ref="B130:C130"/>
    <mergeCell ref="B131:C131"/>
    <mergeCell ref="B133:C133"/>
    <mergeCell ref="B135:C135"/>
    <mergeCell ref="B141:C141"/>
    <mergeCell ref="B142:C142"/>
    <mergeCell ref="B144:C144"/>
    <mergeCell ref="B146:C146"/>
    <mergeCell ref="B152:C152"/>
    <mergeCell ref="B153:C153"/>
    <mergeCell ref="B155:C155"/>
    <mergeCell ref="B157:C157"/>
    <mergeCell ref="B163:C163"/>
    <mergeCell ref="B164:C164"/>
    <mergeCell ref="B166:C166"/>
    <mergeCell ref="B168:C168"/>
    <mergeCell ref="B174:C174"/>
    <mergeCell ref="B175:C175"/>
    <mergeCell ref="B177:C177"/>
    <mergeCell ref="B179:C179"/>
    <mergeCell ref="B185:C185"/>
    <mergeCell ref="B186:C186"/>
    <mergeCell ref="B187:C187"/>
    <mergeCell ref="B189:C189"/>
    <mergeCell ref="B191:C191"/>
    <mergeCell ref="B197:C197"/>
    <mergeCell ref="B198:C198"/>
    <mergeCell ref="B200:C200"/>
    <mergeCell ref="B202:C202"/>
    <mergeCell ref="B208:C208"/>
    <mergeCell ref="B209:C209"/>
    <mergeCell ref="B210:C210"/>
    <mergeCell ref="B212:C212"/>
    <mergeCell ref="B214:C214"/>
    <mergeCell ref="B220:C220"/>
    <mergeCell ref="B221:C221"/>
    <mergeCell ref="B223:C223"/>
    <mergeCell ref="B225:C225"/>
    <mergeCell ref="B231:C231"/>
    <mergeCell ref="B232:C232"/>
    <mergeCell ref="B233:C233"/>
    <mergeCell ref="B235:C235"/>
    <mergeCell ref="B237:C237"/>
    <mergeCell ref="B243:C243"/>
    <mergeCell ref="B244:C244"/>
    <mergeCell ref="B246:C246"/>
    <mergeCell ref="B248:C248"/>
    <mergeCell ref="B254:C254"/>
    <mergeCell ref="B255:C255"/>
    <mergeCell ref="B256:C256"/>
    <mergeCell ref="B258:C258"/>
    <mergeCell ref="B260:C260"/>
    <mergeCell ref="B266:C266"/>
    <mergeCell ref="B267:C267"/>
    <mergeCell ref="B269:C269"/>
    <mergeCell ref="B271:C271"/>
    <mergeCell ref="B277:C277"/>
    <mergeCell ref="B278:C278"/>
    <mergeCell ref="B279:C279"/>
    <mergeCell ref="B281:C281"/>
    <mergeCell ref="B283:C283"/>
    <mergeCell ref="B289:C289"/>
    <mergeCell ref="B290:C290"/>
    <mergeCell ref="B292:C292"/>
    <mergeCell ref="B294:C294"/>
    <mergeCell ref="A3:A4"/>
    <mergeCell ref="D3:D4"/>
    <mergeCell ref="B3:C4"/>
  </mergeCells>
  <dataValidations>
    <dataValidation type="list" operator="between" allowBlank="true" showInputMessage="true" showErrorMessage="true" sqref="D20">
      <formula1>"本币,美元,其他外币"</formula1>
    </dataValidation>
    <dataValidation type="list" operator="between" allowBlank="true" showInputMessage="true" showErrorMessage="true" sqref="D31">
      <formula1>"本币,美元,其他外币"</formula1>
    </dataValidation>
    <dataValidation type="list" operator="between" allowBlank="true" showInputMessage="true" showErrorMessage="true" sqref="D42">
      <formula1>"本币,美元,其他外币"</formula1>
    </dataValidation>
    <dataValidation type="list" operator="between" allowBlank="true" showInputMessage="true" showErrorMessage="true" sqref="D53">
      <formula1>"本币,美元,其他外币"</formula1>
    </dataValidation>
    <dataValidation type="list" operator="between" allowBlank="true" showInputMessage="true" showErrorMessage="true" sqref="D64">
      <formula1>"本币,美元,其他外币"</formula1>
    </dataValidation>
    <dataValidation type="list" operator="between" allowBlank="true" showInputMessage="true" showErrorMessage="true" sqref="D75">
      <formula1>"本币,美元,其他外币"</formula1>
    </dataValidation>
    <dataValidation type="list" operator="between" allowBlank="true" showInputMessage="true" showErrorMessage="true" sqref="D86">
      <formula1>"本币,美元,其他外币"</formula1>
    </dataValidation>
    <dataValidation type="list" operator="between" allowBlank="true" showInputMessage="true" showErrorMessage="true" sqref="D97">
      <formula1>"本币,美元,其他外币"</formula1>
    </dataValidation>
    <dataValidation type="list" operator="between" allowBlank="true" showInputMessage="true" showErrorMessage="true" sqref="D108">
      <formula1>"本币,美元,其他外币"</formula1>
    </dataValidation>
    <dataValidation type="list" operator="between" allowBlank="true" showInputMessage="true" showErrorMessage="true" sqref="D119">
      <formula1>"本币,美元,其他外币"</formula1>
    </dataValidation>
    <dataValidation type="list" operator="between" allowBlank="true" showInputMessage="true" showErrorMessage="true" sqref="D131">
      <formula1>"本币,美元,其他外币"</formula1>
    </dataValidation>
    <dataValidation type="list" operator="between" allowBlank="true" showInputMessage="true" showErrorMessage="true" sqref="D142">
      <formula1>"本币,美元,其他外币"</formula1>
    </dataValidation>
    <dataValidation type="list" operator="between" allowBlank="true" showInputMessage="true" showErrorMessage="true" sqref="D153">
      <formula1>"本币,美元,其他外币"</formula1>
    </dataValidation>
    <dataValidation type="list" operator="between" allowBlank="true" showInputMessage="true" showErrorMessage="true" sqref="D164">
      <formula1>"本币,美元,其他外币"</formula1>
    </dataValidation>
    <dataValidation type="list" operator="between" allowBlank="true" showInputMessage="true" showErrorMessage="true" sqref="D175">
      <formula1>"本币,美元,其他外币"</formula1>
    </dataValidation>
    <dataValidation type="list" operator="between" allowBlank="true" showInputMessage="true" showErrorMessage="true" sqref="D187">
      <formula1>"本币,美元,其他外币"</formula1>
    </dataValidation>
    <dataValidation type="list" operator="between" allowBlank="true" showInputMessage="true" showErrorMessage="true" sqref="D198">
      <formula1>"本币,美元,其他外币"</formula1>
    </dataValidation>
    <dataValidation type="list" operator="between" allowBlank="true" showInputMessage="true" showErrorMessage="true" sqref="D210">
      <formula1>"本币,美元,其他外币"</formula1>
    </dataValidation>
    <dataValidation type="list" operator="between" allowBlank="true" showInputMessage="true" showErrorMessage="true" sqref="D221">
      <formula1>"本币,美元,其他外币"</formula1>
    </dataValidation>
    <dataValidation type="list" operator="between" allowBlank="true" showInputMessage="true" showErrorMessage="true" sqref="D233">
      <formula1>"本币,美元,其他外币"</formula1>
    </dataValidation>
    <dataValidation type="list" operator="between" allowBlank="true" showInputMessage="true" showErrorMessage="true" sqref="D244">
      <formula1>"本币,美元,其他外币"</formula1>
    </dataValidation>
    <dataValidation type="list" operator="between" allowBlank="true" showInputMessage="true" showErrorMessage="true" sqref="D256">
      <formula1>"本币,美元,其他外币"</formula1>
    </dataValidation>
    <dataValidation type="list" operator="between" allowBlank="true" showInputMessage="true" showErrorMessage="true" sqref="D267">
      <formula1>"本币,美元,其他外币"</formula1>
    </dataValidation>
    <dataValidation type="list" operator="between" allowBlank="true" showInputMessage="true" showErrorMessage="true" sqref="D279">
      <formula1>"本币,美元,其他外币"</formula1>
    </dataValidation>
    <dataValidation type="list" operator="between" allowBlank="true" showInputMessage="true" showErrorMessage="true" sqref="D290">
      <formula1>"本币,美元,其他外币"</formula1>
    </dataValidation>
  </dataValidations>
  <printOptions horizontalCentered="true"/>
  <pageMargins left="0.551181" right="0.551181" top="0.984252" bottom="0.984252" header="0.511811" footer="0.511811"/>
  <pageSetup paperSize="9" orientation="landscape" blackAndWhite="true"/>
  <headerFooter alignWithMargins="false"/>
  <legacyDrawing r:id="rId0"/>
</worksheet>
</file>

<file path=xl/worksheets/sheet15.xml><?xml version="1.0" encoding="utf-8"?>
<worksheet xmlns:r="http://schemas.openxmlformats.org/officeDocument/2006/relationships" xmlns="http://schemas.openxmlformats.org/spreadsheetml/2006/main">
  <sheetPr/>
  <dimension ref="AH218"/>
  <sheetViews>
    <sheetView showGridLines="false" showZeros="false" showOutlineSymbols="false" topLeftCell="A1" workbookViewId="0">
      <pane xSplit="2" ySplit="4" topLeftCell="C5" activePane="bottomRight" state="frozen"/>
    </sheetView>
  </sheetViews>
  <sheetFormatPr defaultColWidth="9" defaultRowHeight="11.25"/>
  <cols>
    <col min="1" max="1" width="6.625" style="698"/>
    <col min="2" max="2" width="20.625" style="698"/>
    <col min="3" max="3" width="10.625" style="698"/>
    <col min="4" max="4" width="14.125" style="698"/>
    <col min="5" max="6" width="9" style="698"/>
    <col min="7" max="10" width="10.625" style="698"/>
    <col min="11" max="12" width="9" style="698"/>
    <col min="13" max="33" width="10.625" style="698"/>
  </cols>
  <sheetData>
    <row r="1" spans="1:32" ht="12" customHeight="true">
      <c r="A1" s="347" t="s"/>
      <c r="B1" s="348" t="s"/>
      <c r="C1" s="348" t="s"/>
      <c r="D1" s="348" t="s"/>
      <c r="E1" s="348" t="s"/>
      <c r="F1" s="348" t="s"/>
      <c r="G1" s="348" t="s"/>
      <c r="H1" s="348" t="s"/>
      <c r="I1" s="348" t="s"/>
      <c r="J1" s="348" t="s"/>
      <c r="K1" s="348" t="s">
        <v>692</v>
      </c>
      <c r="L1" s="348" t="s"/>
      <c r="M1" s="348" t="s"/>
      <c r="N1" s="348" t="s"/>
      <c r="O1" s="348" t="s"/>
      <c r="P1" s="348" t="s"/>
      <c r="Q1" s="348" t="s"/>
      <c r="R1" s="348" t="s"/>
      <c r="S1" s="348" t="s"/>
      <c r="T1" s="348" t="s"/>
      <c r="U1" s="348" t="s"/>
      <c r="V1" s="348" t="s"/>
      <c r="W1" s="348" t="s"/>
      <c r="X1" s="348" t="s"/>
      <c r="Y1" s="348" t="s"/>
      <c r="Z1" s="348" t="s"/>
      <c r="AA1" s="348" t="s"/>
      <c r="AB1" s="348" t="s"/>
      <c r="AC1" s="348" t="s"/>
      <c r="AD1" s="348" t="s"/>
      <c r="AE1" s="348" t="s"/>
      <c r="AF1" s="348" t="s"/>
    </row>
    <row r="2" spans="1:32" ht="12" customHeight="true">
      <c r="A2" s="349" t="s">
        <v>693</v>
      </c>
      <c r="C2" s="350" t="s">
        <v>438</v>
      </c>
      <c r="D2" s="350" t="s"/>
      <c r="E2" s="350" t="s"/>
      <c r="F2" s="350" t="s"/>
      <c r="G2" s="350" t="s"/>
      <c r="H2" s="350" t="s"/>
      <c r="I2" s="350" t="s"/>
      <c r="J2" s="350" t="s"/>
      <c r="K2" s="350" t="s">
        <v>438</v>
      </c>
      <c r="L2" s="350" t="s"/>
      <c r="M2" s="350" t="s"/>
      <c r="N2" s="350" t="s"/>
      <c r="O2" s="350" t="s"/>
      <c r="P2" s="350" t="s"/>
      <c r="Q2" s="350" t="s"/>
      <c r="R2" s="350" t="s"/>
      <c r="S2" s="350" t="s"/>
      <c r="T2" s="350" t="s"/>
      <c r="U2" s="350" t="s"/>
      <c r="V2" s="350" t="s"/>
      <c r="W2" s="350" t="s"/>
      <c r="X2" s="350" t="s"/>
      <c r="Y2" s="350" t="s"/>
      <c r="Z2" s="350" t="s"/>
      <c r="AA2" s="350" t="s"/>
      <c r="AB2" s="350" t="s"/>
      <c r="AC2" s="350" t="s"/>
      <c r="AD2" s="350" t="s"/>
      <c r="AE2" s="350" t="s"/>
      <c r="AF2" s="350" t="s"/>
    </row>
    <row r="3" spans="1:32" ht="12" customHeight="true">
      <c r="A3" s="351" t="s">
        <v>525</v>
      </c>
      <c r="B3" s="351" t="s">
        <v>694</v>
      </c>
      <c r="C3" s="351" t="s">
        <v>695</v>
      </c>
      <c r="D3" s="351" t="s">
        <v>696</v>
      </c>
      <c r="E3" s="351" t="s">
        <v>682</v>
      </c>
      <c r="F3" s="351" t="s">
        <v>697</v>
      </c>
      <c r="G3" s="351" t="s">
        <v>698</v>
      </c>
      <c r="H3" s="351" t="s">
        <v>699</v>
      </c>
      <c r="I3" s="351" t="s">
        <v>700</v>
      </c>
      <c r="J3" s="351" t="s">
        <v>701</v>
      </c>
      <c r="K3" s="352" t="s">
        <v>620</v>
      </c>
      <c r="L3" s="353" t="s"/>
      <c r="M3" s="352" t="s">
        <v>621</v>
      </c>
      <c r="N3" s="353" t="s"/>
      <c r="O3" s="353" t="s"/>
      <c r="P3" s="353" t="s"/>
      <c r="Q3" s="353" t="s"/>
      <c r="R3" s="353" t="s"/>
      <c r="S3" s="353" t="s"/>
      <c r="T3" s="353" t="s"/>
      <c r="U3" s="353" t="s"/>
      <c r="V3" s="353" t="s"/>
      <c r="W3" s="353" t="s"/>
      <c r="X3" s="353" t="s"/>
      <c r="Y3" s="353" t="s"/>
      <c r="Z3" s="353" t="s"/>
      <c r="AA3" s="353" t="s"/>
      <c r="AB3" s="353" t="s"/>
      <c r="AC3" s="353" t="s"/>
      <c r="AD3" s="353" t="s"/>
      <c r="AE3" s="353" t="s"/>
      <c r="AF3" s="353" t="s"/>
    </row>
    <row r="4" spans="1:32" ht="12" customHeight="true">
      <c r="A4" s="354" t="s"/>
      <c r="B4" s="355" t="s"/>
      <c r="C4" s="356" t="s"/>
      <c r="D4" s="356" t="s"/>
      <c r="E4" s="356" t="s"/>
      <c r="F4" s="356" t="s"/>
      <c r="G4" s="355" t="s"/>
      <c r="H4" s="355" t="s"/>
      <c r="I4" s="355" t="s"/>
      <c r="J4" s="355" t="s"/>
      <c r="K4" s="294" t="s">
        <v>622</v>
      </c>
      <c r="L4" s="294" t="s">
        <v>623</v>
      </c>
      <c r="M4" s="294" t="s">
        <v>622</v>
      </c>
      <c r="N4" s="294" t="s">
        <v>623</v>
      </c>
      <c r="O4" s="294" t="s">
        <v>624</v>
      </c>
      <c r="P4" s="294" t="s">
        <v>625</v>
      </c>
      <c r="Q4" s="294" t="s">
        <v>626</v>
      </c>
      <c r="R4" s="294" t="s">
        <v>627</v>
      </c>
      <c r="S4" s="294" t="s">
        <v>628</v>
      </c>
      <c r="T4" s="294" t="s">
        <v>629</v>
      </c>
      <c r="U4" s="294" t="s">
        <v>630</v>
      </c>
      <c r="V4" s="294" t="s">
        <v>631</v>
      </c>
      <c r="W4" s="294" t="s">
        <v>632</v>
      </c>
      <c r="X4" s="294" t="s">
        <v>633</v>
      </c>
      <c r="Y4" s="294" t="s">
        <v>634</v>
      </c>
      <c r="Z4" s="294" t="s">
        <v>635</v>
      </c>
      <c r="AA4" s="294" t="s">
        <v>636</v>
      </c>
      <c r="AB4" s="294" t="s">
        <v>702</v>
      </c>
      <c r="AC4" s="294" t="s">
        <v>703</v>
      </c>
      <c r="AD4" s="294" t="s">
        <v>637</v>
      </c>
      <c r="AE4" s="294" t="s">
        <v>638</v>
      </c>
      <c r="AF4" s="294" t="s">
        <v>639</v>
      </c>
    </row>
    <row r="5" spans="1:32" ht="12" customHeight="true">
      <c r="A5" s="297" t="s">
        <v>442</v>
      </c>
      <c r="B5" s="297" t="s">
        <v>443</v>
      </c>
      <c r="C5" s="357">
        <f>=C13+C141</f>
        <v>8679.394088484</v>
      </c>
      <c r="D5" s="358" t="s"/>
      <c r="E5" s="358" t="s"/>
      <c r="F5" s="357">
        <f>=F13+F141</f>
        <v>7680.87972432213</v>
      </c>
      <c r="G5" s="359" t="s"/>
      <c r="H5" s="360" t="s"/>
      <c r="I5" s="360" t="s"/>
      <c r="J5" s="360" t="s"/>
      <c r="K5" s="360" t="s"/>
      <c r="L5" s="360" t="s"/>
      <c r="M5" s="360" t="s"/>
      <c r="N5" s="360" t="s"/>
      <c r="O5" s="360" t="s"/>
      <c r="P5" s="360" t="s"/>
      <c r="Q5" s="360" t="s"/>
      <c r="R5" s="360" t="s"/>
      <c r="S5" s="360" t="s"/>
      <c r="T5" s="360" t="s"/>
      <c r="U5" s="360" t="s"/>
      <c r="V5" s="360" t="s"/>
      <c r="W5" s="360" t="s"/>
      <c r="X5" s="360" t="s"/>
      <c r="Y5" s="360" t="s"/>
      <c r="Z5" s="360" t="s"/>
      <c r="AA5" s="360" t="s"/>
      <c r="AB5" s="360" t="s"/>
      <c r="AC5" s="360" t="s"/>
      <c r="AD5" s="360" t="s"/>
      <c r="AE5" s="360" t="s"/>
      <c r="AF5" s="360" t="s"/>
    </row>
    <row r="6" spans="1:32" ht="12" customHeight="true">
      <c r="A6" s="297" t="s"/>
      <c r="B6" s="361" t="s">
        <v>704</v>
      </c>
      <c r="C6" s="358" t="s"/>
      <c r="D6" s="358" t="s"/>
      <c r="E6" s="358" t="s"/>
      <c r="F6" s="358" t="s"/>
      <c r="G6" s="358" t="s"/>
      <c r="H6" s="358" t="s"/>
      <c r="I6" s="358" t="s"/>
      <c r="J6" s="358" t="s"/>
      <c r="K6" s="357">
        <f>=K14+K142</f>
        <v>0</v>
      </c>
      <c r="L6" s="357">
        <f>=L14+L142</f>
        <v>0</v>
      </c>
      <c r="M6" s="357">
        <f>=M14+M142</f>
        <v>182.42089345265</v>
      </c>
      <c r="N6" s="357">
        <f>=N14+N142</f>
        <v>364.841786905301</v>
      </c>
      <c r="O6" s="357">
        <f>=O14+O142</f>
        <v>364.841786905301</v>
      </c>
      <c r="P6" s="357">
        <f>=P14+P142</f>
        <v>364.841786905301</v>
      </c>
      <c r="Q6" s="357">
        <f>=Q14+Q142</f>
        <v>364.841786905301</v>
      </c>
      <c r="R6" s="357">
        <f>=R14+R142</f>
        <v>364.841786905301</v>
      </c>
      <c r="S6" s="357">
        <f>=S14+S142</f>
        <v>364.841786905301</v>
      </c>
      <c r="T6" s="357">
        <f>=T14+T142</f>
        <v>364.841786905301</v>
      </c>
      <c r="U6" s="357">
        <f>=U14+U142</f>
        <v>364.841786905301</v>
      </c>
      <c r="V6" s="357">
        <f>=V14+V142</f>
        <v>364.841786905301</v>
      </c>
      <c r="W6" s="357">
        <f>=W14+W142</f>
        <v>364.841786905301</v>
      </c>
      <c r="X6" s="357">
        <f>=X14+X142</f>
        <v>364.841786905301</v>
      </c>
      <c r="Y6" s="357">
        <f>=Y14+Y142</f>
        <v>364.841786905301</v>
      </c>
      <c r="Z6" s="357">
        <f>=Z14+Z142</f>
        <v>364.841786905301</v>
      </c>
      <c r="AA6" s="357">
        <f>=AA14+AA142</f>
        <v>364.841786905301</v>
      </c>
      <c r="AB6" s="357">
        <f>=AB14+AB142</f>
        <v>364.841786905301</v>
      </c>
      <c r="AC6" s="357">
        <f>=AC14+AC142</f>
        <v>364.841786905301</v>
      </c>
      <c r="AD6" s="357">
        <f>=AD14+AD142</f>
        <v>364.841786905301</v>
      </c>
      <c r="AE6" s="357">
        <f>=AE14+AE142</f>
        <v>364.841786905301</v>
      </c>
      <c r="AF6" s="357">
        <f>=AF14+AF142</f>
        <v>364.841786905301</v>
      </c>
    </row>
    <row r="7" spans="1:32" ht="12" customHeight="true">
      <c r="A7" s="297" t="s"/>
      <c r="B7" s="297" t="s">
        <v>705</v>
      </c>
      <c r="C7" s="358" t="s"/>
      <c r="D7" s="358" t="s"/>
      <c r="E7" s="358" t="s"/>
      <c r="F7" s="358" t="s"/>
      <c r="G7" s="358" t="s"/>
      <c r="H7" s="358" t="s"/>
      <c r="I7" s="358" t="s"/>
      <c r="J7" s="358" t="s"/>
      <c r="K7" s="357">
        <f>=K15+K143</f>
        <v>0</v>
      </c>
      <c r="L7" s="357">
        <f>=L15+L143</f>
        <v>0</v>
      </c>
      <c r="M7" s="357">
        <f>=M15+M143</f>
        <v>7498.45883086948</v>
      </c>
      <c r="N7" s="357">
        <f>=N15+N143</f>
        <v>7133.61704396417</v>
      </c>
      <c r="O7" s="357">
        <f>=O15+O143</f>
        <v>6768.77525705887</v>
      </c>
      <c r="P7" s="357">
        <f>=P15+P143</f>
        <v>6403.93347015357</v>
      </c>
      <c r="Q7" s="357">
        <f>=Q15+Q143</f>
        <v>6039.09168324827</v>
      </c>
      <c r="R7" s="357">
        <f>=R15+R143</f>
        <v>5674.24989634297</v>
      </c>
      <c r="S7" s="357">
        <f>=S15+S143</f>
        <v>5309.40810943767</v>
      </c>
      <c r="T7" s="357">
        <f>=T15+T143</f>
        <v>4944.56632253237</v>
      </c>
      <c r="U7" s="357">
        <f>=U15+U143</f>
        <v>4579.72453562707</v>
      </c>
      <c r="V7" s="357">
        <f>=V15+V143</f>
        <v>4214.88274872177</v>
      </c>
      <c r="W7" s="357">
        <f>=W15+W143</f>
        <v>3850.04096181646</v>
      </c>
      <c r="X7" s="357">
        <f>=X15+X143</f>
        <v>3485.19917491116</v>
      </c>
      <c r="Y7" s="357">
        <f>=Y15+Y143</f>
        <v>3120.35738800586</v>
      </c>
      <c r="Z7" s="357">
        <f>=Z15+Z143</f>
        <v>2755.51560110056</v>
      </c>
      <c r="AA7" s="357">
        <f>=AA15+AA143</f>
        <v>2390.67381419526</v>
      </c>
      <c r="AB7" s="357">
        <f>=AB15+AB143</f>
        <v>2025.83202728996</v>
      </c>
      <c r="AC7" s="357">
        <f>=AC15+AC143</f>
        <v>1660.99024038466</v>
      </c>
      <c r="AD7" s="357">
        <f>=AD15+AD143</f>
        <v>1296.14845347936</v>
      </c>
      <c r="AE7" s="357">
        <f>=AE15+AE143</f>
        <v>931.306666574056</v>
      </c>
      <c r="AF7" s="357">
        <f>=AF15+AF143</f>
        <v>566.464879668756</v>
      </c>
    </row>
    <row r="8" spans="1:32" ht="12" customHeight="true">
      <c r="A8" s="297" t="s"/>
      <c r="B8" s="358" t="s">
        <v>706</v>
      </c>
      <c r="C8" s="358" t="s"/>
      <c r="D8" s="358" t="s"/>
      <c r="E8" s="358" t="s"/>
      <c r="F8" s="358" t="s"/>
      <c r="G8" s="358" t="s"/>
      <c r="H8" s="358" t="s"/>
      <c r="I8" s="358" t="s"/>
      <c r="J8" s="358" t="s"/>
      <c r="K8" s="357">
        <f>=K16+K144</f>
        <v>0</v>
      </c>
      <c r="L8" s="357">
        <f>=L16+L144</f>
        <v>0</v>
      </c>
      <c r="M8" s="357">
        <f>=M16+M144</f>
        <v>0</v>
      </c>
      <c r="N8" s="357">
        <f>=N16+N144</f>
        <v>0</v>
      </c>
      <c r="O8" s="357">
        <f>=O16+O144</f>
        <v>0</v>
      </c>
      <c r="P8" s="357">
        <f>=P16+P144</f>
        <v>0</v>
      </c>
      <c r="Q8" s="357">
        <f>=Q16+Q144</f>
        <v>0</v>
      </c>
      <c r="R8" s="357">
        <f>=R16+R144</f>
        <v>0</v>
      </c>
      <c r="S8" s="357">
        <f>=S16+S144</f>
        <v>0</v>
      </c>
      <c r="T8" s="357">
        <f>=T16+T144</f>
        <v>0</v>
      </c>
      <c r="U8" s="357">
        <f>=U16+U144</f>
        <v>0</v>
      </c>
      <c r="V8" s="357">
        <f>=V16+V144</f>
        <v>0</v>
      </c>
      <c r="W8" s="357">
        <f>=W16+W144</f>
        <v>0</v>
      </c>
      <c r="X8" s="357">
        <f>=X16+X144</f>
        <v>0</v>
      </c>
      <c r="Y8" s="357">
        <f>=Y16+Y144</f>
        <v>0</v>
      </c>
      <c r="Z8" s="357">
        <f>=Z16+Z144</f>
        <v>0</v>
      </c>
      <c r="AA8" s="357">
        <f>=AA16+AA144</f>
        <v>0</v>
      </c>
      <c r="AB8" s="357">
        <f>=AB16+AB144</f>
        <v>0</v>
      </c>
      <c r="AC8" s="357">
        <f>=AC16+AC144</f>
        <v>0</v>
      </c>
      <c r="AD8" s="357">
        <f>=AD16+AD144</f>
        <v>0</v>
      </c>
      <c r="AE8" s="357">
        <f>=AE16+AE144</f>
        <v>0</v>
      </c>
      <c r="AF8" s="357">
        <f>=AF16+AF144</f>
        <v>0</v>
      </c>
    </row>
    <row r="9" spans="1:32" ht="12" customHeight="true">
      <c r="A9" s="297" t="s"/>
      <c r="B9" s="358" t="s">
        <v>707</v>
      </c>
      <c r="C9" s="358" t="s"/>
      <c r="D9" s="358" t="s"/>
      <c r="E9" s="358" t="s"/>
      <c r="F9" s="358" t="s"/>
      <c r="G9" s="358" t="s"/>
      <c r="H9" s="358" t="s"/>
      <c r="I9" s="358" t="s"/>
      <c r="J9" s="358" t="s"/>
      <c r="K9" s="357">
        <f>=K17+K145</f>
        <v>0</v>
      </c>
      <c r="L9" s="357">
        <f>=L17+L145</f>
        <v>0</v>
      </c>
      <c r="M9" s="357">
        <f>=M17+M145</f>
        <v>0</v>
      </c>
      <c r="N9" s="357">
        <f>=N17+N145</f>
        <v>0</v>
      </c>
      <c r="O9" s="357">
        <f>=O17+O145</f>
        <v>0</v>
      </c>
      <c r="P9" s="357">
        <f>=P17+P145</f>
        <v>0</v>
      </c>
      <c r="Q9" s="357">
        <f>=Q17+Q145</f>
        <v>0</v>
      </c>
      <c r="R9" s="357">
        <f>=R17+R145</f>
        <v>0</v>
      </c>
      <c r="S9" s="357">
        <f>=S17+S145</f>
        <v>0</v>
      </c>
      <c r="T9" s="357">
        <f>=T17+T145</f>
        <v>0</v>
      </c>
      <c r="U9" s="357">
        <f>=U17+U145</f>
        <v>0</v>
      </c>
      <c r="V9" s="357">
        <f>=V17+V145</f>
        <v>0</v>
      </c>
      <c r="W9" s="357">
        <f>=W17+W145</f>
        <v>0</v>
      </c>
      <c r="X9" s="357">
        <f>=X17+X145</f>
        <v>0</v>
      </c>
      <c r="Y9" s="357">
        <f>=Y17+Y145</f>
        <v>0</v>
      </c>
      <c r="Z9" s="357">
        <f>=Z17+Z145</f>
        <v>0</v>
      </c>
      <c r="AA9" s="357">
        <f>=AA17+AA145</f>
        <v>0</v>
      </c>
      <c r="AB9" s="357">
        <f>=AB17+AB145</f>
        <v>0</v>
      </c>
      <c r="AC9" s="357">
        <f>=AC17+AC145</f>
        <v>0</v>
      </c>
      <c r="AD9" s="357">
        <f>=AD17+AD145</f>
        <v>0</v>
      </c>
      <c r="AE9" s="357">
        <f>=AE17+AE145</f>
        <v>0</v>
      </c>
      <c r="AF9" s="357">
        <f>=AF17+AF145</f>
        <v>0</v>
      </c>
    </row>
    <row r="10" spans="1:32" ht="12" customHeight="true">
      <c r="A10" s="297" t="s"/>
      <c r="B10" s="358" t="s">
        <v>708</v>
      </c>
      <c r="C10" s="358" t="s"/>
      <c r="D10" s="358" t="s"/>
      <c r="E10" s="358" t="s"/>
      <c r="F10" s="358" t="s"/>
      <c r="G10" s="358" t="s"/>
      <c r="H10" s="358" t="s"/>
      <c r="I10" s="358" t="s"/>
      <c r="J10" s="358" t="s"/>
      <c r="K10" s="357">
        <f>=K18+K146</f>
        <v>0</v>
      </c>
      <c r="L10" s="357">
        <f>=L18+L146</f>
        <v>0</v>
      </c>
      <c r="M10" s="357">
        <f>=M18+M146</f>
        <v>0</v>
      </c>
      <c r="N10" s="357">
        <f>=N18+N146</f>
        <v>0</v>
      </c>
      <c r="O10" s="357">
        <f>=O18+O146</f>
        <v>0</v>
      </c>
      <c r="P10" s="357">
        <f>=P18+P146</f>
        <v>0</v>
      </c>
      <c r="Q10" s="357">
        <f>=Q18+Q146</f>
        <v>0</v>
      </c>
      <c r="R10" s="357">
        <f>=R18+R146</f>
        <v>0</v>
      </c>
      <c r="S10" s="357">
        <f>=S18+S146</f>
        <v>0</v>
      </c>
      <c r="T10" s="357">
        <f>=T18+T146</f>
        <v>0</v>
      </c>
      <c r="U10" s="357">
        <f>=U18+U146</f>
        <v>0</v>
      </c>
      <c r="V10" s="357">
        <f>=V18+V146</f>
        <v>0</v>
      </c>
      <c r="W10" s="357">
        <f>=W18+W146</f>
        <v>0</v>
      </c>
      <c r="X10" s="357">
        <f>=X18+X146</f>
        <v>0</v>
      </c>
      <c r="Y10" s="357">
        <f>=Y18+Y146</f>
        <v>0</v>
      </c>
      <c r="Z10" s="357">
        <f>=Z18+Z146</f>
        <v>0</v>
      </c>
      <c r="AA10" s="357">
        <f>=AA18+AA146</f>
        <v>0</v>
      </c>
      <c r="AB10" s="357">
        <f>=AB18+AB146</f>
        <v>0</v>
      </c>
      <c r="AC10" s="357">
        <f>=AC18+AC146</f>
        <v>0</v>
      </c>
      <c r="AD10" s="357">
        <f>=AD18+AD146</f>
        <v>0</v>
      </c>
      <c r="AE10" s="357">
        <f>=AE18+AE146</f>
        <v>0</v>
      </c>
      <c r="AF10" s="357">
        <f>=AF18+AF146</f>
        <v>0</v>
      </c>
    </row>
    <row r="11" spans="1:32" ht="12" customHeight="true">
      <c r="A11" s="297" t="s"/>
      <c r="B11" s="358" t="s">
        <v>709</v>
      </c>
      <c r="C11" s="358" t="s"/>
      <c r="D11" s="358" t="s"/>
      <c r="E11" s="358" t="s"/>
      <c r="F11" s="358" t="s"/>
      <c r="G11" s="358" t="s"/>
      <c r="H11" s="358" t="s"/>
      <c r="I11" s="358" t="s"/>
      <c r="J11" s="358" t="s"/>
      <c r="K11" s="357">
        <f>=K19+K147</f>
        <v>0</v>
      </c>
      <c r="L11" s="357">
        <f>=L19+L147</f>
        <v>0</v>
      </c>
      <c r="M11" s="357">
        <f>=M19+M147</f>
        <v>0</v>
      </c>
      <c r="N11" s="357">
        <f>=N19+N147</f>
        <v>0</v>
      </c>
      <c r="O11" s="357">
        <f>=O19+O147</f>
        <v>0</v>
      </c>
      <c r="P11" s="357">
        <f>=P19+P147</f>
        <v>0</v>
      </c>
      <c r="Q11" s="357">
        <f>=Q19+Q147</f>
        <v>0</v>
      </c>
      <c r="R11" s="357">
        <f>=R19+R147</f>
        <v>0</v>
      </c>
      <c r="S11" s="357">
        <f>=S19+S147</f>
        <v>0</v>
      </c>
      <c r="T11" s="357">
        <f>=T19+T147</f>
        <v>0</v>
      </c>
      <c r="U11" s="357">
        <f>=U19+U147</f>
        <v>0</v>
      </c>
      <c r="V11" s="357">
        <f>=V19+V147</f>
        <v>0</v>
      </c>
      <c r="W11" s="357">
        <f>=W19+W147</f>
        <v>0</v>
      </c>
      <c r="X11" s="357">
        <f>=X19+X147</f>
        <v>3485.19917491116</v>
      </c>
      <c r="Y11" s="357">
        <f>=Y19+Y147</f>
        <v>0</v>
      </c>
      <c r="Z11" s="357">
        <f>=Z19+Z147</f>
        <v>0</v>
      </c>
      <c r="AA11" s="357">
        <f>=AA19+AA147</f>
        <v>0</v>
      </c>
      <c r="AB11" s="357">
        <f>=AB19+AB147</f>
        <v>0</v>
      </c>
      <c r="AC11" s="357">
        <f>=AC19+AC147</f>
        <v>0</v>
      </c>
      <c r="AD11" s="357">
        <f>=AD19+AD147</f>
        <v>0</v>
      </c>
      <c r="AE11" s="357">
        <f>=AE19+AE147</f>
        <v>0</v>
      </c>
      <c r="AF11" s="357">
        <f>=AF19+AF147</f>
        <v>0</v>
      </c>
    </row>
    <row r="12" spans="1:32" ht="12" customHeight="true">
      <c r="A12" s="297" t="s"/>
      <c r="B12" s="358" t="s">
        <v>710</v>
      </c>
      <c r="C12" s="358" t="s"/>
      <c r="D12" s="358" t="s"/>
      <c r="E12" s="358" t="s"/>
      <c r="F12" s="357">
        <f>=F20+F148</f>
        <v>998.514364161876</v>
      </c>
      <c r="G12" s="358" t="s"/>
      <c r="H12" s="358" t="s"/>
      <c r="I12" s="358" t="s"/>
      <c r="J12" s="358" t="s"/>
      <c r="K12" s="357">
        <f>=K20+K148</f>
        <v>0</v>
      </c>
      <c r="L12" s="357">
        <f>=L20+L148</f>
        <v>0</v>
      </c>
      <c r="M12" s="357">
        <f>=M20+M148</f>
        <v>998.514364161876</v>
      </c>
      <c r="N12" s="357">
        <f>=N20+N148</f>
        <v>0</v>
      </c>
      <c r="O12" s="357">
        <f>=O20+O148</f>
        <v>0</v>
      </c>
      <c r="P12" s="357">
        <f>=P20+P148</f>
        <v>0</v>
      </c>
      <c r="Q12" s="357">
        <f>=Q20+Q148</f>
        <v>0</v>
      </c>
      <c r="R12" s="357">
        <f>=R20+R148</f>
        <v>0</v>
      </c>
      <c r="S12" s="357">
        <f>=S20+S148</f>
        <v>0</v>
      </c>
      <c r="T12" s="357">
        <f>=T20+T148</f>
        <v>0</v>
      </c>
      <c r="U12" s="357">
        <f>=U20+U148</f>
        <v>0</v>
      </c>
      <c r="V12" s="357">
        <f>=V20+V148</f>
        <v>0</v>
      </c>
      <c r="W12" s="357">
        <f>=W20+W148</f>
        <v>0</v>
      </c>
      <c r="X12" s="357">
        <f>=X20+X148</f>
        <v>0</v>
      </c>
      <c r="Y12" s="357">
        <f>=Y20+Y148</f>
        <v>0</v>
      </c>
      <c r="Z12" s="357">
        <f>=Z20+Z148</f>
        <v>0</v>
      </c>
      <c r="AA12" s="357">
        <f>=AA20+AA148</f>
        <v>0</v>
      </c>
      <c r="AB12" s="357">
        <f>=AB20+AB148</f>
        <v>0</v>
      </c>
      <c r="AC12" s="357">
        <f>=AC20+AC148</f>
        <v>0</v>
      </c>
      <c r="AD12" s="357">
        <f>=AD20+AD148</f>
        <v>0</v>
      </c>
      <c r="AE12" s="357">
        <f>=AE20+AE148</f>
        <v>0</v>
      </c>
      <c r="AF12" s="357">
        <f>=AF20+AF148</f>
        <v>0</v>
      </c>
    </row>
    <row r="13" spans="1:32" ht="12" customHeight="true">
      <c r="A13" s="297" t="s">
        <v>537</v>
      </c>
      <c r="B13" s="358" t="s">
        <v>711</v>
      </c>
      <c r="C13" s="357">
        <f>=C21+C29+C37+C45+C53+C61+C69+C77+C85+C93+C101+C109+C117+C125+C133</f>
        <v>8679.394088484</v>
      </c>
      <c r="D13" s="358" t="s"/>
      <c r="E13" s="358" t="s"/>
      <c r="F13" s="357">
        <f>=F21+F29+F37+F45+F53+F61+F69+F77+F85+F93+F101+F109+F117+F125+F133</f>
        <v>7680.87972432213</v>
      </c>
      <c r="G13" s="359" t="s"/>
      <c r="H13" s="360" t="s"/>
      <c r="I13" s="360" t="s"/>
      <c r="J13" s="360" t="s"/>
      <c r="K13" s="362" t="s"/>
      <c r="L13" s="362" t="s"/>
      <c r="M13" s="362" t="s"/>
      <c r="N13" s="362" t="s"/>
      <c r="O13" s="362" t="s"/>
      <c r="P13" s="362" t="s"/>
      <c r="Q13" s="362" t="s"/>
      <c r="R13" s="362" t="s"/>
      <c r="S13" s="362" t="s"/>
      <c r="T13" s="362" t="s"/>
      <c r="U13" s="362" t="s"/>
      <c r="V13" s="362" t="s"/>
      <c r="W13" s="362" t="s"/>
      <c r="X13" s="362" t="s"/>
      <c r="Y13" s="362" t="s"/>
      <c r="Z13" s="362" t="s"/>
      <c r="AA13" s="362" t="s"/>
      <c r="AB13" s="362" t="s"/>
      <c r="AC13" s="362" t="s"/>
      <c r="AD13" s="362" t="s"/>
      <c r="AE13" s="362" t="s"/>
      <c r="AF13" s="362" t="s"/>
    </row>
    <row r="14" spans="1:32" ht="12" customHeight="true">
      <c r="A14" s="297" t="s"/>
      <c r="B14" s="361" t="s">
        <v>704</v>
      </c>
      <c r="C14" s="358" t="s"/>
      <c r="D14" s="358" t="s"/>
      <c r="E14" s="358" t="s"/>
      <c r="F14" s="358" t="s"/>
      <c r="G14" s="358" t="s"/>
      <c r="H14" s="358" t="s"/>
      <c r="I14" s="358" t="s"/>
      <c r="J14" s="358" t="s"/>
      <c r="K14" s="357">
        <f>=K22+K30+K38+K46+K54+K62+K70+K78+K86+K94+K102+K110+K118+K126+K134</f>
        <v>0</v>
      </c>
      <c r="L14" s="357">
        <f>=L22+L30+L38+L46+L54+L62+L70+L78+L86+L94+L102+L110+L118+L126+L134</f>
        <v>0</v>
      </c>
      <c r="M14" s="357">
        <f>=M22+M30+M38+M46+M54+M62+M70+M78+M86+M94+M102+M110+M118+M126+M134</f>
        <v>182.42089345265</v>
      </c>
      <c r="N14" s="357">
        <f>=N22+N30+N38+N46+N54+N62+N70+N78+N86+N94+N102+N110+N118+N126+N134</f>
        <v>364.841786905301</v>
      </c>
      <c r="O14" s="357">
        <f>=O22+O30+O38+O46+O54+O62+O70+O78+O86+O94+O102+O110+O118+O126+O134</f>
        <v>364.841786905301</v>
      </c>
      <c r="P14" s="357">
        <f>=P22+P30+P38+P46+P54+P62+P70+P78+P86+P94+P102+P110+P118+P126+P134</f>
        <v>364.841786905301</v>
      </c>
      <c r="Q14" s="357">
        <f>=Q22+Q30+Q38+Q46+Q54+Q62+Q70+Q78+Q86+Q94+Q102+Q110+Q118+Q126+Q134</f>
        <v>364.841786905301</v>
      </c>
      <c r="R14" s="357">
        <f>=R22+R30+R38+R46+R54+R62+R70+R78+R86+R94+R102+R110+R118+R126+R134</f>
        <v>364.841786905301</v>
      </c>
      <c r="S14" s="357">
        <f>=S22+S30+S38+S46+S54+S62+S70+S78+S86+S94+S102+S110+S118+S126+S134</f>
        <v>364.841786905301</v>
      </c>
      <c r="T14" s="357">
        <f>=T22+T30+T38+T46+T54+T62+T70+T78+T86+T94+T102+T110+T118+T126+T134</f>
        <v>364.841786905301</v>
      </c>
      <c r="U14" s="357">
        <f>=U22+U30+U38+U46+U54+U62+U70+U78+U86+U94+U102+U110+U118+U126+U134</f>
        <v>364.841786905301</v>
      </c>
      <c r="V14" s="357">
        <f>=V22+V30+V38+V46+V54+V62+V70+V78+V86+V94+V102+V110+V118+V126+V134</f>
        <v>364.841786905301</v>
      </c>
      <c r="W14" s="357">
        <f>=W22+W30+W38+W46+W54+W62+W70+W78+W86+W94+W102+W110+W118+W126+W134</f>
        <v>364.841786905301</v>
      </c>
      <c r="X14" s="357">
        <f>=X22+X30+X38+X46+X54+X62+X70+X78+X86+X94+X102+X110+X118+X126+X134</f>
        <v>364.841786905301</v>
      </c>
      <c r="Y14" s="357">
        <f>=Y22+Y30+Y38+Y46+Y54+Y62+Y70+Y78+Y86+Y94+Y102+Y110+Y118+Y126+Y134</f>
        <v>364.841786905301</v>
      </c>
      <c r="Z14" s="357">
        <f>=Z22+Z30+Z38+Z46+Z54+Z62+Z70+Z78+Z86+Z94+Z102+Z110+Z118+Z126+Z134</f>
        <v>364.841786905301</v>
      </c>
      <c r="AA14" s="357">
        <f>=AA22+AA30+AA38+AA46+AA54+AA62+AA70+AA78+AA86+AA94+AA102+AA110+AA118+AA126+AA134</f>
        <v>364.841786905301</v>
      </c>
      <c r="AB14" s="357">
        <f>=AB22+AB30+AB38+AB46+AB54+AB62+AB70+AB78+AB86+AB94+AB102+AB110+AB118+AB126+AB134</f>
        <v>364.841786905301</v>
      </c>
      <c r="AC14" s="357">
        <f>=AC22+AC30+AC38+AC46+AC54+AC62+AC70+AC78+AC86+AC94+AC102+AC110+AC118+AC126+AC134</f>
        <v>364.841786905301</v>
      </c>
      <c r="AD14" s="357">
        <f>=AD22+AD30+AD38+AD46+AD54+AD62+AD70+AD78+AD86+AD94+AD102+AD110+AD118+AD126+AD134</f>
        <v>364.841786905301</v>
      </c>
      <c r="AE14" s="357">
        <f>=AE22+AE30+AE38+AE46+AE54+AE62+AE70+AE78+AE86+AE94+AE102+AE110+AE118+AE126+AE134</f>
        <v>364.841786905301</v>
      </c>
      <c r="AF14" s="357">
        <f>=AF22+AF30+AF38+AF46+AF54+AF62+AF70+AF78+AF86+AF94+AF102+AF110+AF118+AF126+AF134</f>
        <v>364.841786905301</v>
      </c>
    </row>
    <row r="15" spans="1:32" ht="12" customHeight="true">
      <c r="A15" s="297" t="s"/>
      <c r="B15" s="358" t="s">
        <v>705</v>
      </c>
      <c r="C15" s="358" t="s"/>
      <c r="D15" s="358" t="s"/>
      <c r="E15" s="358" t="s"/>
      <c r="F15" s="358" t="s"/>
      <c r="G15" s="358" t="s"/>
      <c r="H15" s="358" t="s"/>
      <c r="I15" s="358" t="s"/>
      <c r="J15" s="358" t="s"/>
      <c r="K15" s="357">
        <f>=K23+K31+K39+K47+K55+K63+K71+K79+K87+K95+K103+K111+K119+K127+K135</f>
        <v>0</v>
      </c>
      <c r="L15" s="357">
        <f>=L23+L31+L39+L47+L55+L63+L71+L79+L87+L95+L103+L111+L119+L127+L135</f>
        <v>0</v>
      </c>
      <c r="M15" s="357">
        <f>=M23+M31+M39+M47+M55+M63+M71+M79+M87+M95+M103+M111+M119+M127+M135</f>
        <v>7498.45883086948</v>
      </c>
      <c r="N15" s="357">
        <f>=N23+N31+N39+N47+N55+N63+N71+N79+N87+N95+N103+N111+N119+N127+N135</f>
        <v>7133.61704396417</v>
      </c>
      <c r="O15" s="357">
        <f>=O23+O31+O39+O47+O55+O63+O71+O79+O87+O95+O103+O111+O119+O127+O135</f>
        <v>6768.77525705887</v>
      </c>
      <c r="P15" s="357">
        <f>=P23+P31+P39+P47+P55+P63+P71+P79+P87+P95+P103+P111+P119+P127+P135</f>
        <v>6403.93347015357</v>
      </c>
      <c r="Q15" s="357">
        <f>=Q23+Q31+Q39+Q47+Q55+Q63+Q71+Q79+Q87+Q95+Q103+Q111+Q119+Q127+Q135</f>
        <v>6039.09168324827</v>
      </c>
      <c r="R15" s="357">
        <f>=R23+R31+R39+R47+R55+R63+R71+R79+R87+R95+R103+R111+R119+R127+R135</f>
        <v>5674.24989634297</v>
      </c>
      <c r="S15" s="357">
        <f>=S23+S31+S39+S47+S55+S63+S71+S79+S87+S95+S103+S111+S119+S127+S135</f>
        <v>5309.40810943767</v>
      </c>
      <c r="T15" s="357">
        <f>=T23+T31+T39+T47+T55+T63+T71+T79+T87+T95+T103+T111+T119+T127+T135</f>
        <v>4944.56632253237</v>
      </c>
      <c r="U15" s="357">
        <f>=U23+U31+U39+U47+U55+U63+U71+U79+U87+U95+U103+U111+U119+U127+U135</f>
        <v>4579.72453562707</v>
      </c>
      <c r="V15" s="357">
        <f>=V23+V31+V39+V47+V55+V63+V71+V79+V87+V95+V103+V111+V119+V127+V135</f>
        <v>4214.88274872177</v>
      </c>
      <c r="W15" s="357">
        <f>=W23+W31+W39+W47+W55+W63+W71+W79+W87+W95+W103+W111+W119+W127+W135</f>
        <v>3850.04096181646</v>
      </c>
      <c r="X15" s="357">
        <f>=X23+X31+X39+X47+X55+X63+X71+X79+X87+X95+X103+X111+X119+X127+X135</f>
        <v>3485.19917491116</v>
      </c>
      <c r="Y15" s="357">
        <f>=Y23+Y31+Y39+Y47+Y55+Y63+Y71+Y79+Y87+Y95+Y103+Y111+Y119+Y127+Y135</f>
        <v>3120.35738800586</v>
      </c>
      <c r="Z15" s="357">
        <f>=Z23+Z31+Z39+Z47+Z55+Z63+Z71+Z79+Z87+Z95+Z103+Z111+Z119+Z127+Z135</f>
        <v>2755.51560110056</v>
      </c>
      <c r="AA15" s="357">
        <f>=AA23+AA31+AA39+AA47+AA55+AA63+AA71+AA79+AA87+AA95+AA103+AA111+AA119+AA127+AA135</f>
        <v>2390.67381419526</v>
      </c>
      <c r="AB15" s="357">
        <f>=AB23+AB31+AB39+AB47+AB55+AB63+AB71+AB79+AB87+AB95+AB103+AB111+AB119+AB127+AB135</f>
        <v>2025.83202728996</v>
      </c>
      <c r="AC15" s="357">
        <f>=AC23+AC31+AC39+AC47+AC55+AC63+AC71+AC79+AC87+AC95+AC103+AC111+AC119+AC127+AC135</f>
        <v>1660.99024038466</v>
      </c>
      <c r="AD15" s="357">
        <f>=AD23+AD31+AD39+AD47+AD55+AD63+AD71+AD79+AD87+AD95+AD103+AD111+AD119+AD127+AD135</f>
        <v>1296.14845347936</v>
      </c>
      <c r="AE15" s="357">
        <f>=AE23+AE31+AE39+AE47+AE55+AE63+AE71+AE79+AE87+AE95+AE103+AE111+AE119+AE127+AE135</f>
        <v>931.306666574056</v>
      </c>
      <c r="AF15" s="357">
        <f>=AF23+AF31+AF39+AF47+AF55+AF63+AF71+AF79+AF87+AF95+AF103+AF111+AF119+AF127+AF135</f>
        <v>566.464879668756</v>
      </c>
    </row>
    <row r="16" spans="1:32" ht="12" customHeight="true">
      <c r="A16" s="297" t="s"/>
      <c r="B16" s="358" t="s">
        <v>706</v>
      </c>
      <c r="C16" s="358" t="s"/>
      <c r="D16" s="358" t="s"/>
      <c r="E16" s="358" t="s"/>
      <c r="F16" s="358" t="s"/>
      <c r="G16" s="358" t="s"/>
      <c r="H16" s="358" t="s"/>
      <c r="I16" s="358" t="s"/>
      <c r="J16" s="358" t="s"/>
      <c r="K16" s="357">
        <f>=K24+K32+K40+K48+K56+K64+K72+K80+K88+K96+K104+K112+K120+K128+K136</f>
        <v>0</v>
      </c>
      <c r="L16" s="357">
        <f>=L24+L32+L40+L48+L56+L64+L72+L80+L88+L96+L104+L112+L120+L128+L136</f>
        <v>0</v>
      </c>
      <c r="M16" s="357">
        <f>=M24+M32+M40+M48+M56+M64+M72+M80+M88+M96+M104+M112+M120+M128+M136</f>
        <v>0</v>
      </c>
      <c r="N16" s="357">
        <f>=N24+N32+N40+N48+N56+N64+N72+N80+N88+N96+N104+N112+N120+N128+N136</f>
        <v>0</v>
      </c>
      <c r="O16" s="357">
        <f>=O24+O32+O40+O48+O56+O64+O72+O80+O88+O96+O104+O112+O120+O128+O136</f>
        <v>0</v>
      </c>
      <c r="P16" s="357">
        <f>=P24+P32+P40+P48+P56+P64+P72+P80+P88+P96+P104+P112+P120+P128+P136</f>
        <v>0</v>
      </c>
      <c r="Q16" s="357">
        <f>=Q24+Q32+Q40+Q48+Q56+Q64+Q72+Q80+Q88+Q96+Q104+Q112+Q120+Q128+Q136</f>
        <v>0</v>
      </c>
      <c r="R16" s="357">
        <f>=R24+R32+R40+R48+R56+R64+R72+R80+R88+R96+R104+R112+R120+R128+R136</f>
        <v>0</v>
      </c>
      <c r="S16" s="357">
        <f>=S24+S32+S40+S48+S56+S64+S72+S80+S88+S96+S104+S112+S120+S128+S136</f>
        <v>0</v>
      </c>
      <c r="T16" s="357">
        <f>=T24+T32+T40+T48+T56+T64+T72+T80+T88+T96+T104+T112+T120+T128+T136</f>
        <v>0</v>
      </c>
      <c r="U16" s="357">
        <f>=U24+U32+U40+U48+U56+U64+U72+U80+U88+U96+U104+U112+U120+U128+U136</f>
        <v>0</v>
      </c>
      <c r="V16" s="357">
        <f>=V24+V32+V40+V48+V56+V64+V72+V80+V88+V96+V104+V112+V120+V128+V136</f>
        <v>0</v>
      </c>
      <c r="W16" s="357">
        <f>=W24+W32+W40+W48+W56+W64+W72+W80+W88+W96+W104+W112+W120+W128+W136</f>
        <v>0</v>
      </c>
      <c r="X16" s="357">
        <f>=X24+X32+X40+X48+X56+X64+X72+X80+X88+X96+X104+X112+X120+X128+X136</f>
        <v>0</v>
      </c>
      <c r="Y16" s="357">
        <f>=Y24+Y32+Y40+Y48+Y56+Y64+Y72+Y80+Y88+Y96+Y104+Y112+Y120+Y128+Y136</f>
        <v>0</v>
      </c>
      <c r="Z16" s="357">
        <f>=Z24+Z32+Z40+Z48+Z56+Z64+Z72+Z80+Z88+Z96+Z104+Z112+Z120+Z128+Z136</f>
        <v>0</v>
      </c>
      <c r="AA16" s="357">
        <f>=AA24+AA32+AA40+AA48+AA56+AA64+AA72+AA80+AA88+AA96+AA104+AA112+AA120+AA128+AA136</f>
        <v>0</v>
      </c>
      <c r="AB16" s="357">
        <f>=AB24+AB32+AB40+AB48+AB56+AB64+AB72+AB80+AB88+AB96+AB104+AB112+AB120+AB128+AB136</f>
        <v>0</v>
      </c>
      <c r="AC16" s="357">
        <f>=AC24+AC32+AC40+AC48+AC56+AC64+AC72+AC80+AC88+AC96+AC104+AC112+AC120+AC128+AC136</f>
        <v>0</v>
      </c>
      <c r="AD16" s="357">
        <f>=AD24+AD32+AD40+AD48+AD56+AD64+AD72+AD80+AD88+AD96+AD104+AD112+AD120+AD128+AD136</f>
        <v>0</v>
      </c>
      <c r="AE16" s="357">
        <f>=AE24+AE32+AE40+AE48+AE56+AE64+AE72+AE80+AE88+AE96+AE104+AE112+AE120+AE128+AE136</f>
        <v>0</v>
      </c>
      <c r="AF16" s="357">
        <f>=AF24+AF32+AF40+AF48+AF56+AF64+AF72+AF80+AF88+AF96+AF104+AF112+AF120+AF128+AF136</f>
        <v>0</v>
      </c>
    </row>
    <row r="17" spans="1:32" ht="12" customHeight="true">
      <c r="A17" s="297" t="s"/>
      <c r="B17" s="358" t="s">
        <v>707</v>
      </c>
      <c r="C17" s="358" t="s"/>
      <c r="D17" s="358" t="s"/>
      <c r="E17" s="358" t="s"/>
      <c r="F17" s="358" t="s"/>
      <c r="G17" s="358" t="s"/>
      <c r="H17" s="358" t="s"/>
      <c r="I17" s="358" t="s"/>
      <c r="J17" s="358" t="s"/>
      <c r="K17" s="357">
        <f>=K25+K33+K41+K49+K57+K65+K73+K81+K89+K97+K105+K113+K121+K129+K137</f>
        <v>0</v>
      </c>
      <c r="L17" s="357">
        <f>=L25+L33+L41+L49+L57+L65+L73+L81+L89+L97+L105+L113+L121+L129+L137</f>
        <v>0</v>
      </c>
      <c r="M17" s="357">
        <f>=M25+M33+M41+M49+M57+M65+M73+M81+M89+M97+M105+M113+M121+M129+M137</f>
        <v>0</v>
      </c>
      <c r="N17" s="357">
        <f>=N25+N33+N41+N49+N57+N65+N73+N81+N89+N97+N105+N113+N121+N129+N137</f>
        <v>0</v>
      </c>
      <c r="O17" s="357">
        <f>=O25+O33+O41+O49+O57+O65+O73+O81+O89+O97+O105+O113+O121+O129+O137</f>
        <v>0</v>
      </c>
      <c r="P17" s="357">
        <f>=P25+P33+P41+P49+P57+P65+P73+P81+P89+P97+P105+P113+P121+P129+P137</f>
        <v>0</v>
      </c>
      <c r="Q17" s="357">
        <f>=Q25+Q33+Q41+Q49+Q57+Q65+Q73+Q81+Q89+Q97+Q105+Q113+Q121+Q129+Q137</f>
        <v>0</v>
      </c>
      <c r="R17" s="357">
        <f>=R25+R33+R41+R49+R57+R65+R73+R81+R89+R97+R105+R113+R121+R129+R137</f>
        <v>0</v>
      </c>
      <c r="S17" s="357">
        <f>=S25+S33+S41+S49+S57+S65+S73+S81+S89+S97+S105+S113+S121+S129+S137</f>
        <v>0</v>
      </c>
      <c r="T17" s="357">
        <f>=T25+T33+T41+T49+T57+T65+T73+T81+T89+T97+T105+T113+T121+T129+T137</f>
        <v>0</v>
      </c>
      <c r="U17" s="357">
        <f>=U25+U33+U41+U49+U57+U65+U73+U81+U89+U97+U105+U113+U121+U129+U137</f>
        <v>0</v>
      </c>
      <c r="V17" s="357">
        <f>=V25+V33+V41+V49+V57+V65+V73+V81+V89+V97+V105+V113+V121+V129+V137</f>
        <v>0</v>
      </c>
      <c r="W17" s="357">
        <f>=W25+W33+W41+W49+W57+W65+W73+W81+W89+W97+W105+W113+W121+W129+W137</f>
        <v>0</v>
      </c>
      <c r="X17" s="357">
        <f>=X25+X33+X41+X49+X57+X65+X73+X81+X89+X97+X105+X113+X121+X129+X137</f>
        <v>0</v>
      </c>
      <c r="Y17" s="357">
        <f>=Y25+Y33+Y41+Y49+Y57+Y65+Y73+Y81+Y89+Y97+Y105+Y113+Y121+Y129+Y137</f>
        <v>0</v>
      </c>
      <c r="Z17" s="357">
        <f>=Z25+Z33+Z41+Z49+Z57+Z65+Z73+Z81+Z89+Z97+Z105+Z113+Z121+Z129+Z137</f>
        <v>0</v>
      </c>
      <c r="AA17" s="357">
        <f>=AA25+AA33+AA41+AA49+AA57+AA65+AA73+AA81+AA89+AA97+AA105+AA113+AA121+AA129+AA137</f>
        <v>0</v>
      </c>
      <c r="AB17" s="357">
        <f>=AB25+AB33+AB41+AB49+AB57+AB65+AB73+AB81+AB89+AB97+AB105+AB113+AB121+AB129+AB137</f>
        <v>0</v>
      </c>
      <c r="AC17" s="357">
        <f>=AC25+AC33+AC41+AC49+AC57+AC65+AC73+AC81+AC89+AC97+AC105+AC113+AC121+AC129+AC137</f>
        <v>0</v>
      </c>
      <c r="AD17" s="357">
        <f>=AD25+AD33+AD41+AD49+AD57+AD65+AD73+AD81+AD89+AD97+AD105+AD113+AD121+AD129+AD137</f>
        <v>0</v>
      </c>
      <c r="AE17" s="357">
        <f>=AE25+AE33+AE41+AE49+AE57+AE65+AE73+AE81+AE89+AE97+AE105+AE113+AE121+AE129+AE137</f>
        <v>0</v>
      </c>
      <c r="AF17" s="357">
        <f>=AF25+AF33+AF41+AF49+AF57+AF65+AF73+AF81+AF89+AF97+AF105+AF113+AF121+AF129+AF137</f>
        <v>0</v>
      </c>
    </row>
    <row r="18" spans="1:32" ht="12" customHeight="true">
      <c r="A18" s="297" t="s"/>
      <c r="B18" s="358" t="s">
        <v>708</v>
      </c>
      <c r="C18" s="358" t="s"/>
      <c r="D18" s="358" t="s"/>
      <c r="E18" s="358" t="s"/>
      <c r="F18" s="358" t="s"/>
      <c r="G18" s="358" t="s"/>
      <c r="H18" s="358" t="s"/>
      <c r="I18" s="358" t="s"/>
      <c r="J18" s="358" t="s"/>
      <c r="K18" s="357">
        <f>=K26+K34+K42+K50+K58+K66+K74+K82+K90+K98+K106+K114+K122+K130+K138</f>
        <v>0</v>
      </c>
      <c r="L18" s="357">
        <f>=L26+L34+L42+L50+L58+L66+L74+L82+L90+L98+L106+L114+L122+L130+L138</f>
        <v>0</v>
      </c>
      <c r="M18" s="357">
        <f>=M26+M34+M42+M50+M58+M66+M74+M82+M90+M98+M106+M114+M122+M130+M138</f>
        <v>0</v>
      </c>
      <c r="N18" s="357">
        <f>=N26+N34+N42+N50+N58+N66+N74+N82+N90+N98+N106+N114+N122+N130+N138</f>
        <v>0</v>
      </c>
      <c r="O18" s="357">
        <f>=O26+O34+O42+O50+O58+O66+O74+O82+O90+O98+O106+O114+O122+O130+O138</f>
        <v>0</v>
      </c>
      <c r="P18" s="357">
        <f>=P26+P34+P42+P50+P58+P66+P74+P82+P90+P98+P106+P114+P122+P130+P138</f>
        <v>0</v>
      </c>
      <c r="Q18" s="357">
        <f>=Q26+Q34+Q42+Q50+Q58+Q66+Q74+Q82+Q90+Q98+Q106+Q114+Q122+Q130+Q138</f>
        <v>0</v>
      </c>
      <c r="R18" s="357">
        <f>=R26+R34+R42+R50+R58+R66+R74+R82+R90+R98+R106+R114+R122+R130+R138</f>
        <v>0</v>
      </c>
      <c r="S18" s="357">
        <f>=S26+S34+S42+S50+S58+S66+S74+S82+S90+S98+S106+S114+S122+S130+S138</f>
        <v>0</v>
      </c>
      <c r="T18" s="357">
        <f>=T26+T34+T42+T50+T58+T66+T74+T82+T90+T98+T106+T114+T122+T130+T138</f>
        <v>0</v>
      </c>
      <c r="U18" s="357">
        <f>=U26+U34+U42+U50+U58+U66+U74+U82+U90+U98+U106+U114+U122+U130+U138</f>
        <v>0</v>
      </c>
      <c r="V18" s="357">
        <f>=V26+V34+V42+V50+V58+V66+V74+V82+V90+V98+V106+V114+V122+V130+V138</f>
        <v>0</v>
      </c>
      <c r="W18" s="357">
        <f>=W26+W34+W42+W50+W58+W66+W74+W82+W90+W98+W106+W114+W122+W130+W138</f>
        <v>0</v>
      </c>
      <c r="X18" s="357">
        <f>=X26+X34+X42+X50+X58+X66+X74+X82+X90+X98+X106+X114+X122+X130+X138</f>
        <v>0</v>
      </c>
      <c r="Y18" s="357">
        <f>=Y26+Y34+Y42+Y50+Y58+Y66+Y74+Y82+Y90+Y98+Y106+Y114+Y122+Y130+Y138</f>
        <v>0</v>
      </c>
      <c r="Z18" s="357">
        <f>=Z26+Z34+Z42+Z50+Z58+Z66+Z74+Z82+Z90+Z98+Z106+Z114+Z122+Z130+Z138</f>
        <v>0</v>
      </c>
      <c r="AA18" s="357">
        <f>=AA26+AA34+AA42+AA50+AA58+AA66+AA74+AA82+AA90+AA98+AA106+AA114+AA122+AA130+AA138</f>
        <v>0</v>
      </c>
      <c r="AB18" s="357">
        <f>=AB26+AB34+AB42+AB50+AB58+AB66+AB74+AB82+AB90+AB98+AB106+AB114+AB122+AB130+AB138</f>
        <v>0</v>
      </c>
      <c r="AC18" s="357">
        <f>=AC26+AC34+AC42+AC50+AC58+AC66+AC74+AC82+AC90+AC98+AC106+AC114+AC122+AC130+AC138</f>
        <v>0</v>
      </c>
      <c r="AD18" s="357">
        <f>=AD26+AD34+AD42+AD50+AD58+AD66+AD74+AD82+AD90+AD98+AD106+AD114+AD122+AD130+AD138</f>
        <v>0</v>
      </c>
      <c r="AE18" s="357">
        <f>=AE26+AE34+AE42+AE50+AE58+AE66+AE74+AE82+AE90+AE98+AE106+AE114+AE122+AE130+AE138</f>
        <v>0</v>
      </c>
      <c r="AF18" s="357">
        <f>=AF26+AF34+AF42+AF50+AF58+AF66+AF74+AF82+AF90+AF98+AF106+AF114+AF122+AF130+AF138</f>
        <v>0</v>
      </c>
    </row>
    <row r="19" spans="1:32" ht="12" customHeight="true">
      <c r="A19" s="297" t="s"/>
      <c r="B19" s="358" t="s">
        <v>709</v>
      </c>
      <c r="C19" s="358" t="s"/>
      <c r="D19" s="358" t="s"/>
      <c r="E19" s="358" t="s"/>
      <c r="F19" s="358" t="s"/>
      <c r="G19" s="358" t="s"/>
      <c r="H19" s="358" t="s"/>
      <c r="I19" s="358" t="s"/>
      <c r="J19" s="358" t="s"/>
      <c r="K19" s="357">
        <f>=K27+K35+K43+K51+K59+K67+K75+K83+K91+K99+K107+K115+K123+K131+K139</f>
        <v>0</v>
      </c>
      <c r="L19" s="357">
        <f>=L27+L35+L43+L51+L59+L67+L75+L83+L91+L99+L107+L115+L123+L131+L139</f>
        <v>0</v>
      </c>
      <c r="M19" s="357">
        <f>=M27+M35+M43+M51+M59+M67+M75+M83+M91+M99+M107+M115+M123+M131+M139</f>
        <v>0</v>
      </c>
      <c r="N19" s="357">
        <f>=N27+N35+N43+N51+N59+N67+N75+N83+N91+N99+N107+N115+N123+N131+N139</f>
        <v>0</v>
      </c>
      <c r="O19" s="357">
        <f>=O27+O35+O43+O51+O59+O67+O75+O83+O91+O99+O107+O115+O123+O131+O139</f>
        <v>0</v>
      </c>
      <c r="P19" s="357">
        <f>=P27+P35+P43+P51+P59+P67+P75+P83+P91+P99+P107+P115+P123+P131+P139</f>
        <v>0</v>
      </c>
      <c r="Q19" s="357">
        <f>=Q27+Q35+Q43+Q51+Q59+Q67+Q75+Q83+Q91+Q99+Q107+Q115+Q123+Q131+Q139</f>
        <v>0</v>
      </c>
      <c r="R19" s="357">
        <f>=R27+R35+R43+R51+R59+R67+R75+R83+R91+R99+R107+R115+R123+R131+R139</f>
        <v>0</v>
      </c>
      <c r="S19" s="357">
        <f>=S27+S35+S43+S51+S59+S67+S75+S83+S91+S99+S107+S115+S123+S131+S139</f>
        <v>0</v>
      </c>
      <c r="T19" s="357">
        <f>=T27+T35+T43+T51+T59+T67+T75+T83+T91+T99+T107+T115+T123+T131+T139</f>
        <v>0</v>
      </c>
      <c r="U19" s="357">
        <f>=U27+U35+U43+U51+U59+U67+U75+U83+U91+U99+U107+U115+U123+U131+U139</f>
        <v>0</v>
      </c>
      <c r="V19" s="357">
        <f>=V27+V35+V43+V51+V59+V67+V75+V83+V91+V99+V107+V115+V123+V131+V139</f>
        <v>0</v>
      </c>
      <c r="W19" s="357">
        <f>=W27+W35+W43+W51+W59+W67+W75+W83+W91+W99+W107+W115+W123+W131+W139</f>
        <v>0</v>
      </c>
      <c r="X19" s="357">
        <f>=X27+X35+X43+X51+X59+X67+X75+X83+X91+X99+X107+X115+X123+X131+X139</f>
        <v>3485.19917491116</v>
      </c>
      <c r="Y19" s="357">
        <f>=Y27+Y35+Y43+Y51+Y59+Y67+Y75+Y83+Y91+Y99+Y107+Y115+Y123+Y131+Y139</f>
        <v>0</v>
      </c>
      <c r="Z19" s="357">
        <f>=Z27+Z35+Z43+Z51+Z59+Z67+Z75+Z83+Z91+Z99+Z107+Z115+Z123+Z131+Z139</f>
        <v>0</v>
      </c>
      <c r="AA19" s="357">
        <f>=AA27+AA35+AA43+AA51+AA59+AA67+AA75+AA83+AA91+AA99+AA107+AA115+AA123+AA131+AA139</f>
        <v>0</v>
      </c>
      <c r="AB19" s="357">
        <f>=AB27+AB35+AB43+AB51+AB59+AB67+AB75+AB83+AB91+AB99+AB107+AB115+AB123+AB131+AB139</f>
        <v>0</v>
      </c>
      <c r="AC19" s="357">
        <f>=AC27+AC35+AC43+AC51+AC59+AC67+AC75+AC83+AC91+AC99+AC107+AC115+AC123+AC131+AC139</f>
        <v>0</v>
      </c>
      <c r="AD19" s="357">
        <f>=AD27+AD35+AD43+AD51+AD59+AD67+AD75+AD83+AD91+AD99+AD107+AD115+AD123+AD131+AD139</f>
        <v>0</v>
      </c>
      <c r="AE19" s="357">
        <f>=AE27+AE35+AE43+AE51+AE59+AE67+AE75+AE83+AE91+AE99+AE107+AE115+AE123+AE131+AE139</f>
        <v>0</v>
      </c>
      <c r="AF19" s="357">
        <f>=AF27+AF35+AF43+AF51+AF59+AF67+AF75+AF83+AF91+AF99+AF107+AF115+AF123+AF131+AF139</f>
        <v>0</v>
      </c>
    </row>
    <row r="20" spans="1:32" ht="12" customHeight="true">
      <c r="A20" s="297" t="s"/>
      <c r="B20" s="358" t="s">
        <v>710</v>
      </c>
      <c r="C20" s="358" t="s"/>
      <c r="D20" s="358" t="s"/>
      <c r="E20" s="358" t="s"/>
      <c r="F20" s="357">
        <f>=F28+F36+F44+F52+F60+F68+F76+F84+F92+F100+F108+F116+F124+F132+F140</f>
        <v>998.514364161876</v>
      </c>
      <c r="G20" s="358" t="s"/>
      <c r="H20" s="358" t="s"/>
      <c r="I20" s="358" t="s"/>
      <c r="J20" s="358" t="s"/>
      <c r="K20" s="357">
        <f>=K28+K36+K44+K52+K60+K68+K76+K84+K92+K100+K108+K116+K124+K132+K140</f>
        <v>0</v>
      </c>
      <c r="L20" s="357">
        <f>=L28+L36+L44+L52+L60+L68+L76+L84+L92+L100+L108+L116+L124+L132+L140</f>
        <v>0</v>
      </c>
      <c r="M20" s="357">
        <f>=M28+M36+M44+M52+M60+M68+M76+M84+M92+M100+M108+M116+M124+M132+M140</f>
        <v>998.514364161876</v>
      </c>
      <c r="N20" s="357">
        <f>=N28+N36+N44+N52+N60+N68+N76+N84+N92+N100+N108+N116+N124+N132+N140</f>
        <v>0</v>
      </c>
      <c r="O20" s="357">
        <f>=O28+O36+O44+O52+O60+O68+O76+O84+O92+O100+O108+O116+O124+O132+O140</f>
        <v>0</v>
      </c>
      <c r="P20" s="357">
        <f>=P28+P36+P44+P52+P60+P68+P76+P84+P92+P100+P108+P116+P124+P132+P140</f>
        <v>0</v>
      </c>
      <c r="Q20" s="357">
        <f>=Q28+Q36+Q44+Q52+Q60+Q68+Q76+Q84+Q92+Q100+Q108+Q116+Q124+Q132+Q140</f>
        <v>0</v>
      </c>
      <c r="R20" s="357">
        <f>=R28+R36+R44+R52+R60+R68+R76+R84+R92+R100+R108+R116+R124+R132+R140</f>
        <v>0</v>
      </c>
      <c r="S20" s="357">
        <f>=S28+S36+S44+S52+S60+S68+S76+S84+S92+S100+S108+S116+S124+S132+S140</f>
        <v>0</v>
      </c>
      <c r="T20" s="357">
        <f>=T28+T36+T44+T52+T60+T68+T76+T84+T92+T100+T108+T116+T124+T132+T140</f>
        <v>0</v>
      </c>
      <c r="U20" s="357">
        <f>=U28+U36+U44+U52+U60+U68+U76+U84+U92+U100+U108+U116+U124+U132+U140</f>
        <v>0</v>
      </c>
      <c r="V20" s="357">
        <f>=V28+V36+V44+V52+V60+V68+V76+V84+V92+V100+V108+V116+V124+V132+V140</f>
        <v>0</v>
      </c>
      <c r="W20" s="357">
        <f>=W28+W36+W44+W52+W60+W68+W76+W84+W92+W100+W108+W116+W124+W132+W140</f>
        <v>0</v>
      </c>
      <c r="X20" s="357">
        <f>=X28+X36+X44+X52+X60+X68+X76+X84+X92+X100+X108+X116+X124+X132+X140</f>
        <v>0</v>
      </c>
      <c r="Y20" s="357">
        <f>=Y28+Y36+Y44+Y52+Y60+Y68+Y76+Y84+Y92+Y100+Y108+Y116+Y124+Y132+Y140</f>
        <v>0</v>
      </c>
      <c r="Z20" s="357">
        <f>=Z28+Z36+Z44+Z52+Z60+Z68+Z76+Z84+Z92+Z100+Z108+Z116+Z124+Z132+Z140</f>
        <v>0</v>
      </c>
      <c r="AA20" s="357">
        <f>=AA28+AA36+AA44+AA52+AA60+AA68+AA76+AA84+AA92+AA100+AA108+AA116+AA124+AA132+AA140</f>
        <v>0</v>
      </c>
      <c r="AB20" s="357">
        <f>=AB28+AB36+AB44+AB52+AB60+AB68+AB76+AB84+AB92+AB100+AB108+AB116+AB124+AB132+AB140</f>
        <v>0</v>
      </c>
      <c r="AC20" s="357">
        <f>=AC28+AC36+AC44+AC52+AC60+AC68+AC76+AC84+AC92+AC100+AC108+AC116+AC124+AC132+AC140</f>
        <v>0</v>
      </c>
      <c r="AD20" s="357">
        <f>=AD28+AD36+AD44+AD52+AD60+AD68+AD76+AD84+AD92+AD100+AD108+AD116+AD124+AD132+AD140</f>
        <v>0</v>
      </c>
      <c r="AE20" s="357">
        <f>=AE28+AE36+AE44+AE52+AE60+AE68+AE76+AE84+AE92+AE100+AE108+AE116+AE124+AE132+AE140</f>
        <v>0</v>
      </c>
      <c r="AF20" s="357">
        <f>=AF28+AF36+AF44+AF52+AF60+AF68+AF76+AF84+AF92+AF100+AF108+AF116+AF124+AF132+AF140</f>
        <v>0</v>
      </c>
    </row>
    <row r="21" spans="1:33" ht="12" customHeight="true">
      <c r="A21" s="297">
        <v>1</v>
      </c>
      <c r="B21" s="363" t="s">
        <v>712</v>
      </c>
      <c r="C21" s="364">
        <v>8679.394088484</v>
      </c>
      <c r="D21" s="365" t="s">
        <v>713</v>
      </c>
      <c r="E21" s="366">
        <v>0.13</v>
      </c>
      <c r="F21" s="357">
        <f>=IF($D21="是",$C21/(1+$E21),$C21)</f>
        <v>7680.87972432213</v>
      </c>
      <c r="G21" s="367">
        <v>0.05</v>
      </c>
      <c r="H21" s="368">
        <v>20</v>
      </c>
      <c r="I21" s="369">
        <f>=辅助表1评估项目基础数据表!$C$3+1</f>
        <v>3</v>
      </c>
      <c r="J21" s="370" t="s">
        <v>185</v>
      </c>
      <c r="K21" s="371" t="s"/>
      <c r="L21" s="371" t="s"/>
      <c r="M21" s="372" t="s"/>
      <c r="N21" s="372" t="s"/>
      <c r="O21" s="372" t="s"/>
      <c r="P21" s="372" t="s"/>
      <c r="Q21" s="372" t="s"/>
      <c r="R21" s="372" t="s"/>
      <c r="S21" s="372" t="s"/>
      <c r="T21" s="372" t="s"/>
      <c r="U21" s="372" t="s"/>
      <c r="V21" s="372" t="s"/>
      <c r="W21" s="372" t="s"/>
      <c r="X21" s="372" t="s"/>
      <c r="Y21" s="372" t="s"/>
      <c r="Z21" s="372" t="s"/>
      <c r="AA21" s="372" t="s"/>
      <c r="AB21" s="372" t="s"/>
      <c r="AC21" s="372" t="s"/>
      <c r="AD21" s="372" t="s"/>
      <c r="AE21" s="372" t="s"/>
      <c r="AF21" s="372" t="s"/>
      <c r="AG21" s="188" t="s">
        <v>447</v>
      </c>
    </row>
    <row r="22" spans="1:32" s="709" customFormat="true" ht="12" customHeight="true">
      <c r="A22" s="373" t="s"/>
      <c r="B22" s="374" t="s">
        <v>704</v>
      </c>
      <c r="C22" s="375" t="s">
        <v>714</v>
      </c>
      <c r="D22" s="358" t="s"/>
      <c r="E22" s="358" t="s"/>
      <c r="F22" s="358" t="s"/>
      <c r="G22" s="374" t="s"/>
      <c r="H22" s="374" t="s"/>
      <c r="J22" s="374" t="s"/>
      <c r="K22" s="376">
        <f>=IF(K$209&lt;$I21,0,IF($H21&gt;(K$209-$I21),(($F21-$F21*$G21)/$H21),0))</f>
        <v>0</v>
      </c>
      <c r="L22" s="376">
        <f>=IF(L$209&lt;$I21,0,IF($H21&gt;(L$209-$I21),(($F21-$F21*$G21)/$H21),0))</f>
        <v>0</v>
      </c>
      <c r="M22" s="376">
        <f>=IF(M$209&lt;$I21,0,IF($H21&gt;(M$209-$I21),(($F21-$F21*$G21)/$H21),0))/2</f>
        <v>182.42089345265</v>
      </c>
      <c r="N22" s="376">
        <f>=IF(N$209&lt;$I21,0,IF($H21&gt;(N$209-$I21),(($F21-$F21*$G21)/$H21),0))</f>
        <v>364.841786905301</v>
      </c>
      <c r="O22" s="376">
        <f>=IF(O$209&lt;$I21,0,IF($H21&gt;(O$209-$I21),(($F21-$F21*$G21)/$H21),0))</f>
        <v>364.841786905301</v>
      </c>
      <c r="P22" s="376">
        <f>=IF(P$209&lt;$I21,0,IF($H21&gt;(P$209-$I21),(($F21-$F21*$G21)/$H21),0))</f>
        <v>364.841786905301</v>
      </c>
      <c r="Q22" s="376">
        <f>=IF(Q$209&lt;$I21,0,IF($H21&gt;(Q$209-$I21),(($F21-$F21*$G21)/$H21),0))</f>
        <v>364.841786905301</v>
      </c>
      <c r="R22" s="376">
        <f>=IF(R$209&lt;$I21,0,IF($H21&gt;(R$209-$I21),(($F21-$F21*$G21)/$H21),0))</f>
        <v>364.841786905301</v>
      </c>
      <c r="S22" s="376">
        <f>=IF(S$209&lt;$I21,0,IF($H21&gt;(S$209-$I21),(($F21-$F21*$G21)/$H21),0))</f>
        <v>364.841786905301</v>
      </c>
      <c r="T22" s="376">
        <f>=IF(T$209&lt;$I21,0,IF($H21&gt;(T$209-$I21),(($F21-$F21*$G21)/$H21),0))</f>
        <v>364.841786905301</v>
      </c>
      <c r="U22" s="376">
        <f>=IF(U$209&lt;$I21,0,IF($H21&gt;(U$209-$I21),(($F21-$F21*$G21)/$H21),0))</f>
        <v>364.841786905301</v>
      </c>
      <c r="V22" s="376">
        <f>=IF(V$209&lt;$I21,0,IF($H21&gt;(V$209-$I21),(($F21-$F21*$G21)/$H21),0))</f>
        <v>364.841786905301</v>
      </c>
      <c r="W22" s="376">
        <f>=IF(W$209&lt;$I21,0,IF($H21&gt;(W$209-$I21),(($F21-$F21*$G21)/$H21),0))</f>
        <v>364.841786905301</v>
      </c>
      <c r="X22" s="376">
        <f>=IF(X$209&lt;$I21,0,IF($H21&gt;(X$209-$I21),(($F21-$F21*$G21)/$H21),0))</f>
        <v>364.841786905301</v>
      </c>
      <c r="Y22" s="376">
        <f>=IF(Y$209&lt;$I21,0,IF($H21&gt;(Y$209-$I21),(($F21-$F21*$G21)/$H21),0))</f>
        <v>364.841786905301</v>
      </c>
      <c r="Z22" s="376">
        <f>=IF(Z$209&lt;$I21,0,IF($H21&gt;(Z$209-$I21),(($F21-$F21*$G21)/$H21),0))</f>
        <v>364.841786905301</v>
      </c>
      <c r="AA22" s="376">
        <f>=IF(AA$209&lt;$I21,0,IF($H21&gt;(AA$209-$I21),(($F21-$F21*$G21)/$H21),0))</f>
        <v>364.841786905301</v>
      </c>
      <c r="AB22" s="376">
        <f>=IF(AB$209&lt;$I21,0,IF($H21&gt;(AB$209-$I21),(($F21-$F21*$G21)/$H21),0))</f>
        <v>364.841786905301</v>
      </c>
      <c r="AC22" s="376">
        <f>=IF(AC$209&lt;$I21,0,IF($H21&gt;(AC$209-$I21),(($F21-$F21*$G21)/$H21),0))</f>
        <v>364.841786905301</v>
      </c>
      <c r="AD22" s="376">
        <f>=IF(AD$209&lt;$I21,0,IF($H21&gt;(AD$209-$I21),(($F21-$F21*$G21)/$H21),0))</f>
        <v>364.841786905301</v>
      </c>
      <c r="AE22" s="376">
        <f>=IF(AE$209&lt;$I21,0,IF($H21&gt;(AE$209-$I21),(($F21-$F21*$G21)/$H21),0))</f>
        <v>364.841786905301</v>
      </c>
      <c r="AF22" s="376">
        <f>=IF(AF$209&lt;$I21,0,IF($H21&gt;(AF$209-$I21),(($F21-$F21*$G21)/$H21),0))</f>
        <v>364.841786905301</v>
      </c>
    </row>
    <row r="23" spans="1:32" ht="12" customHeight="true">
      <c r="A23" s="297" t="s"/>
      <c r="B23" s="358" t="s">
        <v>705</v>
      </c>
      <c r="C23" s="358" t="s"/>
      <c r="D23" s="358" t="s"/>
      <c r="E23" s="358" t="s"/>
      <c r="F23" s="358" t="s"/>
      <c r="G23" s="358" t="s"/>
      <c r="H23" s="358" t="s"/>
      <c r="I23" s="358" t="s"/>
      <c r="J23" s="358" t="s"/>
      <c r="K23" s="357">
        <f>=IF(K$209=$I21,$F21-K22,0)</f>
        <v>0</v>
      </c>
      <c r="L23" s="357">
        <f>=IF(L$209=$I21,$F21-L22,IF(L$209&gt;$I21,IF(AND($J21="是",L$209&gt;=$I21+$H21),0,K23-L22),0))</f>
        <v>0</v>
      </c>
      <c r="M23" s="357">
        <f>=IF(M$209=$I21,$F21-M22,IF(M$209&gt;$I21,IF(AND($J21="是",M$209&gt;=$I21+$H21),0,L23-M22),0))</f>
        <v>7498.45883086948</v>
      </c>
      <c r="N23" s="357">
        <f>=IF(N$209=$I21,$F21-N22,IF(N$209&gt;$I21,IF(AND($J21="是",N$209&gt;=$I21+$H21),0,M23-N22),0))</f>
        <v>7133.61704396417</v>
      </c>
      <c r="O23" s="357">
        <f>=IF(O$209=$I21,$F21-O22,IF(O$209&gt;$I21,IF(AND($J21="是",O$209&gt;=$I21+$H21),0,N23-O22),0))</f>
        <v>6768.77525705887</v>
      </c>
      <c r="P23" s="357">
        <f>=IF(P$209=$I21,$F21-P22,IF(P$209&gt;$I21,IF(AND($J21="是",P$209&gt;=$I21+$H21),0,O23-P22),0))</f>
        <v>6403.93347015357</v>
      </c>
      <c r="Q23" s="357">
        <f>=IF(Q$209=$I21,$F21-Q22,IF(Q$209&gt;$I21,IF(AND($J21="是",Q$209&gt;=$I21+$H21),0,P23-Q22),0))</f>
        <v>6039.09168324827</v>
      </c>
      <c r="R23" s="357">
        <f>=IF(R$209=$I21,$F21-R22,IF(R$209&gt;$I21,IF(AND($J21="是",R$209&gt;=$I21+$H21),0,Q23-R22),0))</f>
        <v>5674.24989634297</v>
      </c>
      <c r="S23" s="357">
        <f>=IF(S$209=$I21,$F21-S22,IF(S$209&gt;$I21,IF(AND($J21="是",S$209&gt;=$I21+$H21),0,R23-S22),0))</f>
        <v>5309.40810943767</v>
      </c>
      <c r="T23" s="357">
        <f>=IF(T$209=$I21,$F21-T22,IF(T$209&gt;$I21,IF(AND($J21="是",T$209&gt;=$I21+$H21),0,S23-T22),0))</f>
        <v>4944.56632253237</v>
      </c>
      <c r="U23" s="357">
        <f>=IF(U$209=$I21,$F21-U22,IF(U$209&gt;$I21,IF(AND($J21="是",U$209&gt;=$I21+$H21),0,T23-U22),0))</f>
        <v>4579.72453562707</v>
      </c>
      <c r="V23" s="357">
        <f>=IF(V$209=$I21,$F21-V22,IF(V$209&gt;$I21,IF(AND($J21="是",V$209&gt;=$I21+$H21),0,U23-V22),0))</f>
        <v>4214.88274872177</v>
      </c>
      <c r="W23" s="357">
        <f>=IF(W$209=$I21,$F21-W22,IF(W$209&gt;$I21,IF(AND($J21="是",W$209&gt;=$I21+$H21),0,V23-W22),0))</f>
        <v>3850.04096181646</v>
      </c>
      <c r="X23" s="357">
        <f>=IF(X$209=$I21,$F21-X22,IF(X$209&gt;$I21,IF(AND($J21="是",X$209&gt;=$I21+$H21),0,W23-X22),0))</f>
        <v>3485.19917491116</v>
      </c>
      <c r="Y23" s="357">
        <f>=IF(Y$209=$I21,$F21-Y22,IF(Y$209&gt;$I21,IF(AND($J21="是",Y$209&gt;=$I21+$H21),0,X23-Y22),0))</f>
        <v>3120.35738800586</v>
      </c>
      <c r="Z23" s="357">
        <f>=IF(Z$209=$I21,$F21-Z22,IF(Z$209&gt;$I21,IF(AND($J21="是",Z$209&gt;=$I21+$H21),0,Y23-Z22),0))</f>
        <v>2755.51560110056</v>
      </c>
      <c r="AA23" s="357">
        <f>=IF(AA$209=$I21,$F21-AA22,IF(AA$209&gt;$I21,IF(AND($J21="是",AA$209&gt;=$I21+$H21),0,Z23-AA22),0))</f>
        <v>2390.67381419526</v>
      </c>
      <c r="AB23" s="357">
        <f>=IF(AB$209=$I21,$F21-AB22,IF(AB$209&gt;$I21,IF(AND($J21="是",AB$209&gt;=$I21+$H21),0,AA23-AB22),0))</f>
        <v>2025.83202728996</v>
      </c>
      <c r="AC23" s="357">
        <f>=IF(AC$209=$I21,$F21-AC22,IF(AC$209&gt;$I21,IF(AND($J21="是",AC$209&gt;=$I21+$H21),0,AB23-AC22),0))</f>
        <v>1660.99024038466</v>
      </c>
      <c r="AD23" s="357">
        <f>=IF(AD$209=$I21,$F21-AD22,IF(AD$209&gt;$I21,IF(AND($J21="是",AD$209&gt;=$I21+$H21),0,AC23-AD22),0))</f>
        <v>1296.14845347936</v>
      </c>
      <c r="AE23" s="357">
        <f>=IF(AE$209=$I21,$F21-AE22,IF(AE$209&gt;$I21,IF(AND($J21="是",AE$209&gt;=$I21+$H21),0,AD23-AE22),0))</f>
        <v>931.306666574056</v>
      </c>
      <c r="AF23" s="357">
        <f>=IF(AF$209=$I21,$F21-AF22,IF(AF$209&gt;$I21,IF(AND($J21="是",AF$209&gt;=$I21+$H21),0,AE23-AF22),0))</f>
        <v>566.464879668756</v>
      </c>
    </row>
    <row r="24" spans="1:32" ht="12" customHeight="true">
      <c r="A24" s="297" t="s"/>
      <c r="B24" s="358" t="s">
        <v>706</v>
      </c>
      <c r="C24" s="358" t="s"/>
      <c r="D24" s="358" t="s"/>
      <c r="E24" s="358" t="s"/>
      <c r="F24" s="358" t="s"/>
      <c r="G24" s="358" t="s"/>
      <c r="H24" s="358" t="s"/>
      <c r="I24" s="358" t="s"/>
      <c r="J24" s="358" t="s"/>
      <c r="K24" s="357">
        <f>=IF(AND($J21="是",K$209&gt;=$H21+$I21),(($F21-$F21*$G21)/$H21),0)</f>
        <v>0</v>
      </c>
      <c r="L24" s="357">
        <f>=IF(AND($J21="是",L$209&gt;=$H21+$I21),(($F21-$F21*$G21)/$H21),0)</f>
        <v>0</v>
      </c>
      <c r="M24" s="357">
        <f>=IF(AND($J21="是",M$209&gt;=$H21+$I21),(($F21-$F21*$G21)/$H21),0)</f>
        <v>0</v>
      </c>
      <c r="N24" s="357">
        <f>=IF(AND($J21="是",N$209&gt;=$H21+$I21),(($F21-$F21*$G21)/$H21),0)</f>
        <v>0</v>
      </c>
      <c r="O24" s="357">
        <f>=IF(AND($J21="是",O$209&gt;=$H21+$I21),(($F21-$F21*$G21)/$H21),0)</f>
        <v>0</v>
      </c>
      <c r="P24" s="357">
        <f>=IF(AND($J21="是",P$209&gt;=$H21+$I21),(($F21-$F21*$G21)/$H21),0)</f>
        <v>0</v>
      </c>
      <c r="Q24" s="357">
        <f>=IF(AND($J21="是",Q$209&gt;=$H21+$I21),(($F21-$F21*$G21)/$H21),0)</f>
        <v>0</v>
      </c>
      <c r="R24" s="357">
        <f>=IF(AND($J21="是",R$209&gt;=$H21+$I21),(($F21-$F21*$G21)/$H21),0)</f>
        <v>0</v>
      </c>
      <c r="S24" s="357">
        <f>=IF(AND($J21="是",S$209&gt;=$H21+$I21),(($F21-$F21*$G21)/$H21),0)</f>
        <v>0</v>
      </c>
      <c r="T24" s="357">
        <f>=IF(AND($J21="是",T$209&gt;=$H21+$I21),(($F21-$F21*$G21)/$H21),0)</f>
        <v>0</v>
      </c>
      <c r="U24" s="357">
        <f>=IF(AND($J21="是",U$209&gt;=$H21+$I21),(($F21-$F21*$G21)/$H21),0)</f>
        <v>0</v>
      </c>
      <c r="V24" s="357">
        <f>=IF(AND($J21="是",V$209&gt;=$H21+$I21),(($F21-$F21*$G21)/$H21),0)</f>
        <v>0</v>
      </c>
      <c r="W24" s="357">
        <f>=IF(AND($J21="是",W$209&gt;=$H21+$I21),(($F21-$F21*$G21)/$H21),0)</f>
        <v>0</v>
      </c>
      <c r="X24" s="357">
        <f>=IF(AND($J21="是",X$209&gt;=$H21+$I21),(($F21-$F21*$G21)/$H21),0)</f>
        <v>0</v>
      </c>
      <c r="Y24" s="357">
        <f>=IF(AND($J21="是",Y$209&gt;=$H21+$I21),(($F21-$F21*$G21)/$H21),0)</f>
        <v>0</v>
      </c>
      <c r="Z24" s="357">
        <f>=IF(AND($J21="是",Z$209&gt;=$H21+$I21),(($F21-$F21*$G21)/$H21),0)</f>
        <v>0</v>
      </c>
      <c r="AA24" s="357">
        <f>=IF(AND($J21="是",AA$209&gt;=$H21+$I21),(($F21-$F21*$G21)/$H21),0)</f>
        <v>0</v>
      </c>
      <c r="AB24" s="357">
        <f>=IF(AND($J21="是",AB$209&gt;=$H21+$I21),(($F21-$F21*$G21)/$H21),0)</f>
        <v>0</v>
      </c>
      <c r="AC24" s="357">
        <f>=IF(AND($J21="是",AC$209&gt;=$H21+$I21),(($F21-$F21*$G21)/$H21),0)</f>
        <v>0</v>
      </c>
      <c r="AD24" s="357">
        <f>=IF(AND($J21="是",AD$209&gt;=$H21+$I21),(($F21-$F21*$G21)/$H21),0)</f>
        <v>0</v>
      </c>
      <c r="AE24" s="357">
        <f>=IF(AND($J21="是",AE$209&gt;=$H21+$I21),(($F21-$F21*$G21)/$H21),0)</f>
        <v>0</v>
      </c>
      <c r="AF24" s="357">
        <f>=IF(AND($J21="是",AF$209&gt;=$H21+$I21),(($F21-$F21*$G21)/$H21),0)</f>
        <v>0</v>
      </c>
    </row>
    <row r="25" spans="1:32" ht="12" customHeight="true">
      <c r="A25" s="297" t="s"/>
      <c r="B25" s="358" t="s">
        <v>707</v>
      </c>
      <c r="C25" s="358" t="s"/>
      <c r="D25" s="358" t="s"/>
      <c r="E25" s="358" t="s"/>
      <c r="F25" s="358" t="s"/>
      <c r="G25" s="358" t="s"/>
      <c r="H25" s="358" t="s"/>
      <c r="I25" s="358" t="s"/>
      <c r="J25" s="358" t="s"/>
      <c r="K25" s="357">
        <f>=IF(K$209&lt;$I21+$H21,0,IF($J21="是",IF(OR($H21=1,MOD(K$209-$I21+1,$H21)=1),$F21-K24,J25-K24),0))</f>
        <v>0</v>
      </c>
      <c r="L25" s="357">
        <f>=IF(L$209&lt;$I21+$H21,0,IF($J21="是",IF(OR($H21=1,MOD(L$209-$I21+1,$H21)=1),$F21-L24,K25-L24),0))</f>
        <v>0</v>
      </c>
      <c r="M25" s="357">
        <f>=IF(M$209&lt;$I21+$H21,0,IF($J21="是",IF(OR($H21=1,MOD(M$209-$I21+1,$H21)=1),$F21-M24,L25-M24),0))</f>
        <v>0</v>
      </c>
      <c r="N25" s="357">
        <f>=IF(N$209&lt;$I21+$H21,0,IF($J21="是",IF(OR($H21=1,MOD(N$209-$I21+1,$H21)=1),$F21-N24,M25-N24),0))</f>
        <v>0</v>
      </c>
      <c r="O25" s="357">
        <f>=IF(O$209&lt;$I21+$H21,0,IF($J21="是",IF(OR($H21=1,MOD(O$209-$I21+1,$H21)=1),$F21-O24,N25-O24),0))</f>
        <v>0</v>
      </c>
      <c r="P25" s="357">
        <f>=IF(P$209&lt;$I21+$H21,0,IF($J21="是",IF(OR($H21=1,MOD(P$209-$I21+1,$H21)=1),$F21-P24,O25-P24),0))</f>
        <v>0</v>
      </c>
      <c r="Q25" s="357">
        <f>=IF(Q$209&lt;$I21+$H21,0,IF($J21="是",IF(OR($H21=1,MOD(Q$209-$I21+1,$H21)=1),$F21-Q24,P25-Q24),0))</f>
        <v>0</v>
      </c>
      <c r="R25" s="357">
        <f>=IF(R$209&lt;$I21+$H21,0,IF($J21="是",IF(OR($H21=1,MOD(R$209-$I21+1,$H21)=1),$F21-R24,Q25-R24),0))</f>
        <v>0</v>
      </c>
      <c r="S25" s="357">
        <f>=IF(S$209&lt;$I21+$H21,0,IF($J21="是",IF(OR($H21=1,MOD(S$209-$I21+1,$H21)=1),$F21-S24,R25-S24),0))</f>
        <v>0</v>
      </c>
      <c r="T25" s="357">
        <f>=IF(T$209&lt;$I21+$H21,0,IF($J21="是",IF(OR($H21=1,MOD(T$209-$I21+1,$H21)=1),$F21-T24,S25-T24),0))</f>
        <v>0</v>
      </c>
      <c r="U25" s="357">
        <f>=IF(U$209&lt;$I21+$H21,0,IF($J21="是",IF(OR($H21=1,MOD(U$209-$I21+1,$H21)=1),$F21-U24,T25-U24),0))</f>
        <v>0</v>
      </c>
      <c r="V25" s="357">
        <f>=IF(V$209&lt;$I21+$H21,0,IF($J21="是",IF(OR($H21=1,MOD(V$209-$I21+1,$H21)=1),$F21-V24,U25-V24),0))</f>
        <v>0</v>
      </c>
      <c r="W25" s="357">
        <f>=IF(W$209&lt;$I21+$H21,0,IF($J21="是",IF(OR($H21=1,MOD(W$209-$I21+1,$H21)=1),$F21-W24,V25-W24),0))</f>
        <v>0</v>
      </c>
      <c r="X25" s="357">
        <f>=IF(X$209&lt;$I21+$H21,0,IF($J21="是",IF(OR($H21=1,MOD(X$209-$I21+1,$H21)=1),$F21-X24,W25-X24),0))</f>
        <v>0</v>
      </c>
      <c r="Y25" s="357">
        <f>=IF(Y$209&lt;$I21+$H21,0,IF($J21="是",IF(OR($H21=1,MOD(Y$209-$I21+1,$H21)=1),$F21-Y24,X25-Y24),0))</f>
        <v>0</v>
      </c>
      <c r="Z25" s="357">
        <f>=IF(Z$209&lt;$I21+$H21,0,IF($J21="是",IF(OR($H21=1,MOD(Z$209-$I21+1,$H21)=1),$F21-Z24,Y25-Z24),0))</f>
        <v>0</v>
      </c>
      <c r="AA25" s="357">
        <f>=IF(AA$209&lt;$I21+$H21,0,IF($J21="是",IF(OR($H21=1,MOD(AA$209-$I21+1,$H21)=1),$F21-AA24,Z25-AA24),0))</f>
        <v>0</v>
      </c>
      <c r="AB25" s="357">
        <f>=IF(AB$209&lt;$I21+$H21,0,IF($J21="是",IF(OR($H21=1,MOD(AB$209-$I21+1,$H21)=1),$F21-AB24,AA25-AB24),0))</f>
        <v>0</v>
      </c>
      <c r="AC25" s="357">
        <f>=IF(AC$209&lt;$I21+$H21,0,IF($J21="是",IF(OR($H21=1,MOD(AC$209-$I21+1,$H21)=1),$F21-AC24,AB25-AC24),0))</f>
        <v>0</v>
      </c>
      <c r="AD25" s="357">
        <f>=IF(AD$209&lt;$I21+$H21,0,IF($J21="是",IF(OR($H21=1,MOD(AD$209-$I21+1,$H21)=1),$F21-AD24,AC25-AD24),0))</f>
        <v>0</v>
      </c>
      <c r="AE25" s="357">
        <f>=IF(AE$209&lt;$I21+$H21,0,IF($J21="是",IF(OR($H21=1,MOD(AE$209-$I21+1,$H21)=1),$F21-AE24,AD25-AE24),0))</f>
        <v>0</v>
      </c>
      <c r="AF25" s="357">
        <f>=IF(AF$209&lt;$I21+$H21,0,IF($J21="是",IF(OR($H21=1,MOD(AF$209-$I21+1,$H21)=1),$F21-AF24,AE25-AF24),0))</f>
        <v>0</v>
      </c>
    </row>
    <row r="26" spans="1:32" ht="12" customHeight="true">
      <c r="A26" s="297" t="s"/>
      <c r="B26" s="358" t="s">
        <v>708</v>
      </c>
      <c r="C26" s="358" t="s"/>
      <c r="D26" s="358" t="s"/>
      <c r="E26" s="358" t="s"/>
      <c r="F26" s="358" t="s"/>
      <c r="G26" s="358" t="s"/>
      <c r="H26" s="358" t="s"/>
      <c r="I26" s="358" t="s"/>
      <c r="J26" s="358" t="s"/>
      <c r="K26" s="357">
        <f>=IF(AND($J21="是",K$209&gt;=$H21+$I21,MOD(K$209-$I21+1,$H21)=1),$F21,0)</f>
        <v>0</v>
      </c>
      <c r="L26" s="357">
        <f>=IF(AND($J21="是",L$209&gt;=$H21+$I21,MOD(L$209-$I21+1,$H21)=1),$F21,0)</f>
        <v>0</v>
      </c>
      <c r="M26" s="357">
        <f>=IF(AND($J21="是",M$209&gt;=$H21+$I21,MOD(M$209-$I21+1,$H21)=1),$F21,0)</f>
        <v>0</v>
      </c>
      <c r="N26" s="357">
        <f>=IF(AND($J21="是",N$209&gt;=$H21+$I21,MOD(N$209-$I21+1,$H21)=1),$F21,0)</f>
        <v>0</v>
      </c>
      <c r="O26" s="357">
        <f>=IF(AND($J21="是",O$209&gt;=$H21+$I21,MOD(O$209-$I21+1,$H21)=1),$F21,0)</f>
        <v>0</v>
      </c>
      <c r="P26" s="357">
        <f>=IF(AND($J21="是",P$209&gt;=$H21+$I21,MOD(P$209-$I21+1,$H21)=1),$F21,0)</f>
        <v>0</v>
      </c>
      <c r="Q26" s="357">
        <f>=IF(AND($J21="是",Q$209&gt;=$H21+$I21,MOD(Q$209-$I21+1,$H21)=1),$F21,0)</f>
        <v>0</v>
      </c>
      <c r="R26" s="357">
        <f>=IF(AND($J21="是",R$209&gt;=$H21+$I21,MOD(R$209-$I21+1,$H21)=1),$F21,0)</f>
        <v>0</v>
      </c>
      <c r="S26" s="357">
        <f>=IF(AND($J21="是",S$209&gt;=$H21+$I21,MOD(S$209-$I21+1,$H21)=1),$F21,0)</f>
        <v>0</v>
      </c>
      <c r="T26" s="357">
        <f>=IF(AND($J21="是",T$209&gt;=$H21+$I21,MOD(T$209-$I21+1,$H21)=1),$F21,0)</f>
        <v>0</v>
      </c>
      <c r="U26" s="357">
        <f>=IF(AND($J21="是",U$209&gt;=$H21+$I21,MOD(U$209-$I21+1,$H21)=1),$F21,0)</f>
        <v>0</v>
      </c>
      <c r="V26" s="357">
        <f>=IF(AND($J21="是",V$209&gt;=$H21+$I21,MOD(V$209-$I21+1,$H21)=1),$F21,0)</f>
        <v>0</v>
      </c>
      <c r="W26" s="357">
        <f>=IF(AND($J21="是",W$209&gt;=$H21+$I21,MOD(W$209-$I21+1,$H21)=1),$F21,0)</f>
        <v>0</v>
      </c>
      <c r="X26" s="357">
        <f>=IF(AND($J21="是",X$209&gt;=$H21+$I21,MOD(X$209-$I21+1,$H21)=1),$F21,0)</f>
        <v>0</v>
      </c>
      <c r="Y26" s="357">
        <f>=IF(AND($J21="是",Y$209&gt;=$H21+$I21,MOD(Y$209-$I21+1,$H21)=1),$F21,0)</f>
        <v>0</v>
      </c>
      <c r="Z26" s="357">
        <f>=IF(AND($J21="是",Z$209&gt;=$H21+$I21,MOD(Z$209-$I21+1,$H21)=1),$F21,0)</f>
        <v>0</v>
      </c>
      <c r="AA26" s="357">
        <f>=IF(AND($J21="是",AA$209&gt;=$H21+$I21,MOD(AA$209-$I21+1,$H21)=1),$F21,0)</f>
        <v>0</v>
      </c>
      <c r="AB26" s="357">
        <f>=IF(AND($J21="是",AB$209&gt;=$H21+$I21,MOD(AB$209-$I21+1,$H21)=1),$F21,0)</f>
        <v>0</v>
      </c>
      <c r="AC26" s="357">
        <f>=IF(AND($J21="是",AC$209&gt;=$H21+$I21,MOD(AC$209-$I21+1,$H21)=1),$F21,0)</f>
        <v>0</v>
      </c>
      <c r="AD26" s="357">
        <f>=IF(AND($J21="是",AD$209&gt;=$H21+$I21,MOD(AD$209-$I21+1,$H21)=1),$F21,0)</f>
        <v>0</v>
      </c>
      <c r="AE26" s="357">
        <f>=IF(AND($J21="是",AE$209&gt;=$H21+$I21,MOD(AE$209-$I21+1,$H21)=1),$F21,0)</f>
        <v>0</v>
      </c>
      <c r="AF26" s="357">
        <f>=IF(AND($J21="是",AF$209&gt;=$H21+$I21,MOD(AF$209-$I21+1,$H21)=1),$F21,0)</f>
        <v>0</v>
      </c>
    </row>
    <row r="27" spans="1:32" ht="12" customHeight="true">
      <c r="A27" s="297" t="s"/>
      <c r="B27" s="358" t="s">
        <v>709</v>
      </c>
      <c r="C27" s="358" t="s"/>
      <c r="D27" s="358" t="s"/>
      <c r="E27" s="358" t="s"/>
      <c r="F27" s="358" t="s"/>
      <c r="G27" s="358" t="s"/>
      <c r="H27" s="358" t="s"/>
      <c r="I27" s="358" t="s"/>
      <c r="J27" s="358" t="s"/>
      <c r="K27" s="357">
        <f>=IF(K$209=辅助表1评估项目基础数据表!$C$3+辅助表1评估项目基础数据表!$C$5,K23+K25,IF(AND($J21="是",K$209&gt;=$H21+$I21,MOD(K$209-$I21+1,$H21)=1),$F21*$G21,0))</f>
        <v>0</v>
      </c>
      <c r="L27" s="357">
        <f>=IF(L$209=辅助表1评估项目基础数据表!$C$3+辅助表1评估项目基础数据表!$C$5,L23+L25,IF(AND($J21="是",L$209&gt;=$H21+$I21,MOD(L$209-$I21+1,$H21)=1),$F21*$G21,0))</f>
        <v>0</v>
      </c>
      <c r="M27" s="357">
        <f>=IF(M$209=辅助表1评估项目基础数据表!$C$3+辅助表1评估项目基础数据表!$C$5,M23+M25,IF(AND($J21="是",M$209&gt;=$H21+$I21,MOD(M$209-$I21+1,$H21)=1),$F21*$G21,0))</f>
        <v>0</v>
      </c>
      <c r="N27" s="357">
        <f>=IF(N$209=辅助表1评估项目基础数据表!$C$3+辅助表1评估项目基础数据表!$C$5,N23+N25,IF(AND($J21="是",N$209&gt;=$H21+$I21,MOD(N$209-$I21+1,$H21)=1),$F21*$G21,0))</f>
        <v>0</v>
      </c>
      <c r="O27" s="357">
        <f>=IF(O$209=辅助表1评估项目基础数据表!$C$3+辅助表1评估项目基础数据表!$C$5,O23+O25,IF(AND($J21="是",O$209&gt;=$H21+$I21,MOD(O$209-$I21+1,$H21)=1),$F21*$G21,0))</f>
        <v>0</v>
      </c>
      <c r="P27" s="357">
        <f>=IF(P$209=辅助表1评估项目基础数据表!$C$3+辅助表1评估项目基础数据表!$C$5,P23+P25,IF(AND($J21="是",P$209&gt;=$H21+$I21,MOD(P$209-$I21+1,$H21)=1),$F21*$G21,0))</f>
        <v>0</v>
      </c>
      <c r="Q27" s="357">
        <f>=IF(Q$209=辅助表1评估项目基础数据表!$C$3+辅助表1评估项目基础数据表!$C$5,Q23+Q25,IF(AND($J21="是",Q$209&gt;=$H21+$I21,MOD(Q$209-$I21+1,$H21)=1),$F21*$G21,0))</f>
        <v>0</v>
      </c>
      <c r="R27" s="357">
        <f>=IF(R$209=辅助表1评估项目基础数据表!$C$3+辅助表1评估项目基础数据表!$C$5,R23+R25,IF(AND($J21="是",R$209&gt;=$H21+$I21,MOD(R$209-$I21+1,$H21)=1),$F21*$G21,0))</f>
        <v>0</v>
      </c>
      <c r="S27" s="357">
        <f>=IF(S$209=辅助表1评估项目基础数据表!$C$3+辅助表1评估项目基础数据表!$C$5,S23+S25,IF(AND($J21="是",S$209&gt;=$H21+$I21,MOD(S$209-$I21+1,$H21)=1),$F21*$G21,0))</f>
        <v>0</v>
      </c>
      <c r="T27" s="357">
        <f>=IF(T$209=辅助表1评估项目基础数据表!$C$3+辅助表1评估项目基础数据表!$C$5,T23+T25,IF(AND($J21="是",T$209&gt;=$H21+$I21,MOD(T$209-$I21+1,$H21)=1),$F21*$G21,0))</f>
        <v>0</v>
      </c>
      <c r="U27" s="357">
        <f>=IF(U$209=辅助表1评估项目基础数据表!$C$3+辅助表1评估项目基础数据表!$C$5,U23+U25,IF(AND($J21="是",U$209&gt;=$H21+$I21,MOD(U$209-$I21+1,$H21)=1),$F21*$G21,0))</f>
        <v>0</v>
      </c>
      <c r="V27" s="357">
        <f>=IF(V$209=辅助表1评估项目基础数据表!$C$3+辅助表1评估项目基础数据表!$C$5,V23+V25,IF(AND($J21="是",V$209&gt;=$H21+$I21,MOD(V$209-$I21+1,$H21)=1),$F21*$G21,0))</f>
        <v>0</v>
      </c>
      <c r="W27" s="357">
        <f>=IF(W$209=辅助表1评估项目基础数据表!$C$3+辅助表1评估项目基础数据表!$C$5,W23+W25,IF(AND($J21="是",W$209&gt;=$H21+$I21,MOD(W$209-$I21+1,$H21)=1),$F21*$G21,0))</f>
        <v>0</v>
      </c>
      <c r="X27" s="357">
        <f>=IF(X$209=辅助表1评估项目基础数据表!$C$3+辅助表1评估项目基础数据表!$C$5,X23+X25,IF(AND($J21="是",X$209&gt;=$H21+$I21,MOD(X$209-$I21+1,$H21)=1),$F21*$G21,0))</f>
        <v>3485.19917491116</v>
      </c>
      <c r="Y27" s="357">
        <f>=IF(Y$209=辅助表1评估项目基础数据表!$C$3+辅助表1评估项目基础数据表!$C$5,Y23+Y25,IF(AND($J21="是",Y$209&gt;=$H21+$I21,MOD(Y$209-$I21+1,$H21)=1),$F21*$G21,0))</f>
        <v>0</v>
      </c>
      <c r="Z27" s="357">
        <f>=IF(Z$209=辅助表1评估项目基础数据表!$C$3+辅助表1评估项目基础数据表!$C$5,Z23+Z25,IF(AND($J21="是",Z$209&gt;=$H21+$I21,MOD(Z$209-$I21+1,$H21)=1),$F21*$G21,0))</f>
        <v>0</v>
      </c>
      <c r="AA27" s="357">
        <f>=IF(AA$209=辅助表1评估项目基础数据表!$C$3+辅助表1评估项目基础数据表!$C$5,AA23+AA25,IF(AND($J21="是",AA$209&gt;=$H21+$I21,MOD(AA$209-$I21+1,$H21)=1),$F21*$G21,0))</f>
        <v>0</v>
      </c>
      <c r="AB27" s="357">
        <f>=IF(AB$209=辅助表1评估项目基础数据表!$C$3+辅助表1评估项目基础数据表!$C$5,AB23+AB25,IF(AND($J21="是",AB$209&gt;=$H21+$I21,MOD(AB$209-$I21+1,$H21)=1),$F21*$G21,0))</f>
        <v>0</v>
      </c>
      <c r="AC27" s="357">
        <f>=IF(AC$209=辅助表1评估项目基础数据表!$C$3+辅助表1评估项目基础数据表!$C$5,AC23+AC25,IF(AND($J21="是",AC$209&gt;=$H21+$I21,MOD(AC$209-$I21+1,$H21)=1),$F21*$G21,0))</f>
        <v>0</v>
      </c>
      <c r="AD27" s="357">
        <f>=IF(AD$209=辅助表1评估项目基础数据表!$C$3+辅助表1评估项目基础数据表!$C$5,AD23+AD25,IF(AND($J21="是",AD$209&gt;=$H21+$I21,MOD(AD$209-$I21+1,$H21)=1),$F21*$G21,0))</f>
        <v>0</v>
      </c>
      <c r="AE27" s="357">
        <f>=IF(AE$209=辅助表1评估项目基础数据表!$C$3+辅助表1评估项目基础数据表!$C$5,AE23+AE25,IF(AND($J21="是",AE$209&gt;=$H21+$I21,MOD(AE$209-$I21+1,$H21)=1),$F21*$G21,0))</f>
        <v>0</v>
      </c>
      <c r="AF27" s="357">
        <f>=IF(AF$209=辅助表1评估项目基础数据表!$C$3+辅助表1评估项目基础数据表!$C$5,AF23+AF25,IF(AND($J21="是",AF$209&gt;=$H21+$I21,MOD(AF$209-$I21+1,$H21)=1),$F21*$G21,0))</f>
        <v>0</v>
      </c>
    </row>
    <row r="28" spans="1:32" ht="12" customHeight="true">
      <c r="A28" s="297" t="s"/>
      <c r="B28" s="358" t="s">
        <v>710</v>
      </c>
      <c r="C28" s="358" t="s"/>
      <c r="D28" s="358" t="s"/>
      <c r="E28" s="358" t="s"/>
      <c r="F28" s="357">
        <f>=IF($D21="是",$C21*$E21/(1+$E21),0)</f>
        <v>998.514364161876</v>
      </c>
      <c r="G28" s="358" t="s"/>
      <c r="H28" s="358" t="s"/>
      <c r="I28" s="358" t="s"/>
      <c r="J28" s="358" t="s"/>
      <c r="K28" s="357">
        <f>=IF($J21="是",IF(AND(K$209-$I21+1&gt;0,MOD(K$209-$I21+1,$H21)=1),$F28,0),IF(K$209-$I21+1=1,$F28,0))</f>
        <v>0</v>
      </c>
      <c r="L28" s="357">
        <f>=IF($J21="是",IF(AND(L$209-$I21+1&gt;0,MOD(L$209-$I21+1,$H21)=1),$F28,0),IF(L$209-$I21+1=1,$F28,0))</f>
        <v>0</v>
      </c>
      <c r="M28" s="357">
        <f>=IF($J21="是",IF(AND(M$209-$I21+1&gt;0,MOD(M$209-$I21+1,$H21)=1),$F28,0),IF(M$209-$I21+1=1,$F28,0))</f>
        <v>998.514364161876</v>
      </c>
      <c r="N28" s="357">
        <f>=IF($J21="是",IF(AND(N$209-$I21+1&gt;0,MOD(N$209-$I21+1,$H21)=1),$F28,0),IF(N$209-$I21+1=1,$F28,0))</f>
        <v>0</v>
      </c>
      <c r="O28" s="357">
        <f>=IF($J21="是",IF(AND(O$209-$I21+1&gt;0,MOD(O$209-$I21+1,$H21)=1),$F28,0),IF(O$209-$I21+1=1,$F28,0))</f>
        <v>0</v>
      </c>
      <c r="P28" s="357">
        <f>=IF($J21="是",IF(AND(P$209-$I21+1&gt;0,MOD(P$209-$I21+1,$H21)=1),$F28,0),IF(P$209-$I21+1=1,$F28,0))</f>
        <v>0</v>
      </c>
      <c r="Q28" s="357">
        <f>=IF($J21="是",IF(AND(Q$209-$I21+1&gt;0,MOD(Q$209-$I21+1,$H21)=1),$F28,0),IF(Q$209-$I21+1=1,$F28,0))</f>
        <v>0</v>
      </c>
      <c r="R28" s="357">
        <f>=IF($J21="是",IF(AND(R$209-$I21+1&gt;0,MOD(R$209-$I21+1,$H21)=1),$F28,0),IF(R$209-$I21+1=1,$F28,0))</f>
        <v>0</v>
      </c>
      <c r="S28" s="357">
        <f>=IF($J21="是",IF(AND(S$209-$I21+1&gt;0,MOD(S$209-$I21+1,$H21)=1),$F28,0),IF(S$209-$I21+1=1,$F28,0))</f>
        <v>0</v>
      </c>
      <c r="T28" s="357">
        <f>=IF($J21="是",IF(AND(T$209-$I21+1&gt;0,MOD(T$209-$I21+1,$H21)=1),$F28,0),IF(T$209-$I21+1=1,$F28,0))</f>
        <v>0</v>
      </c>
      <c r="U28" s="357">
        <f>=IF($J21="是",IF(AND(U$209-$I21+1&gt;0,MOD(U$209-$I21+1,$H21)=1),$F28,0),IF(U$209-$I21+1=1,$F28,0))</f>
        <v>0</v>
      </c>
      <c r="V28" s="357">
        <f>=IF($J21="是",IF(AND(V$209-$I21+1&gt;0,MOD(V$209-$I21+1,$H21)=1),$F28,0),IF(V$209-$I21+1=1,$F28,0))</f>
        <v>0</v>
      </c>
      <c r="W28" s="357">
        <f>=IF($J21="是",IF(AND(W$209-$I21+1&gt;0,MOD(W$209-$I21+1,$H21)=1),$F28,0),IF(W$209-$I21+1=1,$F28,0))</f>
        <v>0</v>
      </c>
      <c r="X28" s="357">
        <f>=IF($J21="是",IF(AND(X$209-$I21+1&gt;0,MOD(X$209-$I21+1,$H21)=1),$F28,0),IF(X$209-$I21+1=1,$F28,0))</f>
        <v>0</v>
      </c>
      <c r="Y28" s="357">
        <f>=IF($J21="是",IF(AND(Y$209-$I21+1&gt;0,MOD(Y$209-$I21+1,$H21)=1),$F28,0),IF(Y$209-$I21+1=1,$F28,0))</f>
        <v>0</v>
      </c>
      <c r="Z28" s="357">
        <f>=IF($J21="是",IF(AND(Z$209-$I21+1&gt;0,MOD(Z$209-$I21+1,$H21)=1),$F28,0),IF(Z$209-$I21+1=1,$F28,0))</f>
        <v>0</v>
      </c>
      <c r="AA28" s="357">
        <f>=IF($J21="是",IF(AND(AA$209-$I21+1&gt;0,MOD(AA$209-$I21+1,$H21)=1),$F28,0),IF(AA$209-$I21+1=1,$F28,0))</f>
        <v>0</v>
      </c>
      <c r="AB28" s="357">
        <f>=IF($J21="是",IF(AND(AB$209-$I21+1&gt;0,MOD(AB$209-$I21+1,$H21)=1),$F28,0),IF(AB$209-$I21+1=1,$F28,0))</f>
        <v>0</v>
      </c>
      <c r="AC28" s="357">
        <f>=IF($J21="是",IF(AND(AC$209-$I21+1&gt;0,MOD(AC$209-$I21+1,$H21)=1),$F28,0),IF(AC$209-$I21+1=1,$F28,0))</f>
        <v>0</v>
      </c>
      <c r="AD28" s="357">
        <f>=IF($J21="是",IF(AND(AD$209-$I21+1&gt;0,MOD(AD$209-$I21+1,$H21)=1),$F28,0),IF(AD$209-$I21+1=1,$F28,0))</f>
        <v>0</v>
      </c>
      <c r="AE28" s="357">
        <f>=IF($J21="是",IF(AND(AE$209-$I21+1&gt;0,MOD(AE$209-$I21+1,$H21)=1),$F28,0),IF(AE$209-$I21+1=1,$F28,0))</f>
        <v>0</v>
      </c>
      <c r="AF28" s="357">
        <f>=IF($J21="是",IF(AND(AF$209-$I21+1&gt;0,MOD(AF$209-$I21+1,$H21)=1),$F28,0),IF(AF$209-$I21+1=1,$F28,0))</f>
        <v>0</v>
      </c>
    </row>
    <row r="29" spans="1:33" ht="12" customHeight="true">
      <c r="A29" s="297">
        <v>2</v>
      </c>
      <c r="B29" s="363" t="s"/>
      <c r="C29" s="364" t="s"/>
      <c r="D29" s="365" t="s"/>
      <c r="E29" s="366" t="s"/>
      <c r="F29" s="357">
        <f>=IF($D29="是",$C29/(1+$E29),$C29)</f>
        <v>0</v>
      </c>
      <c r="G29" s="367" t="s"/>
      <c r="H29" s="368">
        <v>10</v>
      </c>
      <c r="I29" s="369">
        <f>=辅助表1评估项目基础数据表!$C$3+1</f>
        <v>3</v>
      </c>
      <c r="J29" s="370" t="s">
        <v>185</v>
      </c>
      <c r="K29" s="371" t="s"/>
      <c r="L29" s="371" t="s"/>
      <c r="M29" s="372" t="s"/>
      <c r="N29" s="372" t="s"/>
      <c r="O29" s="372" t="s"/>
      <c r="P29" s="372" t="s"/>
      <c r="Q29" s="372" t="s"/>
      <c r="R29" s="372" t="s"/>
      <c r="S29" s="372" t="s"/>
      <c r="T29" s="372" t="s"/>
      <c r="U29" s="372" t="s"/>
      <c r="V29" s="372" t="s"/>
      <c r="W29" s="372" t="s"/>
      <c r="X29" s="372" t="s"/>
      <c r="Y29" s="372" t="s"/>
      <c r="Z29" s="372" t="s"/>
      <c r="AA29" s="372" t="s"/>
      <c r="AB29" s="372" t="s"/>
      <c r="AC29" s="372" t="s"/>
      <c r="AD29" s="372" t="s"/>
      <c r="AE29" s="372" t="s"/>
      <c r="AF29" s="372" t="s"/>
      <c r="AG29" s="188" t="s">
        <v>447</v>
      </c>
    </row>
    <row r="30" spans="1:32" s="709" customFormat="true" ht="12" customHeight="true">
      <c r="A30" s="373" t="s"/>
      <c r="B30" s="374" t="s">
        <v>704</v>
      </c>
      <c r="C30" s="375" t="s">
        <v>714</v>
      </c>
      <c r="D30" s="358" t="s"/>
      <c r="E30" s="358" t="s"/>
      <c r="F30" s="358" t="s"/>
      <c r="G30" s="374" t="s"/>
      <c r="H30" s="374" t="s"/>
      <c r="I30" s="374" t="s"/>
      <c r="J30" s="374" t="s"/>
      <c r="K30" s="376">
        <f>=IF(K$209&lt;$I29,0,IF($H29&gt;(K$209-$I29),(($F29-$F29*$G29)/$H29),0))</f>
        <v>0</v>
      </c>
      <c r="L30" s="376">
        <f>=IF(L$209&lt;$I29,0,IF($H29&gt;(L$209-$I29),(($F29-$F29*$G29)/$H29),0))</f>
        <v>0</v>
      </c>
      <c r="M30" s="376">
        <f>=IF(M$209&lt;$I29,0,IF($H29&gt;(M$209-$I29),(($F29-$F29*$G29)/$H29),0))</f>
        <v>0</v>
      </c>
      <c r="N30" s="376">
        <f>=IF(N$209&lt;$I29,0,IF($H29&gt;(N$209-$I29),(($F29-$F29*$G29)/$H29),0))</f>
        <v>0</v>
      </c>
      <c r="O30" s="376">
        <f>=IF(O$209&lt;$I29,0,IF($H29&gt;(O$209-$I29),(($F29-$F29*$G29)/$H29),0))</f>
        <v>0</v>
      </c>
      <c r="P30" s="376">
        <f>=IF(P$209&lt;$I29,0,IF($H29&gt;(P$209-$I29),(($F29-$F29*$G29)/$H29),0))</f>
        <v>0</v>
      </c>
      <c r="Q30" s="376">
        <f>=IF(Q$209&lt;$I29,0,IF($H29&gt;(Q$209-$I29),(($F29-$F29*$G29)/$H29),0))</f>
        <v>0</v>
      </c>
      <c r="R30" s="376">
        <f>=IF(R$209&lt;$I29,0,IF($H29&gt;(R$209-$I29),(($F29-$F29*$G29)/$H29),0))</f>
        <v>0</v>
      </c>
      <c r="S30" s="376">
        <f>=IF(S$209&lt;$I29,0,IF($H29&gt;(S$209-$I29),(($F29-$F29*$G29)/$H29),0))</f>
        <v>0</v>
      </c>
      <c r="T30" s="376">
        <f>=IF(T$209&lt;$I29,0,IF($H29&gt;(T$209-$I29),(($F29-$F29*$G29)/$H29),0))</f>
        <v>0</v>
      </c>
      <c r="U30" s="376">
        <f>=IF(U$209&lt;$I29,0,IF($H29&gt;(U$209-$I29),(($F29-$F29*$G29)/$H29),0))</f>
        <v>0</v>
      </c>
      <c r="V30" s="376">
        <f>=IF(V$209&lt;$I29,0,IF($H29&gt;(V$209-$I29),(($F29-$F29*$G29)/$H29),0))</f>
        <v>0</v>
      </c>
      <c r="W30" s="376">
        <f>=IF(W$209&lt;$I29,0,IF($H29&gt;(W$209-$I29),(($F29-$F29*$G29)/$H29),0))</f>
        <v>0</v>
      </c>
      <c r="X30" s="376">
        <f>=IF(X$209&lt;$I29,0,IF($H29&gt;(X$209-$I29),(($F29-$F29*$G29)/$H29),0))</f>
        <v>0</v>
      </c>
      <c r="Y30" s="376">
        <f>=IF(Y$209&lt;$I29,0,IF($H29&gt;(Y$209-$I29),(($F29-$F29*$G29)/$H29),0))</f>
        <v>0</v>
      </c>
      <c r="Z30" s="376">
        <f>=IF(Z$209&lt;$I29,0,IF($H29&gt;(Z$209-$I29),(($F29-$F29*$G29)/$H29),0))</f>
        <v>0</v>
      </c>
      <c r="AA30" s="376">
        <f>=IF(AA$209&lt;$I29,0,IF($H29&gt;(AA$209-$I29),(($F29-$F29*$G29)/$H29),0))</f>
        <v>0</v>
      </c>
      <c r="AB30" s="376">
        <f>=IF(AB$209&lt;$I29,0,IF($H29&gt;(AB$209-$I29),(($F29-$F29*$G29)/$H29),0))</f>
        <v>0</v>
      </c>
      <c r="AC30" s="376">
        <f>=IF(AC$209&lt;$I29,0,IF($H29&gt;(AC$209-$I29),(($F29-$F29*$G29)/$H29),0))</f>
        <v>0</v>
      </c>
      <c r="AD30" s="376">
        <f>=IF(AD$209&lt;$I29,0,IF($H29&gt;(AD$209-$I29),(($F29-$F29*$G29)/$H29),0))</f>
        <v>0</v>
      </c>
      <c r="AE30" s="376">
        <f>=IF(AE$209&lt;$I29,0,IF($H29&gt;(AE$209-$I29),(($F29-$F29*$G29)/$H29),0))</f>
        <v>0</v>
      </c>
      <c r="AF30" s="376">
        <f>=IF(AF$209&lt;$I29,0,IF($H29&gt;(AF$209-$I29),(($F29-$F29*$G29)/$H29),0))</f>
        <v>0</v>
      </c>
    </row>
    <row r="31" spans="1:32" ht="12" customHeight="true">
      <c r="A31" s="297" t="s"/>
      <c r="B31" s="358" t="s">
        <v>705</v>
      </c>
      <c r="C31" s="358" t="s"/>
      <c r="D31" s="358" t="s"/>
      <c r="E31" s="358" t="s"/>
      <c r="F31" s="358" t="s"/>
      <c r="G31" s="358" t="s"/>
      <c r="H31" s="358" t="s"/>
      <c r="I31" s="358" t="s"/>
      <c r="J31" s="358" t="s"/>
      <c r="K31" s="357">
        <f>=IF(K$209=$I29,$F29-K30,0)</f>
        <v>0</v>
      </c>
      <c r="L31" s="357">
        <f>=IF(L$209=$I29,$F29-L30,IF(L$209&gt;$I29,IF(AND($J29="是",L$209&gt;=$I29+$H29),0,K31-L30),0))</f>
        <v>0</v>
      </c>
      <c r="M31" s="357">
        <f>=IF(M$209=$I29,$F29-M30,IF(M$209&gt;$I29,IF(AND($J29="是",M$209&gt;=$I29+$H29),0,L31-M30),0))</f>
        <v>0</v>
      </c>
      <c r="N31" s="357">
        <f>=IF(N$209=$I29,$F29-N30,IF(N$209&gt;$I29,IF(AND($J29="是",N$209&gt;=$I29+$H29),0,M31-N30),0))</f>
        <v>0</v>
      </c>
      <c r="O31" s="357">
        <f>=IF(O$209=$I29,$F29-O30,IF(O$209&gt;$I29,IF(AND($J29="是",O$209&gt;=$I29+$H29),0,N31-O30),0))</f>
        <v>0</v>
      </c>
      <c r="P31" s="357">
        <f>=IF(P$209=$I29,$F29-P30,IF(P$209&gt;$I29,IF(AND($J29="是",P$209&gt;=$I29+$H29),0,O31-P30),0))</f>
        <v>0</v>
      </c>
      <c r="Q31" s="357">
        <f>=IF(Q$209=$I29,$F29-Q30,IF(Q$209&gt;$I29,IF(AND($J29="是",Q$209&gt;=$I29+$H29),0,P31-Q30),0))</f>
        <v>0</v>
      </c>
      <c r="R31" s="357">
        <f>=IF(R$209=$I29,$F29-R30,IF(R$209&gt;$I29,IF(AND($J29="是",R$209&gt;=$I29+$H29),0,Q31-R30),0))</f>
        <v>0</v>
      </c>
      <c r="S31" s="357">
        <f>=IF(S$209=$I29,$F29-S30,IF(S$209&gt;$I29,IF(AND($J29="是",S$209&gt;=$I29+$H29),0,R31-S30),0))</f>
        <v>0</v>
      </c>
      <c r="T31" s="357">
        <f>=IF(T$209=$I29,$F29-T30,IF(T$209&gt;$I29,IF(AND($J29="是",T$209&gt;=$I29+$H29),0,S31-T30),0))</f>
        <v>0</v>
      </c>
      <c r="U31" s="357">
        <f>=IF(U$209=$I29,$F29-U30,IF(U$209&gt;$I29,IF(AND($J29="是",U$209&gt;=$I29+$H29),0,T31-U30),0))</f>
        <v>0</v>
      </c>
      <c r="V31" s="357">
        <f>=IF(V$209=$I29,$F29-V30,IF(V$209&gt;$I29,IF(AND($J29="是",V$209&gt;=$I29+$H29),0,U31-V30),0))</f>
        <v>0</v>
      </c>
      <c r="W31" s="357">
        <f>=IF(W$209=$I29,$F29-W30,IF(W$209&gt;$I29,IF(AND($J29="是",W$209&gt;=$I29+$H29),0,V31-W30),0))</f>
        <v>0</v>
      </c>
      <c r="X31" s="357">
        <f>=IF(X$209=$I29,$F29-X30,IF(X$209&gt;$I29,IF(AND($J29="是",X$209&gt;=$I29+$H29),0,W31-X30),0))</f>
        <v>0</v>
      </c>
      <c r="Y31" s="357">
        <f>=IF(Y$209=$I29,$F29-Y30,IF(Y$209&gt;$I29,IF(AND($J29="是",Y$209&gt;=$I29+$H29),0,X31-Y30),0))</f>
        <v>0</v>
      </c>
      <c r="Z31" s="357">
        <f>=IF(Z$209=$I29,$F29-Z30,IF(Z$209&gt;$I29,IF(AND($J29="是",Z$209&gt;=$I29+$H29),0,Y31-Z30),0))</f>
        <v>0</v>
      </c>
      <c r="AA31" s="357">
        <f>=IF(AA$209=$I29,$F29-AA30,IF(AA$209&gt;$I29,IF(AND($J29="是",AA$209&gt;=$I29+$H29),0,Z31-AA30),0))</f>
        <v>0</v>
      </c>
      <c r="AB31" s="357">
        <f>=IF(AB$209=$I29,$F29-AB30,IF(AB$209&gt;$I29,IF(AND($J29="是",AB$209&gt;=$I29+$H29),0,AA31-AB30),0))</f>
        <v>0</v>
      </c>
      <c r="AC31" s="357">
        <f>=IF(AC$209=$I29,$F29-AC30,IF(AC$209&gt;$I29,IF(AND($J29="是",AC$209&gt;=$I29+$H29),0,AB31-AC30),0))</f>
        <v>0</v>
      </c>
      <c r="AD31" s="357">
        <f>=IF(AD$209=$I29,$F29-AD30,IF(AD$209&gt;$I29,IF(AND($J29="是",AD$209&gt;=$I29+$H29),0,AC31-AD30),0))</f>
        <v>0</v>
      </c>
      <c r="AE31" s="357">
        <f>=IF(AE$209=$I29,$F29-AE30,IF(AE$209&gt;$I29,IF(AND($J29="是",AE$209&gt;=$I29+$H29),0,AD31-AE30),0))</f>
        <v>0</v>
      </c>
      <c r="AF31" s="357">
        <f>=IF(AF$209=$I29,$F29-AF30,IF(AF$209&gt;$I29,IF(AND($J29="是",AF$209&gt;=$I29+$H29),0,AE31-AF30),0))</f>
        <v>0</v>
      </c>
    </row>
    <row r="32" spans="1:32" ht="12" customHeight="true">
      <c r="A32" s="297" t="s"/>
      <c r="B32" s="358" t="s">
        <v>706</v>
      </c>
      <c r="C32" s="358" t="s"/>
      <c r="D32" s="358" t="s"/>
      <c r="E32" s="358" t="s"/>
      <c r="F32" s="358" t="s"/>
      <c r="G32" s="358" t="s"/>
      <c r="H32" s="358" t="s"/>
      <c r="I32" s="358" t="s"/>
      <c r="J32" s="358" t="s"/>
      <c r="K32" s="357">
        <f>=IF(AND($J29="是",K$209&gt;=$H29+$I29),(($F29-$F29*$G29)/$H29),0)</f>
        <v>0</v>
      </c>
      <c r="L32" s="357">
        <f>=IF(AND($J29="是",L$209&gt;=$H29+$I29),(($F29-$F29*$G29)/$H29),0)</f>
        <v>0</v>
      </c>
      <c r="M32" s="357">
        <f>=IF(AND($J29="是",M$209&gt;=$H29+$I29),(($F29-$F29*$G29)/$H29),0)</f>
        <v>0</v>
      </c>
      <c r="N32" s="357">
        <f>=IF(AND($J29="是",N$209&gt;=$H29+$I29),(($F29-$F29*$G29)/$H29),0)</f>
        <v>0</v>
      </c>
      <c r="O32" s="357">
        <f>=IF(AND($J29="是",O$209&gt;=$H29+$I29),(($F29-$F29*$G29)/$H29),0)</f>
        <v>0</v>
      </c>
      <c r="P32" s="357">
        <f>=IF(AND($J29="是",P$209&gt;=$H29+$I29),(($F29-$F29*$G29)/$H29),0)</f>
        <v>0</v>
      </c>
      <c r="Q32" s="357">
        <f>=IF(AND($J29="是",Q$209&gt;=$H29+$I29),(($F29-$F29*$G29)/$H29),0)</f>
        <v>0</v>
      </c>
      <c r="R32" s="357">
        <f>=IF(AND($J29="是",R$209&gt;=$H29+$I29),(($F29-$F29*$G29)/$H29),0)</f>
        <v>0</v>
      </c>
      <c r="S32" s="357">
        <f>=IF(AND($J29="是",S$209&gt;=$H29+$I29),(($F29-$F29*$G29)/$H29),0)</f>
        <v>0</v>
      </c>
      <c r="T32" s="357">
        <f>=IF(AND($J29="是",T$209&gt;=$H29+$I29),(($F29-$F29*$G29)/$H29),0)</f>
        <v>0</v>
      </c>
      <c r="U32" s="357">
        <f>=IF(AND($J29="是",U$209&gt;=$H29+$I29),(($F29-$F29*$G29)/$H29),0)</f>
        <v>0</v>
      </c>
      <c r="V32" s="357">
        <f>=IF(AND($J29="是",V$209&gt;=$H29+$I29),(($F29-$F29*$G29)/$H29),0)</f>
        <v>0</v>
      </c>
      <c r="W32" s="357">
        <f>=IF(AND($J29="是",W$209&gt;=$H29+$I29),(($F29-$F29*$G29)/$H29),0)</f>
        <v>0</v>
      </c>
      <c r="X32" s="357">
        <f>=IF(AND($J29="是",X$209&gt;=$H29+$I29),(($F29-$F29*$G29)/$H29),0)</f>
        <v>0</v>
      </c>
      <c r="Y32" s="357">
        <f>=IF(AND($J29="是",Y$209&gt;=$H29+$I29),(($F29-$F29*$G29)/$H29),0)</f>
        <v>0</v>
      </c>
      <c r="Z32" s="357">
        <f>=IF(AND($J29="是",Z$209&gt;=$H29+$I29),(($F29-$F29*$G29)/$H29),0)</f>
        <v>0</v>
      </c>
      <c r="AA32" s="357">
        <f>=IF(AND($J29="是",AA$209&gt;=$H29+$I29),(($F29-$F29*$G29)/$H29),0)</f>
        <v>0</v>
      </c>
      <c r="AB32" s="357">
        <f>=IF(AND($J29="是",AB$209&gt;=$H29+$I29),(($F29-$F29*$G29)/$H29),0)</f>
        <v>0</v>
      </c>
      <c r="AC32" s="357">
        <f>=IF(AND($J29="是",AC$209&gt;=$H29+$I29),(($F29-$F29*$G29)/$H29),0)</f>
        <v>0</v>
      </c>
      <c r="AD32" s="357">
        <f>=IF(AND($J29="是",AD$209&gt;=$H29+$I29),(($F29-$F29*$G29)/$H29),0)</f>
        <v>0</v>
      </c>
      <c r="AE32" s="357">
        <f>=IF(AND($J29="是",AE$209&gt;=$H29+$I29),(($F29-$F29*$G29)/$H29),0)</f>
        <v>0</v>
      </c>
      <c r="AF32" s="357">
        <f>=IF(AND($J29="是",AF$209&gt;=$H29+$I29),(($F29-$F29*$G29)/$H29),0)</f>
        <v>0</v>
      </c>
    </row>
    <row r="33" spans="1:32" ht="12" customHeight="true">
      <c r="A33" s="297" t="s"/>
      <c r="B33" s="358" t="s">
        <v>707</v>
      </c>
      <c r="C33" s="358" t="s"/>
      <c r="D33" s="358" t="s"/>
      <c r="E33" s="358" t="s"/>
      <c r="F33" s="358" t="s"/>
      <c r="G33" s="358" t="s"/>
      <c r="H33" s="358" t="s"/>
      <c r="I33" s="358" t="s"/>
      <c r="J33" s="358" t="s"/>
      <c r="K33" s="357">
        <f>=IF(K$209&lt;$I29+$H29,0,IF($J29="是",IF(OR($H29=1,MOD(K$209-$I29+1,$H29)=1),$F29-K32,J33-K32),0))</f>
        <v>0</v>
      </c>
      <c r="L33" s="357">
        <f>=IF(L$209&lt;$I29+$H29,0,IF($J29="是",IF(OR($H29=1,MOD(L$209-$I29+1,$H29)=1),$F29-L32,K33-L32),0))</f>
        <v>0</v>
      </c>
      <c r="M33" s="357">
        <f>=IF(M$209&lt;$I29+$H29,0,IF($J29="是",IF(OR($H29=1,MOD(M$209-$I29+1,$H29)=1),$F29-M32,L33-M32),0))</f>
        <v>0</v>
      </c>
      <c r="N33" s="357">
        <f>=IF(N$209&lt;$I29+$H29,0,IF($J29="是",IF(OR($H29=1,MOD(N$209-$I29+1,$H29)=1),$F29-N32,M33-N32),0))</f>
        <v>0</v>
      </c>
      <c r="O33" s="357">
        <f>=IF(O$209&lt;$I29+$H29,0,IF($J29="是",IF(OR($H29=1,MOD(O$209-$I29+1,$H29)=1),$F29-O32,N33-O32),0))</f>
        <v>0</v>
      </c>
      <c r="P33" s="357">
        <f>=IF(P$209&lt;$I29+$H29,0,IF($J29="是",IF(OR($H29=1,MOD(P$209-$I29+1,$H29)=1),$F29-P32,O33-P32),0))</f>
        <v>0</v>
      </c>
      <c r="Q33" s="357">
        <f>=IF(Q$209&lt;$I29+$H29,0,IF($J29="是",IF(OR($H29=1,MOD(Q$209-$I29+1,$H29)=1),$F29-Q32,P33-Q32),0))</f>
        <v>0</v>
      </c>
      <c r="R33" s="357">
        <f>=IF(R$209&lt;$I29+$H29,0,IF($J29="是",IF(OR($H29=1,MOD(R$209-$I29+1,$H29)=1),$F29-R32,Q33-R32),0))</f>
        <v>0</v>
      </c>
      <c r="S33" s="357">
        <f>=IF(S$209&lt;$I29+$H29,0,IF($J29="是",IF(OR($H29=1,MOD(S$209-$I29+1,$H29)=1),$F29-S32,R33-S32),0))</f>
        <v>0</v>
      </c>
      <c r="T33" s="357">
        <f>=IF(T$209&lt;$I29+$H29,0,IF($J29="是",IF(OR($H29=1,MOD(T$209-$I29+1,$H29)=1),$F29-T32,S33-T32),0))</f>
        <v>0</v>
      </c>
      <c r="U33" s="357">
        <f>=IF(U$209&lt;$I29+$H29,0,IF($J29="是",IF(OR($H29=1,MOD(U$209-$I29+1,$H29)=1),$F29-U32,T33-U32),0))</f>
        <v>0</v>
      </c>
      <c r="V33" s="357">
        <f>=IF(V$209&lt;$I29+$H29,0,IF($J29="是",IF(OR($H29=1,MOD(V$209-$I29+1,$H29)=1),$F29-V32,U33-V32),0))</f>
        <v>0</v>
      </c>
      <c r="W33" s="357">
        <f>=IF(W$209&lt;$I29+$H29,0,IF($J29="是",IF(OR($H29=1,MOD(W$209-$I29+1,$H29)=1),$F29-W32,V33-W32),0))</f>
        <v>0</v>
      </c>
      <c r="X33" s="357">
        <f>=IF(X$209&lt;$I29+$H29,0,IF($J29="是",IF(OR($H29=1,MOD(X$209-$I29+1,$H29)=1),$F29-X32,W33-X32),0))</f>
        <v>0</v>
      </c>
      <c r="Y33" s="357">
        <f>=IF(Y$209&lt;$I29+$H29,0,IF($J29="是",IF(OR($H29=1,MOD(Y$209-$I29+1,$H29)=1),$F29-Y32,X33-Y32),0))</f>
        <v>0</v>
      </c>
      <c r="Z33" s="357">
        <f>=IF(Z$209&lt;$I29+$H29,0,IF($J29="是",IF(OR($H29=1,MOD(Z$209-$I29+1,$H29)=1),$F29-Z32,Y33-Z32),0))</f>
        <v>0</v>
      </c>
      <c r="AA33" s="357">
        <f>=IF(AA$209&lt;$I29+$H29,0,IF($J29="是",IF(OR($H29=1,MOD(AA$209-$I29+1,$H29)=1),$F29-AA32,Z33-AA32),0))</f>
        <v>0</v>
      </c>
      <c r="AB33" s="357">
        <f>=IF(AB$209&lt;$I29+$H29,0,IF($J29="是",IF(OR($H29=1,MOD(AB$209-$I29+1,$H29)=1),$F29-AB32,AA33-AB32),0))</f>
        <v>0</v>
      </c>
      <c r="AC33" s="357">
        <f>=IF(AC$209&lt;$I29+$H29,0,IF($J29="是",IF(OR($H29=1,MOD(AC$209-$I29+1,$H29)=1),$F29-AC32,AB33-AC32),0))</f>
        <v>0</v>
      </c>
      <c r="AD33" s="357">
        <f>=IF(AD$209&lt;$I29+$H29,0,IF($J29="是",IF(OR($H29=1,MOD(AD$209-$I29+1,$H29)=1),$F29-AD32,AC33-AD32),0))</f>
        <v>0</v>
      </c>
      <c r="AE33" s="357">
        <f>=IF(AE$209&lt;$I29+$H29,0,IF($J29="是",IF(OR($H29=1,MOD(AE$209-$I29+1,$H29)=1),$F29-AE32,AD33-AE32),0))</f>
        <v>0</v>
      </c>
      <c r="AF33" s="357">
        <f>=IF(AF$209&lt;$I29+$H29,0,IF($J29="是",IF(OR($H29=1,MOD(AF$209-$I29+1,$H29)=1),$F29-AF32,AE33-AF32),0))</f>
        <v>0</v>
      </c>
    </row>
    <row r="34" spans="1:32" ht="12" customHeight="true">
      <c r="A34" s="297" t="s"/>
      <c r="B34" s="358" t="s">
        <v>708</v>
      </c>
      <c r="C34" s="358" t="s"/>
      <c r="D34" s="358" t="s"/>
      <c r="E34" s="358" t="s"/>
      <c r="F34" s="358" t="s"/>
      <c r="G34" s="358" t="s"/>
      <c r="H34" s="358" t="s"/>
      <c r="I34" s="358" t="s"/>
      <c r="J34" s="358" t="s"/>
      <c r="K34" s="357">
        <f>=IF(AND($J29="是",K$209&gt;=$H29+$I29,MOD(K$209-$I29+1,$H29)=1),$F29,0)</f>
        <v>0</v>
      </c>
      <c r="L34" s="357">
        <f>=IF(AND($J29="是",L$209&gt;=$H29+$I29,MOD(L$209-$I29+1,$H29)=1),$F29,0)</f>
        <v>0</v>
      </c>
      <c r="M34" s="357">
        <f>=IF(AND($J29="是",M$209&gt;=$H29+$I29,MOD(M$209-$I29+1,$H29)=1),$F29,0)</f>
        <v>0</v>
      </c>
      <c r="N34" s="357">
        <f>=IF(AND($J29="是",N$209&gt;=$H29+$I29,MOD(N$209-$I29+1,$H29)=1),$F29,0)</f>
        <v>0</v>
      </c>
      <c r="O34" s="357">
        <f>=IF(AND($J29="是",O$209&gt;=$H29+$I29,MOD(O$209-$I29+1,$H29)=1),$F29,0)</f>
        <v>0</v>
      </c>
      <c r="P34" s="357">
        <f>=IF(AND($J29="是",P$209&gt;=$H29+$I29,MOD(P$209-$I29+1,$H29)=1),$F29,0)</f>
        <v>0</v>
      </c>
      <c r="Q34" s="357">
        <f>=IF(AND($J29="是",Q$209&gt;=$H29+$I29,MOD(Q$209-$I29+1,$H29)=1),$F29,0)</f>
        <v>0</v>
      </c>
      <c r="R34" s="357">
        <f>=IF(AND($J29="是",R$209&gt;=$H29+$I29,MOD(R$209-$I29+1,$H29)=1),$F29,0)</f>
        <v>0</v>
      </c>
      <c r="S34" s="357">
        <f>=IF(AND($J29="是",S$209&gt;=$H29+$I29,MOD(S$209-$I29+1,$H29)=1),$F29,0)</f>
        <v>0</v>
      </c>
      <c r="T34" s="357">
        <f>=IF(AND($J29="是",T$209&gt;=$H29+$I29,MOD(T$209-$I29+1,$H29)=1),$F29,0)</f>
        <v>0</v>
      </c>
      <c r="U34" s="357">
        <f>=IF(AND($J29="是",U$209&gt;=$H29+$I29,MOD(U$209-$I29+1,$H29)=1),$F29,0)</f>
        <v>0</v>
      </c>
      <c r="V34" s="357">
        <f>=IF(AND($J29="是",V$209&gt;=$H29+$I29,MOD(V$209-$I29+1,$H29)=1),$F29,0)</f>
        <v>0</v>
      </c>
      <c r="W34" s="357">
        <f>=IF(AND($J29="是",W$209&gt;=$H29+$I29,MOD(W$209-$I29+1,$H29)=1),$F29,0)</f>
        <v>0</v>
      </c>
      <c r="X34" s="357">
        <f>=IF(AND($J29="是",X$209&gt;=$H29+$I29,MOD(X$209-$I29+1,$H29)=1),$F29,0)</f>
        <v>0</v>
      </c>
      <c r="Y34" s="357">
        <f>=IF(AND($J29="是",Y$209&gt;=$H29+$I29,MOD(Y$209-$I29+1,$H29)=1),$F29,0)</f>
        <v>0</v>
      </c>
      <c r="Z34" s="357">
        <f>=IF(AND($J29="是",Z$209&gt;=$H29+$I29,MOD(Z$209-$I29+1,$H29)=1),$F29,0)</f>
        <v>0</v>
      </c>
      <c r="AA34" s="357">
        <f>=IF(AND($J29="是",AA$209&gt;=$H29+$I29,MOD(AA$209-$I29+1,$H29)=1),$F29,0)</f>
        <v>0</v>
      </c>
      <c r="AB34" s="357">
        <f>=IF(AND($J29="是",AB$209&gt;=$H29+$I29,MOD(AB$209-$I29+1,$H29)=1),$F29,0)</f>
        <v>0</v>
      </c>
      <c r="AC34" s="357">
        <f>=IF(AND($J29="是",AC$209&gt;=$H29+$I29,MOD(AC$209-$I29+1,$H29)=1),$F29,0)</f>
        <v>0</v>
      </c>
      <c r="AD34" s="357">
        <f>=IF(AND($J29="是",AD$209&gt;=$H29+$I29,MOD(AD$209-$I29+1,$H29)=1),$F29,0)</f>
        <v>0</v>
      </c>
      <c r="AE34" s="357">
        <f>=IF(AND($J29="是",AE$209&gt;=$H29+$I29,MOD(AE$209-$I29+1,$H29)=1),$F29,0)</f>
        <v>0</v>
      </c>
      <c r="AF34" s="357">
        <f>=IF(AND($J29="是",AF$209&gt;=$H29+$I29,MOD(AF$209-$I29+1,$H29)=1),$F29,0)</f>
        <v>0</v>
      </c>
    </row>
    <row r="35" spans="1:32" ht="12" customHeight="true">
      <c r="A35" s="297" t="s"/>
      <c r="B35" s="358" t="s">
        <v>709</v>
      </c>
      <c r="C35" s="358" t="s"/>
      <c r="D35" s="358" t="s"/>
      <c r="E35" s="358" t="s"/>
      <c r="F35" s="358" t="s"/>
      <c r="G35" s="358" t="s"/>
      <c r="H35" s="358" t="s"/>
      <c r="I35" s="358" t="s"/>
      <c r="J35" s="358" t="s"/>
      <c r="K35" s="357">
        <f>=IF(K$209=辅助表1评估项目基础数据表!$C$3+辅助表1评估项目基础数据表!$C$5,K31+K33,IF(AND($J29="是",K$209&gt;=$H29+$I29,MOD(K$209-$I29+1,$H29)=1),$F29*$G29,0))</f>
        <v>0</v>
      </c>
      <c r="L35" s="357">
        <f>=IF(L$209=辅助表1评估项目基础数据表!$C$3+辅助表1评估项目基础数据表!$C$5,L31+L33,IF(AND($J29="是",L$209&gt;=$H29+$I29,MOD(L$209-$I29+1,$H29)=1),$F29*$G29,0))</f>
        <v>0</v>
      </c>
      <c r="M35" s="357">
        <f>=IF(M$209=辅助表1评估项目基础数据表!$C$3+辅助表1评估项目基础数据表!$C$5,M31+M33,IF(AND($J29="是",M$209&gt;=$H29+$I29,MOD(M$209-$I29+1,$H29)=1),$F29*$G29,0))</f>
        <v>0</v>
      </c>
      <c r="N35" s="357">
        <f>=IF(N$209=辅助表1评估项目基础数据表!$C$3+辅助表1评估项目基础数据表!$C$5,N31+N33,IF(AND($J29="是",N$209&gt;=$H29+$I29,MOD(N$209-$I29+1,$H29)=1),$F29*$G29,0))</f>
        <v>0</v>
      </c>
      <c r="O35" s="357">
        <f>=IF(O$209=辅助表1评估项目基础数据表!$C$3+辅助表1评估项目基础数据表!$C$5,O31+O33,IF(AND($J29="是",O$209&gt;=$H29+$I29,MOD(O$209-$I29+1,$H29)=1),$F29*$G29,0))</f>
        <v>0</v>
      </c>
      <c r="P35" s="357">
        <f>=IF(P$209=辅助表1评估项目基础数据表!$C$3+辅助表1评估项目基础数据表!$C$5,P31+P33,IF(AND($J29="是",P$209&gt;=$H29+$I29,MOD(P$209-$I29+1,$H29)=1),$F29*$G29,0))</f>
        <v>0</v>
      </c>
      <c r="Q35" s="357">
        <f>=IF(Q$209=辅助表1评估项目基础数据表!$C$3+辅助表1评估项目基础数据表!$C$5,Q31+Q33,IF(AND($J29="是",Q$209&gt;=$H29+$I29,MOD(Q$209-$I29+1,$H29)=1),$F29*$G29,0))</f>
        <v>0</v>
      </c>
      <c r="R35" s="357">
        <f>=IF(R$209=辅助表1评估项目基础数据表!$C$3+辅助表1评估项目基础数据表!$C$5,R31+R33,IF(AND($J29="是",R$209&gt;=$H29+$I29,MOD(R$209-$I29+1,$H29)=1),$F29*$G29,0))</f>
        <v>0</v>
      </c>
      <c r="S35" s="357">
        <f>=IF(S$209=辅助表1评估项目基础数据表!$C$3+辅助表1评估项目基础数据表!$C$5,S31+S33,IF(AND($J29="是",S$209&gt;=$H29+$I29,MOD(S$209-$I29+1,$H29)=1),$F29*$G29,0))</f>
        <v>0</v>
      </c>
      <c r="T35" s="357">
        <f>=IF(T$209=辅助表1评估项目基础数据表!$C$3+辅助表1评估项目基础数据表!$C$5,T31+T33,IF(AND($J29="是",T$209&gt;=$H29+$I29,MOD(T$209-$I29+1,$H29)=1),$F29*$G29,0))</f>
        <v>0</v>
      </c>
      <c r="U35" s="357">
        <f>=IF(U$209=辅助表1评估项目基础数据表!$C$3+辅助表1评估项目基础数据表!$C$5,U31+U33,IF(AND($J29="是",U$209&gt;=$H29+$I29,MOD(U$209-$I29+1,$H29)=1),$F29*$G29,0))</f>
        <v>0</v>
      </c>
      <c r="V35" s="357">
        <f>=IF(V$209=辅助表1评估项目基础数据表!$C$3+辅助表1评估项目基础数据表!$C$5,V31+V33,IF(AND($J29="是",V$209&gt;=$H29+$I29,MOD(V$209-$I29+1,$H29)=1),$F29*$G29,0))</f>
        <v>0</v>
      </c>
      <c r="W35" s="357">
        <f>=IF(W$209=辅助表1评估项目基础数据表!$C$3+辅助表1评估项目基础数据表!$C$5,W31+W33,IF(AND($J29="是",W$209&gt;=$H29+$I29,MOD(W$209-$I29+1,$H29)=1),$F29*$G29,0))</f>
        <v>0</v>
      </c>
      <c r="X35" s="357">
        <f>=IF(X$209=辅助表1评估项目基础数据表!$C$3+辅助表1评估项目基础数据表!$C$5,X31+X33,IF(AND($J29="是",X$209&gt;=$H29+$I29,MOD(X$209-$I29+1,$H29)=1),$F29*$G29,0))</f>
        <v>0</v>
      </c>
      <c r="Y35" s="357">
        <f>=IF(Y$209=辅助表1评估项目基础数据表!$C$3+辅助表1评估项目基础数据表!$C$5,Y31+Y33,IF(AND($J29="是",Y$209&gt;=$H29+$I29,MOD(Y$209-$I29+1,$H29)=1),$F29*$G29,0))</f>
        <v>0</v>
      </c>
      <c r="Z35" s="357">
        <f>=IF(Z$209=辅助表1评估项目基础数据表!$C$3+辅助表1评估项目基础数据表!$C$5,Z31+Z33,IF(AND($J29="是",Z$209&gt;=$H29+$I29,MOD(Z$209-$I29+1,$H29)=1),$F29*$G29,0))</f>
        <v>0</v>
      </c>
      <c r="AA35" s="357">
        <f>=IF(AA$209=辅助表1评估项目基础数据表!$C$3+辅助表1评估项目基础数据表!$C$5,AA31+AA33,IF(AND($J29="是",AA$209&gt;=$H29+$I29,MOD(AA$209-$I29+1,$H29)=1),$F29*$G29,0))</f>
        <v>0</v>
      </c>
      <c r="AB35" s="357">
        <f>=IF(AB$209=辅助表1评估项目基础数据表!$C$3+辅助表1评估项目基础数据表!$C$5,AB31+AB33,IF(AND($J29="是",AB$209&gt;=$H29+$I29,MOD(AB$209-$I29+1,$H29)=1),$F29*$G29,0))</f>
        <v>0</v>
      </c>
      <c r="AC35" s="357">
        <f>=IF(AC$209=辅助表1评估项目基础数据表!$C$3+辅助表1评估项目基础数据表!$C$5,AC31+AC33,IF(AND($J29="是",AC$209&gt;=$H29+$I29,MOD(AC$209-$I29+1,$H29)=1),$F29*$G29,0))</f>
        <v>0</v>
      </c>
      <c r="AD35" s="357">
        <f>=IF(AD$209=辅助表1评估项目基础数据表!$C$3+辅助表1评估项目基础数据表!$C$5,AD31+AD33,IF(AND($J29="是",AD$209&gt;=$H29+$I29,MOD(AD$209-$I29+1,$H29)=1),$F29*$G29,0))</f>
        <v>0</v>
      </c>
      <c r="AE35" s="357">
        <f>=IF(AE$209=辅助表1评估项目基础数据表!$C$3+辅助表1评估项目基础数据表!$C$5,AE31+AE33,IF(AND($J29="是",AE$209&gt;=$H29+$I29,MOD(AE$209-$I29+1,$H29)=1),$F29*$G29,0))</f>
        <v>0</v>
      </c>
      <c r="AF35" s="357">
        <f>=IF(AF$209=辅助表1评估项目基础数据表!$C$3+辅助表1评估项目基础数据表!$C$5,AF31+AF33,IF(AND($J29="是",AF$209&gt;=$H29+$I29,MOD(AF$209-$I29+1,$H29)=1),$F29*$G29,0))</f>
        <v>0</v>
      </c>
    </row>
    <row r="36" spans="1:32" ht="12" customHeight="true">
      <c r="A36" s="297" t="s"/>
      <c r="B36" s="358" t="s">
        <v>710</v>
      </c>
      <c r="C36" s="358" t="s"/>
      <c r="D36" s="358" t="s"/>
      <c r="E36" s="358" t="s"/>
      <c r="F36" s="357">
        <f>=IF($D29="是",$C29*$E29/(1+$E29),0)</f>
        <v>0</v>
      </c>
      <c r="G36" s="358" t="s"/>
      <c r="H36" s="358" t="s"/>
      <c r="I36" s="358" t="s"/>
      <c r="J36" s="358" t="s"/>
      <c r="K36" s="357">
        <f>=IF($J29="是",IF(AND(K$209-$I29+1&gt;0,MOD(K$209-$I29+1,$H29)=1),$F36,0),IF(K$209-$I29+1=1,$F36,0))</f>
        <v>0</v>
      </c>
      <c r="L36" s="357">
        <f>=IF($J29="是",IF(AND(L$209-$I29+1&gt;0,MOD(L$209-$I29+1,$H29)=1),$F36,0),IF(L$209-$I29+1=1,$F36,0))</f>
        <v>0</v>
      </c>
      <c r="M36" s="357">
        <f>=IF($J29="是",IF(AND(M$209-$I29+1&gt;0,MOD(M$209-$I29+1,$H29)=1),$F36,0),IF(M$209-$I29+1=1,$F36,0))</f>
        <v>0</v>
      </c>
      <c r="N36" s="357">
        <f>=IF($J29="是",IF(AND(N$209-$I29+1&gt;0,MOD(N$209-$I29+1,$H29)=1),$F36,0),IF(N$209-$I29+1=1,$F36,0))</f>
        <v>0</v>
      </c>
      <c r="O36" s="357">
        <f>=IF($J29="是",IF(AND(O$209-$I29+1&gt;0,MOD(O$209-$I29+1,$H29)=1),$F36,0),IF(O$209-$I29+1=1,$F36,0))</f>
        <v>0</v>
      </c>
      <c r="P36" s="357">
        <f>=IF($J29="是",IF(AND(P$209-$I29+1&gt;0,MOD(P$209-$I29+1,$H29)=1),$F36,0),IF(P$209-$I29+1=1,$F36,0))</f>
        <v>0</v>
      </c>
      <c r="Q36" s="357">
        <f>=IF($J29="是",IF(AND(Q$209-$I29+1&gt;0,MOD(Q$209-$I29+1,$H29)=1),$F36,0),IF(Q$209-$I29+1=1,$F36,0))</f>
        <v>0</v>
      </c>
      <c r="R36" s="357">
        <f>=IF($J29="是",IF(AND(R$209-$I29+1&gt;0,MOD(R$209-$I29+1,$H29)=1),$F36,0),IF(R$209-$I29+1=1,$F36,0))</f>
        <v>0</v>
      </c>
      <c r="S36" s="357">
        <f>=IF($J29="是",IF(AND(S$209-$I29+1&gt;0,MOD(S$209-$I29+1,$H29)=1),$F36,0),IF(S$209-$I29+1=1,$F36,0))</f>
        <v>0</v>
      </c>
      <c r="T36" s="357">
        <f>=IF($J29="是",IF(AND(T$209-$I29+1&gt;0,MOD(T$209-$I29+1,$H29)=1),$F36,0),IF(T$209-$I29+1=1,$F36,0))</f>
        <v>0</v>
      </c>
      <c r="U36" s="357">
        <f>=IF($J29="是",IF(AND(U$209-$I29+1&gt;0,MOD(U$209-$I29+1,$H29)=1),$F36,0),IF(U$209-$I29+1=1,$F36,0))</f>
        <v>0</v>
      </c>
      <c r="V36" s="357">
        <f>=IF($J29="是",IF(AND(V$209-$I29+1&gt;0,MOD(V$209-$I29+1,$H29)=1),$F36,0),IF(V$209-$I29+1=1,$F36,0))</f>
        <v>0</v>
      </c>
      <c r="W36" s="357">
        <f>=IF($J29="是",IF(AND(W$209-$I29+1&gt;0,MOD(W$209-$I29+1,$H29)=1),$F36,0),IF(W$209-$I29+1=1,$F36,0))</f>
        <v>0</v>
      </c>
      <c r="X36" s="357">
        <f>=IF($J29="是",IF(AND(X$209-$I29+1&gt;0,MOD(X$209-$I29+1,$H29)=1),$F36,0),IF(X$209-$I29+1=1,$F36,0))</f>
        <v>0</v>
      </c>
      <c r="Y36" s="357">
        <f>=IF($J29="是",IF(AND(Y$209-$I29+1&gt;0,MOD(Y$209-$I29+1,$H29)=1),$F36,0),IF(Y$209-$I29+1=1,$F36,0))</f>
        <v>0</v>
      </c>
      <c r="Z36" s="357">
        <f>=IF($J29="是",IF(AND(Z$209-$I29+1&gt;0,MOD(Z$209-$I29+1,$H29)=1),$F36,0),IF(Z$209-$I29+1=1,$F36,0))</f>
        <v>0</v>
      </c>
      <c r="AA36" s="357">
        <f>=IF($J29="是",IF(AND(AA$209-$I29+1&gt;0,MOD(AA$209-$I29+1,$H29)=1),$F36,0),IF(AA$209-$I29+1=1,$F36,0))</f>
        <v>0</v>
      </c>
      <c r="AB36" s="357">
        <f>=IF($J29="是",IF(AND(AB$209-$I29+1&gt;0,MOD(AB$209-$I29+1,$H29)=1),$F36,0),IF(AB$209-$I29+1=1,$F36,0))</f>
        <v>0</v>
      </c>
      <c r="AC36" s="357">
        <f>=IF($J29="是",IF(AND(AC$209-$I29+1&gt;0,MOD(AC$209-$I29+1,$H29)=1),$F36,0),IF(AC$209-$I29+1=1,$F36,0))</f>
        <v>0</v>
      </c>
      <c r="AD36" s="357">
        <f>=IF($J29="是",IF(AND(AD$209-$I29+1&gt;0,MOD(AD$209-$I29+1,$H29)=1),$F36,0),IF(AD$209-$I29+1=1,$F36,0))</f>
        <v>0</v>
      </c>
      <c r="AE36" s="357">
        <f>=IF($J29="是",IF(AND(AE$209-$I29+1&gt;0,MOD(AE$209-$I29+1,$H29)=1),$F36,0),IF(AE$209-$I29+1=1,$F36,0))</f>
        <v>0</v>
      </c>
      <c r="AF36" s="357">
        <f>=IF($J29="是",IF(AND(AF$209-$I29+1&gt;0,MOD(AF$209-$I29+1,$H29)=1),$F36,0),IF(AF$209-$I29+1=1,$F36,0))</f>
        <v>0</v>
      </c>
    </row>
    <row r="37" spans="1:33" ht="12" customHeight="true">
      <c r="A37" s="297">
        <v>3</v>
      </c>
      <c r="B37" s="363" t="s"/>
      <c r="C37" s="364" t="s"/>
      <c r="D37" s="365" t="s"/>
      <c r="E37" s="366" t="s"/>
      <c r="F37" s="357">
        <f>=IF($D37="是",$C37/(1+$E37),$C37)</f>
        <v>0</v>
      </c>
      <c r="G37" s="367" t="s"/>
      <c r="H37" s="368">
        <v>10</v>
      </c>
      <c r="I37" s="369">
        <f>=辅助表1评估项目基础数据表!$C$3+1</f>
        <v>3</v>
      </c>
      <c r="J37" s="370" t="s">
        <v>185</v>
      </c>
      <c r="K37" s="371" t="s"/>
      <c r="L37" s="371" t="s"/>
      <c r="M37" s="372" t="s"/>
      <c r="N37" s="372" t="s"/>
      <c r="O37" s="372" t="s"/>
      <c r="P37" s="372" t="s"/>
      <c r="Q37" s="372" t="s"/>
      <c r="R37" s="372" t="s"/>
      <c r="S37" s="372" t="s"/>
      <c r="T37" s="372" t="s"/>
      <c r="U37" s="372" t="s"/>
      <c r="V37" s="372" t="s"/>
      <c r="W37" s="372" t="s"/>
      <c r="X37" s="372" t="s"/>
      <c r="Y37" s="372" t="s"/>
      <c r="Z37" s="372" t="s"/>
      <c r="AA37" s="372" t="s"/>
      <c r="AB37" s="372" t="s"/>
      <c r="AC37" s="372" t="s"/>
      <c r="AD37" s="372" t="s"/>
      <c r="AE37" s="372" t="s"/>
      <c r="AF37" s="372" t="s"/>
      <c r="AG37" s="188" t="s">
        <v>447</v>
      </c>
    </row>
    <row r="38" spans="1:32" s="709" customFormat="true" ht="12" customHeight="true">
      <c r="A38" s="373" t="s"/>
      <c r="B38" s="374" t="s">
        <v>704</v>
      </c>
      <c r="C38" s="375" t="s">
        <v>714</v>
      </c>
      <c r="D38" s="358" t="s"/>
      <c r="E38" s="358" t="s"/>
      <c r="F38" s="358" t="s"/>
      <c r="G38" s="374" t="s"/>
      <c r="H38" s="374" t="s"/>
      <c r="I38" s="374" t="s"/>
      <c r="J38" s="374" t="s"/>
      <c r="K38" s="376">
        <f>=IF(K$209&lt;$I37,0,IF($H37&gt;(K$209-$I37),(($F37-$F37*$G37)/$H37),0))</f>
        <v>0</v>
      </c>
      <c r="L38" s="376">
        <f>=IF(L$209&lt;$I37,0,IF($H37&gt;(L$209-$I37),(($F37-$F37*$G37)/$H37),0))</f>
        <v>0</v>
      </c>
      <c r="M38" s="376">
        <f>=IF(M$209&lt;$I37,0,IF($H37&gt;(M$209-$I37),(($F37-$F37*$G37)/$H37),0))</f>
        <v>0</v>
      </c>
      <c r="N38" s="376">
        <f>=IF(N$209&lt;$I37,0,IF($H37&gt;(N$209-$I37),(($F37-$F37*$G37)/$H37),0))</f>
        <v>0</v>
      </c>
      <c r="O38" s="376">
        <f>=IF(O$209&lt;$I37,0,IF($H37&gt;(O$209-$I37),(($F37-$F37*$G37)/$H37),0))</f>
        <v>0</v>
      </c>
      <c r="P38" s="376">
        <f>=IF(P$209&lt;$I37,0,IF($H37&gt;(P$209-$I37),(($F37-$F37*$G37)/$H37),0))</f>
        <v>0</v>
      </c>
      <c r="Q38" s="376">
        <f>=IF(Q$209&lt;$I37,0,IF($H37&gt;(Q$209-$I37),(($F37-$F37*$G37)/$H37),0))</f>
        <v>0</v>
      </c>
      <c r="R38" s="376">
        <f>=IF(R$209&lt;$I37,0,IF($H37&gt;(R$209-$I37),(($F37-$F37*$G37)/$H37),0))</f>
        <v>0</v>
      </c>
      <c r="S38" s="376">
        <f>=IF(S$209&lt;$I37,0,IF($H37&gt;(S$209-$I37),(($F37-$F37*$G37)/$H37),0))</f>
        <v>0</v>
      </c>
      <c r="T38" s="376">
        <f>=IF(T$209&lt;$I37,0,IF($H37&gt;(T$209-$I37),(($F37-$F37*$G37)/$H37),0))</f>
        <v>0</v>
      </c>
      <c r="U38" s="376">
        <f>=IF(U$209&lt;$I37,0,IF($H37&gt;(U$209-$I37),(($F37-$F37*$G37)/$H37),0))</f>
        <v>0</v>
      </c>
      <c r="V38" s="376">
        <f>=IF(V$209&lt;$I37,0,IF($H37&gt;(V$209-$I37),(($F37-$F37*$G37)/$H37),0))</f>
        <v>0</v>
      </c>
      <c r="W38" s="376">
        <f>=IF(W$209&lt;$I37,0,IF($H37&gt;(W$209-$I37),(($F37-$F37*$G37)/$H37),0))</f>
        <v>0</v>
      </c>
      <c r="X38" s="376">
        <f>=IF(X$209&lt;$I37,0,IF($H37&gt;(X$209-$I37),(($F37-$F37*$G37)/$H37),0))</f>
        <v>0</v>
      </c>
      <c r="Y38" s="376">
        <f>=IF(Y$209&lt;$I37,0,IF($H37&gt;(Y$209-$I37),(($F37-$F37*$G37)/$H37),0))</f>
        <v>0</v>
      </c>
      <c r="Z38" s="376">
        <f>=IF(Z$209&lt;$I37,0,IF($H37&gt;(Z$209-$I37),(($F37-$F37*$G37)/$H37),0))</f>
        <v>0</v>
      </c>
      <c r="AA38" s="376">
        <f>=IF(AA$209&lt;$I37,0,IF($H37&gt;(AA$209-$I37),(($F37-$F37*$G37)/$H37),0))</f>
        <v>0</v>
      </c>
      <c r="AB38" s="376">
        <f>=IF(AB$209&lt;$I37,0,IF($H37&gt;(AB$209-$I37),(($F37-$F37*$G37)/$H37),0))</f>
        <v>0</v>
      </c>
      <c r="AC38" s="376">
        <f>=IF(AC$209&lt;$I37,0,IF($H37&gt;(AC$209-$I37),(($F37-$F37*$G37)/$H37),0))</f>
        <v>0</v>
      </c>
      <c r="AD38" s="376">
        <f>=IF(AD$209&lt;$I37,0,IF($H37&gt;(AD$209-$I37),(($F37-$F37*$G37)/$H37),0))</f>
        <v>0</v>
      </c>
      <c r="AE38" s="376">
        <f>=IF(AE$209&lt;$I37,0,IF($H37&gt;(AE$209-$I37),(($F37-$F37*$G37)/$H37),0))</f>
        <v>0</v>
      </c>
      <c r="AF38" s="376">
        <f>=IF(AF$209&lt;$I37,0,IF($H37&gt;(AF$209-$I37),(($F37-$F37*$G37)/$H37),0))</f>
        <v>0</v>
      </c>
    </row>
    <row r="39" spans="1:32" ht="12" customHeight="true">
      <c r="A39" s="297" t="s"/>
      <c r="B39" s="358" t="s">
        <v>705</v>
      </c>
      <c r="C39" s="358" t="s"/>
      <c r="D39" s="358" t="s"/>
      <c r="E39" s="358" t="s"/>
      <c r="F39" s="358" t="s"/>
      <c r="G39" s="358" t="s"/>
      <c r="H39" s="358" t="s"/>
      <c r="I39" s="358" t="s"/>
      <c r="J39" s="358" t="s"/>
      <c r="K39" s="357">
        <f>=IF(K$209=$I37,$F37-K38,0)</f>
        <v>0</v>
      </c>
      <c r="L39" s="357">
        <f>=IF(L$209=$I37,$F37-L38,IF(L$209&gt;$I37,IF(AND($J37="是",L$209&gt;=$I37+$H37),0,K39-L38),0))</f>
        <v>0</v>
      </c>
      <c r="M39" s="357">
        <f>=IF(M$209=$I37,$F37-M38,IF(M$209&gt;$I37,IF(AND($J37="是",M$209&gt;=$I37+$H37),0,L39-M38),0))</f>
        <v>0</v>
      </c>
      <c r="N39" s="357">
        <f>=IF(N$209=$I37,$F37-N38,IF(N$209&gt;$I37,IF(AND($J37="是",N$209&gt;=$I37+$H37),0,M39-N38),0))</f>
        <v>0</v>
      </c>
      <c r="O39" s="357">
        <f>=IF(O$209=$I37,$F37-O38,IF(O$209&gt;$I37,IF(AND($J37="是",O$209&gt;=$I37+$H37),0,N39-O38),0))</f>
        <v>0</v>
      </c>
      <c r="P39" s="357">
        <f>=IF(P$209=$I37,$F37-P38,IF(P$209&gt;$I37,IF(AND($J37="是",P$209&gt;=$I37+$H37),0,O39-P38),0))</f>
        <v>0</v>
      </c>
      <c r="Q39" s="357">
        <f>=IF(Q$209=$I37,$F37-Q38,IF(Q$209&gt;$I37,IF(AND($J37="是",Q$209&gt;=$I37+$H37),0,P39-Q38),0))</f>
        <v>0</v>
      </c>
      <c r="R39" s="357">
        <f>=IF(R$209=$I37,$F37-R38,IF(R$209&gt;$I37,IF(AND($J37="是",R$209&gt;=$I37+$H37),0,Q39-R38),0))</f>
        <v>0</v>
      </c>
      <c r="S39" s="357">
        <f>=IF(S$209=$I37,$F37-S38,IF(S$209&gt;$I37,IF(AND($J37="是",S$209&gt;=$I37+$H37),0,R39-S38),0))</f>
        <v>0</v>
      </c>
      <c r="T39" s="357">
        <f>=IF(T$209=$I37,$F37-T38,IF(T$209&gt;$I37,IF(AND($J37="是",T$209&gt;=$I37+$H37),0,S39-T38),0))</f>
        <v>0</v>
      </c>
      <c r="U39" s="357">
        <f>=IF(U$209=$I37,$F37-U38,IF(U$209&gt;$I37,IF(AND($J37="是",U$209&gt;=$I37+$H37),0,T39-U38),0))</f>
        <v>0</v>
      </c>
      <c r="V39" s="357">
        <f>=IF(V$209=$I37,$F37-V38,IF(V$209&gt;$I37,IF(AND($J37="是",V$209&gt;=$I37+$H37),0,U39-V38),0))</f>
        <v>0</v>
      </c>
      <c r="W39" s="357">
        <f>=IF(W$209=$I37,$F37-W38,IF(W$209&gt;$I37,IF(AND($J37="是",W$209&gt;=$I37+$H37),0,V39-W38),0))</f>
        <v>0</v>
      </c>
      <c r="X39" s="357">
        <f>=IF(X$209=$I37,$F37-X38,IF(X$209&gt;$I37,IF(AND($J37="是",X$209&gt;=$I37+$H37),0,W39-X38),0))</f>
        <v>0</v>
      </c>
      <c r="Y39" s="357">
        <f>=IF(Y$209=$I37,$F37-Y38,IF(Y$209&gt;$I37,IF(AND($J37="是",Y$209&gt;=$I37+$H37),0,X39-Y38),0))</f>
        <v>0</v>
      </c>
      <c r="Z39" s="357">
        <f>=IF(Z$209=$I37,$F37-Z38,IF(Z$209&gt;$I37,IF(AND($J37="是",Z$209&gt;=$I37+$H37),0,Y39-Z38),0))</f>
        <v>0</v>
      </c>
      <c r="AA39" s="357">
        <f>=IF(AA$209=$I37,$F37-AA38,IF(AA$209&gt;$I37,IF(AND($J37="是",AA$209&gt;=$I37+$H37),0,Z39-AA38),0))</f>
        <v>0</v>
      </c>
      <c r="AB39" s="357">
        <f>=IF(AB$209=$I37,$F37-AB38,IF(AB$209&gt;$I37,IF(AND($J37="是",AB$209&gt;=$I37+$H37),0,AA39-AB38),0))</f>
        <v>0</v>
      </c>
      <c r="AC39" s="357">
        <f>=IF(AC$209=$I37,$F37-AC38,IF(AC$209&gt;$I37,IF(AND($J37="是",AC$209&gt;=$I37+$H37),0,AB39-AC38),0))</f>
        <v>0</v>
      </c>
      <c r="AD39" s="357">
        <f>=IF(AD$209=$I37,$F37-AD38,IF(AD$209&gt;$I37,IF(AND($J37="是",AD$209&gt;=$I37+$H37),0,AC39-AD38),0))</f>
        <v>0</v>
      </c>
      <c r="AE39" s="357">
        <f>=IF(AE$209=$I37,$F37-AE38,IF(AE$209&gt;$I37,IF(AND($J37="是",AE$209&gt;=$I37+$H37),0,AD39-AE38),0))</f>
        <v>0</v>
      </c>
      <c r="AF39" s="357">
        <f>=IF(AF$209=$I37,$F37-AF38,IF(AF$209&gt;$I37,IF(AND($J37="是",AF$209&gt;=$I37+$H37),0,AE39-AF38),0))</f>
        <v>0</v>
      </c>
    </row>
    <row r="40" spans="1:32" ht="12" customHeight="true">
      <c r="A40" s="297" t="s"/>
      <c r="B40" s="358" t="s">
        <v>706</v>
      </c>
      <c r="C40" s="358" t="s"/>
      <c r="D40" s="358" t="s"/>
      <c r="E40" s="358" t="s"/>
      <c r="F40" s="358" t="s"/>
      <c r="G40" s="358" t="s"/>
      <c r="H40" s="358" t="s"/>
      <c r="I40" s="358" t="s"/>
      <c r="J40" s="358" t="s"/>
      <c r="K40" s="357">
        <f>=IF(AND($J37="是",K$209&gt;=$H37+$I37),(($F37-$F37*$G37)/$H37),0)</f>
        <v>0</v>
      </c>
      <c r="L40" s="357">
        <f>=IF(AND($J37="是",L$209&gt;=$H37+$I37),(($F37-$F37*$G37)/$H37),0)</f>
        <v>0</v>
      </c>
      <c r="M40" s="357">
        <f>=IF(AND($J37="是",M$209&gt;=$H37+$I37),(($F37-$F37*$G37)/$H37),0)</f>
        <v>0</v>
      </c>
      <c r="N40" s="357">
        <f>=IF(AND($J37="是",N$209&gt;=$H37+$I37),(($F37-$F37*$G37)/$H37),0)</f>
        <v>0</v>
      </c>
      <c r="O40" s="357">
        <f>=IF(AND($J37="是",O$209&gt;=$H37+$I37),(($F37-$F37*$G37)/$H37),0)</f>
        <v>0</v>
      </c>
      <c r="P40" s="357">
        <f>=IF(AND($J37="是",P$209&gt;=$H37+$I37),(($F37-$F37*$G37)/$H37),0)</f>
        <v>0</v>
      </c>
      <c r="Q40" s="357">
        <f>=IF(AND($J37="是",Q$209&gt;=$H37+$I37),(($F37-$F37*$G37)/$H37),0)</f>
        <v>0</v>
      </c>
      <c r="R40" s="357">
        <f>=IF(AND($J37="是",R$209&gt;=$H37+$I37),(($F37-$F37*$G37)/$H37),0)</f>
        <v>0</v>
      </c>
      <c r="S40" s="357">
        <f>=IF(AND($J37="是",S$209&gt;=$H37+$I37),(($F37-$F37*$G37)/$H37),0)</f>
        <v>0</v>
      </c>
      <c r="T40" s="357">
        <f>=IF(AND($J37="是",T$209&gt;=$H37+$I37),(($F37-$F37*$G37)/$H37),0)</f>
        <v>0</v>
      </c>
      <c r="U40" s="357">
        <f>=IF(AND($J37="是",U$209&gt;=$H37+$I37),(($F37-$F37*$G37)/$H37),0)</f>
        <v>0</v>
      </c>
      <c r="V40" s="357">
        <f>=IF(AND($J37="是",V$209&gt;=$H37+$I37),(($F37-$F37*$G37)/$H37),0)</f>
        <v>0</v>
      </c>
      <c r="W40" s="357">
        <f>=IF(AND($J37="是",W$209&gt;=$H37+$I37),(($F37-$F37*$G37)/$H37),0)</f>
        <v>0</v>
      </c>
      <c r="X40" s="357">
        <f>=IF(AND($J37="是",X$209&gt;=$H37+$I37),(($F37-$F37*$G37)/$H37),0)</f>
        <v>0</v>
      </c>
      <c r="Y40" s="357">
        <f>=IF(AND($J37="是",Y$209&gt;=$H37+$I37),(($F37-$F37*$G37)/$H37),0)</f>
        <v>0</v>
      </c>
      <c r="Z40" s="357">
        <f>=IF(AND($J37="是",Z$209&gt;=$H37+$I37),(($F37-$F37*$G37)/$H37),0)</f>
        <v>0</v>
      </c>
      <c r="AA40" s="357">
        <f>=IF(AND($J37="是",AA$209&gt;=$H37+$I37),(($F37-$F37*$G37)/$H37),0)</f>
        <v>0</v>
      </c>
      <c r="AB40" s="357">
        <f>=IF(AND($J37="是",AB$209&gt;=$H37+$I37),(($F37-$F37*$G37)/$H37),0)</f>
        <v>0</v>
      </c>
      <c r="AC40" s="357">
        <f>=IF(AND($J37="是",AC$209&gt;=$H37+$I37),(($F37-$F37*$G37)/$H37),0)</f>
        <v>0</v>
      </c>
      <c r="AD40" s="357">
        <f>=IF(AND($J37="是",AD$209&gt;=$H37+$I37),(($F37-$F37*$G37)/$H37),0)</f>
        <v>0</v>
      </c>
      <c r="AE40" s="357">
        <f>=IF(AND($J37="是",AE$209&gt;=$H37+$I37),(($F37-$F37*$G37)/$H37),0)</f>
        <v>0</v>
      </c>
      <c r="AF40" s="357">
        <f>=IF(AND($J37="是",AF$209&gt;=$H37+$I37),(($F37-$F37*$G37)/$H37),0)</f>
        <v>0</v>
      </c>
    </row>
    <row r="41" spans="1:32" ht="12" customHeight="true">
      <c r="A41" s="297" t="s"/>
      <c r="B41" s="358" t="s">
        <v>707</v>
      </c>
      <c r="C41" s="358" t="s"/>
      <c r="D41" s="358" t="s"/>
      <c r="E41" s="358" t="s"/>
      <c r="F41" s="358" t="s"/>
      <c r="G41" s="358" t="s"/>
      <c r="H41" s="358" t="s"/>
      <c r="I41" s="358" t="s"/>
      <c r="J41" s="358" t="s"/>
      <c r="K41" s="357">
        <f>=IF(K$209&lt;$I37+$H37,0,IF($J37="是",IF(OR($H37=1,MOD(K$209-$I37+1,$H37)=1),$F37-K40,J41-K40),0))</f>
        <v>0</v>
      </c>
      <c r="L41" s="357">
        <f>=IF(L$209&lt;$I37+$H37,0,IF($J37="是",IF(OR($H37=1,MOD(L$209-$I37+1,$H37)=1),$F37-L40,K41-L40),0))</f>
        <v>0</v>
      </c>
      <c r="M41" s="357">
        <f>=IF(M$209&lt;$I37+$H37,0,IF($J37="是",IF(OR($H37=1,MOD(M$209-$I37+1,$H37)=1),$F37-M40,L41-M40),0))</f>
        <v>0</v>
      </c>
      <c r="N41" s="357">
        <f>=IF(N$209&lt;$I37+$H37,0,IF($J37="是",IF(OR($H37=1,MOD(N$209-$I37+1,$H37)=1),$F37-N40,M41-N40),0))</f>
        <v>0</v>
      </c>
      <c r="O41" s="357">
        <f>=IF(O$209&lt;$I37+$H37,0,IF($J37="是",IF(OR($H37=1,MOD(O$209-$I37+1,$H37)=1),$F37-O40,N41-O40),0))</f>
        <v>0</v>
      </c>
      <c r="P41" s="357">
        <f>=IF(P$209&lt;$I37+$H37,0,IF($J37="是",IF(OR($H37=1,MOD(P$209-$I37+1,$H37)=1),$F37-P40,O41-P40),0))</f>
        <v>0</v>
      </c>
      <c r="Q41" s="357">
        <f>=IF(Q$209&lt;$I37+$H37,0,IF($J37="是",IF(OR($H37=1,MOD(Q$209-$I37+1,$H37)=1),$F37-Q40,P41-Q40),0))</f>
        <v>0</v>
      </c>
      <c r="R41" s="357">
        <f>=IF(R$209&lt;$I37+$H37,0,IF($J37="是",IF(OR($H37=1,MOD(R$209-$I37+1,$H37)=1),$F37-R40,Q41-R40),0))</f>
        <v>0</v>
      </c>
      <c r="S41" s="357">
        <f>=IF(S$209&lt;$I37+$H37,0,IF($J37="是",IF(OR($H37=1,MOD(S$209-$I37+1,$H37)=1),$F37-S40,R41-S40),0))</f>
        <v>0</v>
      </c>
      <c r="T41" s="357">
        <f>=IF(T$209&lt;$I37+$H37,0,IF($J37="是",IF(OR($H37=1,MOD(T$209-$I37+1,$H37)=1),$F37-T40,S41-T40),0))</f>
        <v>0</v>
      </c>
      <c r="U41" s="357">
        <f>=IF(U$209&lt;$I37+$H37,0,IF($J37="是",IF(OR($H37=1,MOD(U$209-$I37+1,$H37)=1),$F37-U40,T41-U40),0))</f>
        <v>0</v>
      </c>
      <c r="V41" s="357">
        <f>=IF(V$209&lt;$I37+$H37,0,IF($J37="是",IF(OR($H37=1,MOD(V$209-$I37+1,$H37)=1),$F37-V40,U41-V40),0))</f>
        <v>0</v>
      </c>
      <c r="W41" s="357">
        <f>=IF(W$209&lt;$I37+$H37,0,IF($J37="是",IF(OR($H37=1,MOD(W$209-$I37+1,$H37)=1),$F37-W40,V41-W40),0))</f>
        <v>0</v>
      </c>
      <c r="X41" s="357">
        <f>=IF(X$209&lt;$I37+$H37,0,IF($J37="是",IF(OR($H37=1,MOD(X$209-$I37+1,$H37)=1),$F37-X40,W41-X40),0))</f>
        <v>0</v>
      </c>
      <c r="Y41" s="357">
        <f>=IF(Y$209&lt;$I37+$H37,0,IF($J37="是",IF(OR($H37=1,MOD(Y$209-$I37+1,$H37)=1),$F37-Y40,X41-Y40),0))</f>
        <v>0</v>
      </c>
      <c r="Z41" s="357">
        <f>=IF(Z$209&lt;$I37+$H37,0,IF($J37="是",IF(OR($H37=1,MOD(Z$209-$I37+1,$H37)=1),$F37-Z40,Y41-Z40),0))</f>
        <v>0</v>
      </c>
      <c r="AA41" s="357">
        <f>=IF(AA$209&lt;$I37+$H37,0,IF($J37="是",IF(OR($H37=1,MOD(AA$209-$I37+1,$H37)=1),$F37-AA40,Z41-AA40),0))</f>
        <v>0</v>
      </c>
      <c r="AB41" s="357">
        <f>=IF(AB$209&lt;$I37+$H37,0,IF($J37="是",IF(OR($H37=1,MOD(AB$209-$I37+1,$H37)=1),$F37-AB40,AA41-AB40),0))</f>
        <v>0</v>
      </c>
      <c r="AC41" s="357">
        <f>=IF(AC$209&lt;$I37+$H37,0,IF($J37="是",IF(OR($H37=1,MOD(AC$209-$I37+1,$H37)=1),$F37-AC40,AB41-AC40),0))</f>
        <v>0</v>
      </c>
      <c r="AD41" s="357">
        <f>=IF(AD$209&lt;$I37+$H37,0,IF($J37="是",IF(OR($H37=1,MOD(AD$209-$I37+1,$H37)=1),$F37-AD40,AC41-AD40),0))</f>
        <v>0</v>
      </c>
      <c r="AE41" s="357">
        <f>=IF(AE$209&lt;$I37+$H37,0,IF($J37="是",IF(OR($H37=1,MOD(AE$209-$I37+1,$H37)=1),$F37-AE40,AD41-AE40),0))</f>
        <v>0</v>
      </c>
      <c r="AF41" s="357">
        <f>=IF(AF$209&lt;$I37+$H37,0,IF($J37="是",IF(OR($H37=1,MOD(AF$209-$I37+1,$H37)=1),$F37-AF40,AE41-AF40),0))</f>
        <v>0</v>
      </c>
    </row>
    <row r="42" spans="1:32" ht="12" customHeight="true">
      <c r="A42" s="297" t="s"/>
      <c r="B42" s="358" t="s">
        <v>708</v>
      </c>
      <c r="C42" s="358" t="s"/>
      <c r="D42" s="358" t="s"/>
      <c r="E42" s="358" t="s"/>
      <c r="F42" s="358" t="s"/>
      <c r="G42" s="358" t="s"/>
      <c r="H42" s="358" t="s"/>
      <c r="I42" s="358" t="s"/>
      <c r="J42" s="358" t="s"/>
      <c r="K42" s="357">
        <f>=IF(AND($J37="是",K$209&gt;=$H37+$I37,MOD(K$209-$I37+1,$H37)=1),$F37,0)</f>
        <v>0</v>
      </c>
      <c r="L42" s="357">
        <f>=IF(AND($J37="是",L$209&gt;=$H37+$I37,MOD(L$209-$I37+1,$H37)=1),$F37,0)</f>
        <v>0</v>
      </c>
      <c r="M42" s="357">
        <f>=IF(AND($J37="是",M$209&gt;=$H37+$I37,MOD(M$209-$I37+1,$H37)=1),$F37,0)</f>
        <v>0</v>
      </c>
      <c r="N42" s="357">
        <f>=IF(AND($J37="是",N$209&gt;=$H37+$I37,MOD(N$209-$I37+1,$H37)=1),$F37,0)</f>
        <v>0</v>
      </c>
      <c r="O42" s="357">
        <f>=IF(AND($J37="是",O$209&gt;=$H37+$I37,MOD(O$209-$I37+1,$H37)=1),$F37,0)</f>
        <v>0</v>
      </c>
      <c r="P42" s="357">
        <f>=IF(AND($J37="是",P$209&gt;=$H37+$I37,MOD(P$209-$I37+1,$H37)=1),$F37,0)</f>
        <v>0</v>
      </c>
      <c r="Q42" s="357">
        <f>=IF(AND($J37="是",Q$209&gt;=$H37+$I37,MOD(Q$209-$I37+1,$H37)=1),$F37,0)</f>
        <v>0</v>
      </c>
      <c r="R42" s="357">
        <f>=IF(AND($J37="是",R$209&gt;=$H37+$I37,MOD(R$209-$I37+1,$H37)=1),$F37,0)</f>
        <v>0</v>
      </c>
      <c r="S42" s="357">
        <f>=IF(AND($J37="是",S$209&gt;=$H37+$I37,MOD(S$209-$I37+1,$H37)=1),$F37,0)</f>
        <v>0</v>
      </c>
      <c r="T42" s="357">
        <f>=IF(AND($J37="是",T$209&gt;=$H37+$I37,MOD(T$209-$I37+1,$H37)=1),$F37,0)</f>
        <v>0</v>
      </c>
      <c r="U42" s="357">
        <f>=IF(AND($J37="是",U$209&gt;=$H37+$I37,MOD(U$209-$I37+1,$H37)=1),$F37,0)</f>
        <v>0</v>
      </c>
      <c r="V42" s="357">
        <f>=IF(AND($J37="是",V$209&gt;=$H37+$I37,MOD(V$209-$I37+1,$H37)=1),$F37,0)</f>
        <v>0</v>
      </c>
      <c r="W42" s="357">
        <f>=IF(AND($J37="是",W$209&gt;=$H37+$I37,MOD(W$209-$I37+1,$H37)=1),$F37,0)</f>
        <v>0</v>
      </c>
      <c r="X42" s="357">
        <f>=IF(AND($J37="是",X$209&gt;=$H37+$I37,MOD(X$209-$I37+1,$H37)=1),$F37,0)</f>
        <v>0</v>
      </c>
      <c r="Y42" s="357">
        <f>=IF(AND($J37="是",Y$209&gt;=$H37+$I37,MOD(Y$209-$I37+1,$H37)=1),$F37,0)</f>
        <v>0</v>
      </c>
      <c r="Z42" s="357">
        <f>=IF(AND($J37="是",Z$209&gt;=$H37+$I37,MOD(Z$209-$I37+1,$H37)=1),$F37,0)</f>
        <v>0</v>
      </c>
      <c r="AA42" s="357">
        <f>=IF(AND($J37="是",AA$209&gt;=$H37+$I37,MOD(AA$209-$I37+1,$H37)=1),$F37,0)</f>
        <v>0</v>
      </c>
      <c r="AB42" s="357">
        <f>=IF(AND($J37="是",AB$209&gt;=$H37+$I37,MOD(AB$209-$I37+1,$H37)=1),$F37,0)</f>
        <v>0</v>
      </c>
      <c r="AC42" s="357">
        <f>=IF(AND($J37="是",AC$209&gt;=$H37+$I37,MOD(AC$209-$I37+1,$H37)=1),$F37,0)</f>
        <v>0</v>
      </c>
      <c r="AD42" s="357">
        <f>=IF(AND($J37="是",AD$209&gt;=$H37+$I37,MOD(AD$209-$I37+1,$H37)=1),$F37,0)</f>
        <v>0</v>
      </c>
      <c r="AE42" s="357">
        <f>=IF(AND($J37="是",AE$209&gt;=$H37+$I37,MOD(AE$209-$I37+1,$H37)=1),$F37,0)</f>
        <v>0</v>
      </c>
      <c r="AF42" s="357">
        <f>=IF(AND($J37="是",AF$209&gt;=$H37+$I37,MOD(AF$209-$I37+1,$H37)=1),$F37,0)</f>
        <v>0</v>
      </c>
    </row>
    <row r="43" spans="1:32" ht="12" customHeight="true">
      <c r="A43" s="297" t="s"/>
      <c r="B43" s="358" t="s">
        <v>709</v>
      </c>
      <c r="C43" s="358" t="s"/>
      <c r="D43" s="358" t="s"/>
      <c r="E43" s="358" t="s"/>
      <c r="F43" s="358" t="s"/>
      <c r="G43" s="358" t="s"/>
      <c r="H43" s="358" t="s"/>
      <c r="I43" s="358" t="s"/>
      <c r="J43" s="358" t="s"/>
      <c r="K43" s="357">
        <f>=IF(K$209=辅助表1评估项目基础数据表!$C$3+辅助表1评估项目基础数据表!$C$5,K39+K41,IF(AND($J37="是",K$209&gt;=$H37+$I37,MOD(K$209-$I37+1,$H37)=1),$F37*$G37,0))</f>
        <v>0</v>
      </c>
      <c r="L43" s="357">
        <f>=IF(L$209=辅助表1评估项目基础数据表!$C$3+辅助表1评估项目基础数据表!$C$5,L39+L41,IF(AND($J37="是",L$209&gt;=$H37+$I37,MOD(L$209-$I37+1,$H37)=1),$F37*$G37,0))</f>
        <v>0</v>
      </c>
      <c r="M43" s="357">
        <f>=IF(M$209=辅助表1评估项目基础数据表!$C$3+辅助表1评估项目基础数据表!$C$5,M39+M41,IF(AND($J37="是",M$209&gt;=$H37+$I37,MOD(M$209-$I37+1,$H37)=1),$F37*$G37,0))</f>
        <v>0</v>
      </c>
      <c r="N43" s="357">
        <f>=IF(N$209=辅助表1评估项目基础数据表!$C$3+辅助表1评估项目基础数据表!$C$5,N39+N41,IF(AND($J37="是",N$209&gt;=$H37+$I37,MOD(N$209-$I37+1,$H37)=1),$F37*$G37,0))</f>
        <v>0</v>
      </c>
      <c r="O43" s="357">
        <f>=IF(O$209=辅助表1评估项目基础数据表!$C$3+辅助表1评估项目基础数据表!$C$5,O39+O41,IF(AND($J37="是",O$209&gt;=$H37+$I37,MOD(O$209-$I37+1,$H37)=1),$F37*$G37,0))</f>
        <v>0</v>
      </c>
      <c r="P43" s="357">
        <f>=IF(P$209=辅助表1评估项目基础数据表!$C$3+辅助表1评估项目基础数据表!$C$5,P39+P41,IF(AND($J37="是",P$209&gt;=$H37+$I37,MOD(P$209-$I37+1,$H37)=1),$F37*$G37,0))</f>
        <v>0</v>
      </c>
      <c r="Q43" s="357">
        <f>=IF(Q$209=辅助表1评估项目基础数据表!$C$3+辅助表1评估项目基础数据表!$C$5,Q39+Q41,IF(AND($J37="是",Q$209&gt;=$H37+$I37,MOD(Q$209-$I37+1,$H37)=1),$F37*$G37,0))</f>
        <v>0</v>
      </c>
      <c r="R43" s="357">
        <f>=IF(R$209=辅助表1评估项目基础数据表!$C$3+辅助表1评估项目基础数据表!$C$5,R39+R41,IF(AND($J37="是",R$209&gt;=$H37+$I37,MOD(R$209-$I37+1,$H37)=1),$F37*$G37,0))</f>
        <v>0</v>
      </c>
      <c r="S43" s="357">
        <f>=IF(S$209=辅助表1评估项目基础数据表!$C$3+辅助表1评估项目基础数据表!$C$5,S39+S41,IF(AND($J37="是",S$209&gt;=$H37+$I37,MOD(S$209-$I37+1,$H37)=1),$F37*$G37,0))</f>
        <v>0</v>
      </c>
      <c r="T43" s="357">
        <f>=IF(T$209=辅助表1评估项目基础数据表!$C$3+辅助表1评估项目基础数据表!$C$5,T39+T41,IF(AND($J37="是",T$209&gt;=$H37+$I37,MOD(T$209-$I37+1,$H37)=1),$F37*$G37,0))</f>
        <v>0</v>
      </c>
      <c r="U43" s="357">
        <f>=IF(U$209=辅助表1评估项目基础数据表!$C$3+辅助表1评估项目基础数据表!$C$5,U39+U41,IF(AND($J37="是",U$209&gt;=$H37+$I37,MOD(U$209-$I37+1,$H37)=1),$F37*$G37,0))</f>
        <v>0</v>
      </c>
      <c r="V43" s="357">
        <f>=IF(V$209=辅助表1评估项目基础数据表!$C$3+辅助表1评估项目基础数据表!$C$5,V39+V41,IF(AND($J37="是",V$209&gt;=$H37+$I37,MOD(V$209-$I37+1,$H37)=1),$F37*$G37,0))</f>
        <v>0</v>
      </c>
      <c r="W43" s="357">
        <f>=IF(W$209=辅助表1评估项目基础数据表!$C$3+辅助表1评估项目基础数据表!$C$5,W39+W41,IF(AND($J37="是",W$209&gt;=$H37+$I37,MOD(W$209-$I37+1,$H37)=1),$F37*$G37,0))</f>
        <v>0</v>
      </c>
      <c r="X43" s="357">
        <f>=IF(X$209=辅助表1评估项目基础数据表!$C$3+辅助表1评估项目基础数据表!$C$5,X39+X41,IF(AND($J37="是",X$209&gt;=$H37+$I37,MOD(X$209-$I37+1,$H37)=1),$F37*$G37,0))</f>
        <v>0</v>
      </c>
      <c r="Y43" s="357">
        <f>=IF(Y$209=辅助表1评估项目基础数据表!$C$3+辅助表1评估项目基础数据表!$C$5,Y39+Y41,IF(AND($J37="是",Y$209&gt;=$H37+$I37,MOD(Y$209-$I37+1,$H37)=1),$F37*$G37,0))</f>
        <v>0</v>
      </c>
      <c r="Z43" s="357">
        <f>=IF(Z$209=辅助表1评估项目基础数据表!$C$3+辅助表1评估项目基础数据表!$C$5,Z39+Z41,IF(AND($J37="是",Z$209&gt;=$H37+$I37,MOD(Z$209-$I37+1,$H37)=1),$F37*$G37,0))</f>
        <v>0</v>
      </c>
      <c r="AA43" s="357">
        <f>=IF(AA$209=辅助表1评估项目基础数据表!$C$3+辅助表1评估项目基础数据表!$C$5,AA39+AA41,IF(AND($J37="是",AA$209&gt;=$H37+$I37,MOD(AA$209-$I37+1,$H37)=1),$F37*$G37,0))</f>
        <v>0</v>
      </c>
      <c r="AB43" s="357">
        <f>=IF(AB$209=辅助表1评估项目基础数据表!$C$3+辅助表1评估项目基础数据表!$C$5,AB39+AB41,IF(AND($J37="是",AB$209&gt;=$H37+$I37,MOD(AB$209-$I37+1,$H37)=1),$F37*$G37,0))</f>
        <v>0</v>
      </c>
      <c r="AC43" s="357">
        <f>=IF(AC$209=辅助表1评估项目基础数据表!$C$3+辅助表1评估项目基础数据表!$C$5,AC39+AC41,IF(AND($J37="是",AC$209&gt;=$H37+$I37,MOD(AC$209-$I37+1,$H37)=1),$F37*$G37,0))</f>
        <v>0</v>
      </c>
      <c r="AD43" s="357">
        <f>=IF(AD$209=辅助表1评估项目基础数据表!$C$3+辅助表1评估项目基础数据表!$C$5,AD39+AD41,IF(AND($J37="是",AD$209&gt;=$H37+$I37,MOD(AD$209-$I37+1,$H37)=1),$F37*$G37,0))</f>
        <v>0</v>
      </c>
      <c r="AE43" s="357">
        <f>=IF(AE$209=辅助表1评估项目基础数据表!$C$3+辅助表1评估项目基础数据表!$C$5,AE39+AE41,IF(AND($J37="是",AE$209&gt;=$H37+$I37,MOD(AE$209-$I37+1,$H37)=1),$F37*$G37,0))</f>
        <v>0</v>
      </c>
      <c r="AF43" s="357">
        <f>=IF(AF$209=辅助表1评估项目基础数据表!$C$3+辅助表1评估项目基础数据表!$C$5,AF39+AF41,IF(AND($J37="是",AF$209&gt;=$H37+$I37,MOD(AF$209-$I37+1,$H37)=1),$F37*$G37,0))</f>
        <v>0</v>
      </c>
    </row>
    <row r="44" spans="1:32" ht="12" customHeight="true">
      <c r="A44" s="297" t="s"/>
      <c r="B44" s="358" t="s">
        <v>710</v>
      </c>
      <c r="C44" s="358" t="s"/>
      <c r="D44" s="358" t="s"/>
      <c r="E44" s="358" t="s"/>
      <c r="F44" s="357">
        <f>=IF($D37="是",$C37*$E37/(1+$E37),0)</f>
        <v>0</v>
      </c>
      <c r="G44" s="358" t="s"/>
      <c r="H44" s="358" t="s"/>
      <c r="I44" s="358" t="s"/>
      <c r="J44" s="358" t="s"/>
      <c r="K44" s="357">
        <f>=IF($J37="是",IF(AND(K$209-$I37+1&gt;0,MOD(K$209-$I37+1,$H37)=1),$F44,0),IF(K$209-$I37+1=1,$F44,0))</f>
        <v>0</v>
      </c>
      <c r="L44" s="357">
        <f>=IF($J37="是",IF(AND(L$209-$I37+1&gt;0,MOD(L$209-$I37+1,$H37)=1),$F44,0),IF(L$209-$I37+1=1,$F44,0))</f>
        <v>0</v>
      </c>
      <c r="M44" s="357">
        <f>=IF($J37="是",IF(AND(M$209-$I37+1&gt;0,MOD(M$209-$I37+1,$H37)=1),$F44,0),IF(M$209-$I37+1=1,$F44,0))</f>
        <v>0</v>
      </c>
      <c r="N44" s="357">
        <f>=IF($J37="是",IF(AND(N$209-$I37+1&gt;0,MOD(N$209-$I37+1,$H37)=1),$F44,0),IF(N$209-$I37+1=1,$F44,0))</f>
        <v>0</v>
      </c>
      <c r="O44" s="357">
        <f>=IF($J37="是",IF(AND(O$209-$I37+1&gt;0,MOD(O$209-$I37+1,$H37)=1),$F44,0),IF(O$209-$I37+1=1,$F44,0))</f>
        <v>0</v>
      </c>
      <c r="P44" s="357">
        <f>=IF($J37="是",IF(AND(P$209-$I37+1&gt;0,MOD(P$209-$I37+1,$H37)=1),$F44,0),IF(P$209-$I37+1=1,$F44,0))</f>
        <v>0</v>
      </c>
      <c r="Q44" s="357">
        <f>=IF($J37="是",IF(AND(Q$209-$I37+1&gt;0,MOD(Q$209-$I37+1,$H37)=1),$F44,0),IF(Q$209-$I37+1=1,$F44,0))</f>
        <v>0</v>
      </c>
      <c r="R44" s="357">
        <f>=IF($J37="是",IF(AND(R$209-$I37+1&gt;0,MOD(R$209-$I37+1,$H37)=1),$F44,0),IF(R$209-$I37+1=1,$F44,0))</f>
        <v>0</v>
      </c>
      <c r="S44" s="357">
        <f>=IF($J37="是",IF(AND(S$209-$I37+1&gt;0,MOD(S$209-$I37+1,$H37)=1),$F44,0),IF(S$209-$I37+1=1,$F44,0))</f>
        <v>0</v>
      </c>
      <c r="T44" s="357">
        <f>=IF($J37="是",IF(AND(T$209-$I37+1&gt;0,MOD(T$209-$I37+1,$H37)=1),$F44,0),IF(T$209-$I37+1=1,$F44,0))</f>
        <v>0</v>
      </c>
      <c r="U44" s="357">
        <f>=IF($J37="是",IF(AND(U$209-$I37+1&gt;0,MOD(U$209-$I37+1,$H37)=1),$F44,0),IF(U$209-$I37+1=1,$F44,0))</f>
        <v>0</v>
      </c>
      <c r="V44" s="357">
        <f>=IF($J37="是",IF(AND(V$209-$I37+1&gt;0,MOD(V$209-$I37+1,$H37)=1),$F44,0),IF(V$209-$I37+1=1,$F44,0))</f>
        <v>0</v>
      </c>
      <c r="W44" s="357">
        <f>=IF($J37="是",IF(AND(W$209-$I37+1&gt;0,MOD(W$209-$I37+1,$H37)=1),$F44,0),IF(W$209-$I37+1=1,$F44,0))</f>
        <v>0</v>
      </c>
      <c r="X44" s="357">
        <f>=IF($J37="是",IF(AND(X$209-$I37+1&gt;0,MOD(X$209-$I37+1,$H37)=1),$F44,0),IF(X$209-$I37+1=1,$F44,0))</f>
        <v>0</v>
      </c>
      <c r="Y44" s="357">
        <f>=IF($J37="是",IF(AND(Y$209-$I37+1&gt;0,MOD(Y$209-$I37+1,$H37)=1),$F44,0),IF(Y$209-$I37+1=1,$F44,0))</f>
        <v>0</v>
      </c>
      <c r="Z44" s="357">
        <f>=IF($J37="是",IF(AND(Z$209-$I37+1&gt;0,MOD(Z$209-$I37+1,$H37)=1),$F44,0),IF(Z$209-$I37+1=1,$F44,0))</f>
        <v>0</v>
      </c>
      <c r="AA44" s="357">
        <f>=IF($J37="是",IF(AND(AA$209-$I37+1&gt;0,MOD(AA$209-$I37+1,$H37)=1),$F44,0),IF(AA$209-$I37+1=1,$F44,0))</f>
        <v>0</v>
      </c>
      <c r="AB44" s="357">
        <f>=IF($J37="是",IF(AND(AB$209-$I37+1&gt;0,MOD(AB$209-$I37+1,$H37)=1),$F44,0),IF(AB$209-$I37+1=1,$F44,0))</f>
        <v>0</v>
      </c>
      <c r="AC44" s="357">
        <f>=IF($J37="是",IF(AND(AC$209-$I37+1&gt;0,MOD(AC$209-$I37+1,$H37)=1),$F44,0),IF(AC$209-$I37+1=1,$F44,0))</f>
        <v>0</v>
      </c>
      <c r="AD44" s="357">
        <f>=IF($J37="是",IF(AND(AD$209-$I37+1&gt;0,MOD(AD$209-$I37+1,$H37)=1),$F44,0),IF(AD$209-$I37+1=1,$F44,0))</f>
        <v>0</v>
      </c>
      <c r="AE44" s="357">
        <f>=IF($J37="是",IF(AND(AE$209-$I37+1&gt;0,MOD(AE$209-$I37+1,$H37)=1),$F44,0),IF(AE$209-$I37+1=1,$F44,0))</f>
        <v>0</v>
      </c>
      <c r="AF44" s="357">
        <f>=IF($J37="是",IF(AND(AF$209-$I37+1&gt;0,MOD(AF$209-$I37+1,$H37)=1),$F44,0),IF(AF$209-$I37+1=1,$F44,0))</f>
        <v>0</v>
      </c>
    </row>
    <row r="45" spans="1:32" ht="12" customHeight="true">
      <c r="A45" s="297">
        <v>4</v>
      </c>
      <c r="B45" s="377" t="s">
        <v>715</v>
      </c>
      <c r="C45" s="364" t="s"/>
      <c r="D45" s="365" t="s"/>
      <c r="E45" s="366" t="s"/>
      <c r="F45" s="357">
        <f>=IF($D45="是",$C45/(1+$E45),$C45)</f>
        <v>0</v>
      </c>
      <c r="G45" s="367" t="s"/>
      <c r="H45" s="368">
        <v>10</v>
      </c>
      <c r="I45" s="378">
        <f>=辅助表1评估项目基础数据表!$C$3+1</f>
        <v>3</v>
      </c>
      <c r="J45" s="370" t="s">
        <v>185</v>
      </c>
      <c r="K45" s="371" t="s"/>
      <c r="L45" s="371" t="s"/>
      <c r="M45" s="372" t="s"/>
      <c r="N45" s="372" t="s"/>
      <c r="O45" s="372" t="s"/>
      <c r="P45" s="372" t="s"/>
      <c r="Q45" s="372" t="s"/>
      <c r="R45" s="372" t="s"/>
      <c r="S45" s="372" t="s"/>
      <c r="T45" s="372" t="s"/>
      <c r="U45" s="372" t="s"/>
      <c r="V45" s="372" t="s"/>
      <c r="W45" s="372" t="s"/>
      <c r="X45" s="372" t="s"/>
      <c r="Y45" s="372" t="s"/>
      <c r="Z45" s="372" t="s"/>
      <c r="AA45" s="372" t="s"/>
      <c r="AB45" s="372" t="s"/>
      <c r="AC45" s="372" t="s"/>
      <c r="AD45" s="372" t="s"/>
      <c r="AE45" s="372" t="s"/>
      <c r="AF45" s="372" t="s"/>
    </row>
    <row r="46" spans="1:32" s="709" customFormat="true" ht="12" customHeight="true">
      <c r="A46" s="373" t="s"/>
      <c r="B46" s="374" t="s">
        <v>704</v>
      </c>
      <c r="C46" s="375" t="s">
        <v>714</v>
      </c>
      <c r="D46" s="374" t="s"/>
      <c r="E46" s="374" t="s"/>
      <c r="F46" s="374" t="s"/>
      <c r="G46" s="374" t="s"/>
      <c r="H46" s="374" t="s"/>
      <c r="I46" s="374" t="s"/>
      <c r="J46" s="374" t="s"/>
      <c r="K46" s="376">
        <f>=IF(K$209&lt;$I45,0,IF($H45&gt;(K$209-$I45),(($F45-$F45*$G45)/$H45),0))</f>
        <v>0</v>
      </c>
      <c r="L46" s="376">
        <f>=IF(L$209&lt;$I45,0,IF($H45&gt;(L$209-$I45),(($F45-$F45*$G45)/$H45),0))</f>
        <v>0</v>
      </c>
      <c r="M46" s="376">
        <f>=IF(M$209&lt;$I45,0,IF($H45&gt;(M$209-$I45),(($F45-$F45*$G45)/$H45),0))</f>
        <v>0</v>
      </c>
      <c r="N46" s="376">
        <f>=IF(N$209&lt;$I45,0,IF($H45&gt;(N$209-$I45),(($F45-$F45*$G45)/$H45),0))</f>
        <v>0</v>
      </c>
      <c r="O46" s="376">
        <f>=IF(O$209&lt;$I45,0,IF($H45&gt;(O$209-$I45),(($F45-$F45*$G45)/$H45),0))</f>
        <v>0</v>
      </c>
      <c r="P46" s="376">
        <f>=IF(P$209&lt;$I45,0,IF($H45&gt;(P$209-$I45),(($F45-$F45*$G45)/$H45),0))</f>
        <v>0</v>
      </c>
      <c r="Q46" s="376">
        <f>=IF(Q$209&lt;$I45,0,IF($H45&gt;(Q$209-$I45),(($F45-$F45*$G45)/$H45),0))</f>
        <v>0</v>
      </c>
      <c r="R46" s="376">
        <f>=IF(R$209&lt;$I45,0,IF($H45&gt;(R$209-$I45),(($F45-$F45*$G45)/$H45),0))</f>
        <v>0</v>
      </c>
      <c r="S46" s="376">
        <f>=IF(S$209&lt;$I45,0,IF($H45&gt;(S$209-$I45),(($F45-$F45*$G45)/$H45),0))</f>
        <v>0</v>
      </c>
      <c r="T46" s="376">
        <f>=IF(T$209&lt;$I45,0,IF($H45&gt;(T$209-$I45),(($F45-$F45*$G45)/$H45),0))</f>
        <v>0</v>
      </c>
      <c r="U46" s="376">
        <f>=IF(U$209&lt;$I45,0,IF($H45&gt;(U$209-$I45),(($F45-$F45*$G45)/$H45),0))</f>
        <v>0</v>
      </c>
      <c r="V46" s="376">
        <f>=IF(V$209&lt;$I45,0,IF($H45&gt;(V$209-$I45),(($F45-$F45*$G45)/$H45),0))</f>
        <v>0</v>
      </c>
      <c r="W46" s="376">
        <f>=IF(W$209&lt;$I45,0,IF($H45&gt;(W$209-$I45),(($F45-$F45*$G45)/$H45),0))</f>
        <v>0</v>
      </c>
      <c r="X46" s="376">
        <f>=IF(X$209&lt;$I45,0,IF($H45&gt;(X$209-$I45),(($F45-$F45*$G45)/$H45),0))</f>
        <v>0</v>
      </c>
      <c r="Y46" s="376">
        <f>=IF(Y$209&lt;$I45,0,IF($H45&gt;(Y$209-$I45),(($F45-$F45*$G45)/$H45),0))</f>
        <v>0</v>
      </c>
      <c r="Z46" s="376">
        <f>=IF(Z$209&lt;$I45,0,IF($H45&gt;(Z$209-$I45),(($F45-$F45*$G45)/$H45),0))</f>
        <v>0</v>
      </c>
      <c r="AA46" s="376">
        <f>=IF(AA$209&lt;$I45,0,IF($H45&gt;(AA$209-$I45),(($F45-$F45*$G45)/$H45),0))</f>
        <v>0</v>
      </c>
      <c r="AB46" s="376">
        <f>=IF(AB$209&lt;$I45,0,IF($H45&gt;(AB$209-$I45),(($F45-$F45*$G45)/$H45),0))</f>
        <v>0</v>
      </c>
      <c r="AC46" s="376">
        <f>=IF(AC$209&lt;$I45,0,IF($H45&gt;(AC$209-$I45),(($F45-$F45*$G45)/$H45),0))</f>
        <v>0</v>
      </c>
      <c r="AD46" s="376">
        <f>=IF(AD$209&lt;$I45,0,IF($H45&gt;(AD$209-$I45),(($F45-$F45*$G45)/$H45),0))</f>
        <v>0</v>
      </c>
      <c r="AE46" s="376">
        <f>=IF(AE$209&lt;$I45,0,IF($H45&gt;(AE$209-$I45),(($F45-$F45*$G45)/$H45),0))</f>
        <v>0</v>
      </c>
      <c r="AF46" s="376">
        <f>=IF(AF$209&lt;$I45,0,IF($H45&gt;(AF$209-$I45),(($F45-$F45*$G45)/$H45),0))</f>
        <v>0</v>
      </c>
    </row>
    <row r="47" spans="1:32" ht="12" customHeight="true">
      <c r="A47" s="297" t="s"/>
      <c r="B47" s="358" t="s">
        <v>705</v>
      </c>
      <c r="C47" s="358" t="s"/>
      <c r="D47" s="358" t="s"/>
      <c r="E47" s="358" t="s"/>
      <c r="F47" s="358" t="s"/>
      <c r="G47" s="358" t="s"/>
      <c r="H47" s="358" t="s"/>
      <c r="I47" s="358" t="s"/>
      <c r="J47" s="358" t="s"/>
      <c r="K47" s="357">
        <f>=IF(K$209=$I45,$F45-K46,0)</f>
        <v>0</v>
      </c>
      <c r="L47" s="357">
        <f>=IF(L$209=$I45,$F45-L46,IF(L$209&gt;$I45,IF(AND($J45="是",L$209&gt;=$I45+$H45),0,K47-L46),0))</f>
        <v>0</v>
      </c>
      <c r="M47" s="357">
        <f>=IF(M$209=$I45,$F45-M46,IF(M$209&gt;$I45,IF(AND($J45="是",M$209&gt;=$I45+$H45),0,L47-M46),0))</f>
        <v>0</v>
      </c>
      <c r="N47" s="357">
        <f>=IF(N$209=$I45,$F45-N46,IF(N$209&gt;$I45,IF(AND($J45="是",N$209&gt;=$I45+$H45),0,M47-N46),0))</f>
        <v>0</v>
      </c>
      <c r="O47" s="357">
        <f>=IF(O$209=$I45,$F45-O46,IF(O$209&gt;$I45,IF(AND($J45="是",O$209&gt;=$I45+$H45),0,N47-O46),0))</f>
        <v>0</v>
      </c>
      <c r="P47" s="357">
        <f>=IF(P$209=$I45,$F45-P46,IF(P$209&gt;$I45,IF(AND($J45="是",P$209&gt;=$I45+$H45),0,O47-P46),0))</f>
        <v>0</v>
      </c>
      <c r="Q47" s="357">
        <f>=IF(Q$209=$I45,$F45-Q46,IF(Q$209&gt;$I45,IF(AND($J45="是",Q$209&gt;=$I45+$H45),0,P47-Q46),0))</f>
        <v>0</v>
      </c>
      <c r="R47" s="357">
        <f>=IF(R$209=$I45,$F45-R46,IF(R$209&gt;$I45,IF(AND($J45="是",R$209&gt;=$I45+$H45),0,Q47-R46),0))</f>
        <v>0</v>
      </c>
      <c r="S47" s="357">
        <f>=IF(S$209=$I45,$F45-S46,IF(S$209&gt;$I45,IF(AND($J45="是",S$209&gt;=$I45+$H45),0,R47-S46),0))</f>
        <v>0</v>
      </c>
      <c r="T47" s="357">
        <f>=IF(T$209=$I45,$F45-T46,IF(T$209&gt;$I45,IF(AND($J45="是",T$209&gt;=$I45+$H45),0,S47-T46),0))</f>
        <v>0</v>
      </c>
      <c r="U47" s="357">
        <f>=IF(U$209=$I45,$F45-U46,IF(U$209&gt;$I45,IF(AND($J45="是",U$209&gt;=$I45+$H45),0,T47-U46),0))</f>
        <v>0</v>
      </c>
      <c r="V47" s="357">
        <f>=IF(V$209=$I45,$F45-V46,IF(V$209&gt;$I45,IF(AND($J45="是",V$209&gt;=$I45+$H45),0,U47-V46),0))</f>
        <v>0</v>
      </c>
      <c r="W47" s="357">
        <f>=IF(W$209=$I45,$F45-W46,IF(W$209&gt;$I45,IF(AND($J45="是",W$209&gt;=$I45+$H45),0,V47-W46),0))</f>
        <v>0</v>
      </c>
      <c r="X47" s="357">
        <f>=IF(X$209=$I45,$F45-X46,IF(X$209&gt;$I45,IF(AND($J45="是",X$209&gt;=$I45+$H45),0,W47-X46),0))</f>
        <v>0</v>
      </c>
      <c r="Y47" s="357">
        <f>=IF(Y$209=$I45,$F45-Y46,IF(Y$209&gt;$I45,IF(AND($J45="是",Y$209&gt;=$I45+$H45),0,X47-Y46),0))</f>
        <v>0</v>
      </c>
      <c r="Z47" s="357">
        <f>=IF(Z$209=$I45,$F45-Z46,IF(Z$209&gt;$I45,IF(AND($J45="是",Z$209&gt;=$I45+$H45),0,Y47-Z46),0))</f>
        <v>0</v>
      </c>
      <c r="AA47" s="357">
        <f>=IF(AA$209=$I45,$F45-AA46,IF(AA$209&gt;$I45,IF(AND($J45="是",AA$209&gt;=$I45+$H45),0,Z47-AA46),0))</f>
        <v>0</v>
      </c>
      <c r="AB47" s="357">
        <f>=IF(AB$209=$I45,$F45-AB46,IF(AB$209&gt;$I45,IF(AND($J45="是",AB$209&gt;=$I45+$H45),0,AA47-AB46),0))</f>
        <v>0</v>
      </c>
      <c r="AC47" s="357">
        <f>=IF(AC$209=$I45,$F45-AC46,IF(AC$209&gt;$I45,IF(AND($J45="是",AC$209&gt;=$I45+$H45),0,AB47-AC46),0))</f>
        <v>0</v>
      </c>
      <c r="AD47" s="357">
        <f>=IF(AD$209=$I45,$F45-AD46,IF(AD$209&gt;$I45,IF(AND($J45="是",AD$209&gt;=$I45+$H45),0,AC47-AD46),0))</f>
        <v>0</v>
      </c>
      <c r="AE47" s="357">
        <f>=IF(AE$209=$I45,$F45-AE46,IF(AE$209&gt;$I45,IF(AND($J45="是",AE$209&gt;=$I45+$H45),0,AD47-AE46),0))</f>
        <v>0</v>
      </c>
      <c r="AF47" s="357">
        <f>=IF(AF$209=$I45,$F45-AF46,IF(AF$209&gt;$I45,IF(AND($J45="是",AF$209&gt;=$I45+$H45),0,AE47-AF46),0))</f>
        <v>0</v>
      </c>
    </row>
    <row r="48" spans="1:32" ht="12" customHeight="true">
      <c r="A48" s="297" t="s"/>
      <c r="B48" s="358" t="s">
        <v>706</v>
      </c>
      <c r="C48" s="358" t="s"/>
      <c r="D48" s="358" t="s"/>
      <c r="E48" s="358" t="s"/>
      <c r="F48" s="358" t="s"/>
      <c r="G48" s="358" t="s"/>
      <c r="H48" s="358" t="s"/>
      <c r="I48" s="358" t="s"/>
      <c r="J48" s="358" t="s"/>
      <c r="K48" s="357">
        <f>=IF(AND($J45="是",K$209&gt;=$H45+$I45),(($F45-$F45*$G45)/$H45),0)</f>
        <v>0</v>
      </c>
      <c r="L48" s="357">
        <f>=IF(AND($J45="是",L$209&gt;=$H45+$I45),(($F45-$F45*$G45)/$H45),0)</f>
        <v>0</v>
      </c>
      <c r="M48" s="357">
        <f>=IF(AND($J45="是",M$209&gt;=$H45+$I45),(($F45-$F45*$G45)/$H45),0)</f>
        <v>0</v>
      </c>
      <c r="N48" s="357">
        <f>=IF(AND($J45="是",N$209&gt;=$H45+$I45),(($F45-$F45*$G45)/$H45),0)</f>
        <v>0</v>
      </c>
      <c r="O48" s="357">
        <f>=IF(AND($J45="是",O$209&gt;=$H45+$I45),(($F45-$F45*$G45)/$H45),0)</f>
        <v>0</v>
      </c>
      <c r="P48" s="357">
        <f>=IF(AND($J45="是",P$209&gt;=$H45+$I45),(($F45-$F45*$G45)/$H45),0)</f>
        <v>0</v>
      </c>
      <c r="Q48" s="357">
        <f>=IF(AND($J45="是",Q$209&gt;=$H45+$I45),(($F45-$F45*$G45)/$H45),0)</f>
        <v>0</v>
      </c>
      <c r="R48" s="357">
        <f>=IF(AND($J45="是",R$209&gt;=$H45+$I45),(($F45-$F45*$G45)/$H45),0)</f>
        <v>0</v>
      </c>
      <c r="S48" s="357">
        <f>=IF(AND($J45="是",S$209&gt;=$H45+$I45),(($F45-$F45*$G45)/$H45),0)</f>
        <v>0</v>
      </c>
      <c r="T48" s="357">
        <f>=IF(AND($J45="是",T$209&gt;=$H45+$I45),(($F45-$F45*$G45)/$H45),0)</f>
        <v>0</v>
      </c>
      <c r="U48" s="357">
        <f>=IF(AND($J45="是",U$209&gt;=$H45+$I45),(($F45-$F45*$G45)/$H45),0)</f>
        <v>0</v>
      </c>
      <c r="V48" s="357">
        <f>=IF(AND($J45="是",V$209&gt;=$H45+$I45),(($F45-$F45*$G45)/$H45),0)</f>
        <v>0</v>
      </c>
      <c r="W48" s="357">
        <f>=IF(AND($J45="是",W$209&gt;=$H45+$I45),(($F45-$F45*$G45)/$H45),0)</f>
        <v>0</v>
      </c>
      <c r="X48" s="357">
        <f>=IF(AND($J45="是",X$209&gt;=$H45+$I45),(($F45-$F45*$G45)/$H45),0)</f>
        <v>0</v>
      </c>
      <c r="Y48" s="357">
        <f>=IF(AND($J45="是",Y$209&gt;=$H45+$I45),(($F45-$F45*$G45)/$H45),0)</f>
        <v>0</v>
      </c>
      <c r="Z48" s="357">
        <f>=IF(AND($J45="是",Z$209&gt;=$H45+$I45),(($F45-$F45*$G45)/$H45),0)</f>
        <v>0</v>
      </c>
      <c r="AA48" s="357">
        <f>=IF(AND($J45="是",AA$209&gt;=$H45+$I45),(($F45-$F45*$G45)/$H45),0)</f>
        <v>0</v>
      </c>
      <c r="AB48" s="357">
        <f>=IF(AND($J45="是",AB$209&gt;=$H45+$I45),(($F45-$F45*$G45)/$H45),0)</f>
        <v>0</v>
      </c>
      <c r="AC48" s="357">
        <f>=IF(AND($J45="是",AC$209&gt;=$H45+$I45),(($F45-$F45*$G45)/$H45),0)</f>
        <v>0</v>
      </c>
      <c r="AD48" s="357">
        <f>=IF(AND($J45="是",AD$209&gt;=$H45+$I45),(($F45-$F45*$G45)/$H45),0)</f>
        <v>0</v>
      </c>
      <c r="AE48" s="357">
        <f>=IF(AND($J45="是",AE$209&gt;=$H45+$I45),(($F45-$F45*$G45)/$H45),0)</f>
        <v>0</v>
      </c>
      <c r="AF48" s="357">
        <f>=IF(AND($J45="是",AF$209&gt;=$H45+$I45),(($F45-$F45*$G45)/$H45),0)</f>
        <v>0</v>
      </c>
    </row>
    <row r="49" spans="1:32" ht="12" customHeight="true">
      <c r="A49" s="297" t="s"/>
      <c r="B49" s="358" t="s">
        <v>707</v>
      </c>
      <c r="C49" s="358" t="s"/>
      <c r="D49" s="358" t="s"/>
      <c r="E49" s="358" t="s"/>
      <c r="F49" s="358" t="s"/>
      <c r="G49" s="358" t="s"/>
      <c r="H49" s="358" t="s"/>
      <c r="I49" s="358" t="s"/>
      <c r="J49" s="358" t="s"/>
      <c r="K49" s="357">
        <f>=IF(K$209&lt;$I45+$H45,0,IF($J45="是",IF(OR($H45=1,MOD(K$209-$I45+1,$H45)=1),$F45-K48,J49-K48),0))</f>
        <v>0</v>
      </c>
      <c r="L49" s="357">
        <f>=IF(L$209&lt;$I45+$H45,0,IF($J45="是",IF(OR($H45=1,MOD(L$209-$I45+1,$H45)=1),$F45-L48,K49-L48),0))</f>
        <v>0</v>
      </c>
      <c r="M49" s="357">
        <f>=IF(M$209&lt;$I45+$H45,0,IF($J45="是",IF(OR($H45=1,MOD(M$209-$I45+1,$H45)=1),$F45-M48,L49-M48),0))</f>
        <v>0</v>
      </c>
      <c r="N49" s="357">
        <f>=IF(N$209&lt;$I45+$H45,0,IF($J45="是",IF(OR($H45=1,MOD(N$209-$I45+1,$H45)=1),$F45-N48,M49-N48),0))</f>
        <v>0</v>
      </c>
      <c r="O49" s="357">
        <f>=IF(O$209&lt;$I45+$H45,0,IF($J45="是",IF(OR($H45=1,MOD(O$209-$I45+1,$H45)=1),$F45-O48,N49-O48),0))</f>
        <v>0</v>
      </c>
      <c r="P49" s="357">
        <f>=IF(P$209&lt;$I45+$H45,0,IF($J45="是",IF(OR($H45=1,MOD(P$209-$I45+1,$H45)=1),$F45-P48,O49-P48),0))</f>
        <v>0</v>
      </c>
      <c r="Q49" s="357">
        <f>=IF(Q$209&lt;$I45+$H45,0,IF($J45="是",IF(OR($H45=1,MOD(Q$209-$I45+1,$H45)=1),$F45-Q48,P49-Q48),0))</f>
        <v>0</v>
      </c>
      <c r="R49" s="357">
        <f>=IF(R$209&lt;$I45+$H45,0,IF($J45="是",IF(OR($H45=1,MOD(R$209-$I45+1,$H45)=1),$F45-R48,Q49-R48),0))</f>
        <v>0</v>
      </c>
      <c r="S49" s="357">
        <f>=IF(S$209&lt;$I45+$H45,0,IF($J45="是",IF(OR($H45=1,MOD(S$209-$I45+1,$H45)=1),$F45-S48,R49-S48),0))</f>
        <v>0</v>
      </c>
      <c r="T49" s="357">
        <f>=IF(T$209&lt;$I45+$H45,0,IF($J45="是",IF(OR($H45=1,MOD(T$209-$I45+1,$H45)=1),$F45-T48,S49-T48),0))</f>
        <v>0</v>
      </c>
      <c r="U49" s="357">
        <f>=IF(U$209&lt;$I45+$H45,0,IF($J45="是",IF(OR($H45=1,MOD(U$209-$I45+1,$H45)=1),$F45-U48,T49-U48),0))</f>
        <v>0</v>
      </c>
      <c r="V49" s="357">
        <f>=IF(V$209&lt;$I45+$H45,0,IF($J45="是",IF(OR($H45=1,MOD(V$209-$I45+1,$H45)=1),$F45-V48,U49-V48),0))</f>
        <v>0</v>
      </c>
      <c r="W49" s="357">
        <f>=IF(W$209&lt;$I45+$H45,0,IF($J45="是",IF(OR($H45=1,MOD(W$209-$I45+1,$H45)=1),$F45-W48,V49-W48),0))</f>
        <v>0</v>
      </c>
      <c r="X49" s="357">
        <f>=IF(X$209&lt;$I45+$H45,0,IF($J45="是",IF(OR($H45=1,MOD(X$209-$I45+1,$H45)=1),$F45-X48,W49-X48),0))</f>
        <v>0</v>
      </c>
      <c r="Y49" s="357">
        <f>=IF(Y$209&lt;$I45+$H45,0,IF($J45="是",IF(OR($H45=1,MOD(Y$209-$I45+1,$H45)=1),$F45-Y48,X49-Y48),0))</f>
        <v>0</v>
      </c>
      <c r="Z49" s="357">
        <f>=IF(Z$209&lt;$I45+$H45,0,IF($J45="是",IF(OR($H45=1,MOD(Z$209-$I45+1,$H45)=1),$F45-Z48,Y49-Z48),0))</f>
        <v>0</v>
      </c>
      <c r="AA49" s="357">
        <f>=IF(AA$209&lt;$I45+$H45,0,IF($J45="是",IF(OR($H45=1,MOD(AA$209-$I45+1,$H45)=1),$F45-AA48,Z49-AA48),0))</f>
        <v>0</v>
      </c>
      <c r="AB49" s="357">
        <f>=IF(AB$209&lt;$I45+$H45,0,IF($J45="是",IF(OR($H45=1,MOD(AB$209-$I45+1,$H45)=1),$F45-AB48,AA49-AB48),0))</f>
        <v>0</v>
      </c>
      <c r="AC49" s="357">
        <f>=IF(AC$209&lt;$I45+$H45,0,IF($J45="是",IF(OR($H45=1,MOD(AC$209-$I45+1,$H45)=1),$F45-AC48,AB49-AC48),0))</f>
        <v>0</v>
      </c>
      <c r="AD49" s="357">
        <f>=IF(AD$209&lt;$I45+$H45,0,IF($J45="是",IF(OR($H45=1,MOD(AD$209-$I45+1,$H45)=1),$F45-AD48,AC49-AD48),0))</f>
        <v>0</v>
      </c>
      <c r="AE49" s="357">
        <f>=IF(AE$209&lt;$I45+$H45,0,IF($J45="是",IF(OR($H45=1,MOD(AE$209-$I45+1,$H45)=1),$F45-AE48,AD49-AE48),0))</f>
        <v>0</v>
      </c>
      <c r="AF49" s="357">
        <f>=IF(AF$209&lt;$I45+$H45,0,IF($J45="是",IF(OR($H45=1,MOD(AF$209-$I45+1,$H45)=1),$F45-AF48,AE49-AF48),0))</f>
        <v>0</v>
      </c>
    </row>
    <row r="50" spans="1:32" ht="12" customHeight="true">
      <c r="A50" s="297" t="s"/>
      <c r="B50" s="358" t="s">
        <v>708</v>
      </c>
      <c r="C50" s="358" t="s"/>
      <c r="D50" s="358" t="s"/>
      <c r="E50" s="358" t="s"/>
      <c r="F50" s="358" t="s"/>
      <c r="G50" s="358" t="s"/>
      <c r="H50" s="358" t="s"/>
      <c r="I50" s="358" t="s"/>
      <c r="J50" s="358" t="s"/>
      <c r="K50" s="357">
        <f>=IF(AND($J45="是",K$209&gt;=$H45+$I45,MOD(K$209-$I45+1,$H45)=1),$F45,0)</f>
        <v>0</v>
      </c>
      <c r="L50" s="357">
        <f>=IF(AND($J45="是",L$209&gt;=$H45+$I45,MOD(L$209-$I45+1,$H45)=1),$F45,0)</f>
        <v>0</v>
      </c>
      <c r="M50" s="357">
        <f>=IF(AND($J45="是",M$209&gt;=$H45+$I45,MOD(M$209-$I45+1,$H45)=1),$F45,0)</f>
        <v>0</v>
      </c>
      <c r="N50" s="357">
        <f>=IF(AND($J45="是",N$209&gt;=$H45+$I45,MOD(N$209-$I45+1,$H45)=1),$F45,0)</f>
        <v>0</v>
      </c>
      <c r="O50" s="357">
        <f>=IF(AND($J45="是",O$209&gt;=$H45+$I45,MOD(O$209-$I45+1,$H45)=1),$F45,0)</f>
        <v>0</v>
      </c>
      <c r="P50" s="357">
        <f>=IF(AND($J45="是",P$209&gt;=$H45+$I45,MOD(P$209-$I45+1,$H45)=1),$F45,0)</f>
        <v>0</v>
      </c>
      <c r="Q50" s="357">
        <f>=IF(AND($J45="是",Q$209&gt;=$H45+$I45,MOD(Q$209-$I45+1,$H45)=1),$F45,0)</f>
        <v>0</v>
      </c>
      <c r="R50" s="357">
        <f>=IF(AND($J45="是",R$209&gt;=$H45+$I45,MOD(R$209-$I45+1,$H45)=1),$F45,0)</f>
        <v>0</v>
      </c>
      <c r="S50" s="357">
        <f>=IF(AND($J45="是",S$209&gt;=$H45+$I45,MOD(S$209-$I45+1,$H45)=1),$F45,0)</f>
        <v>0</v>
      </c>
      <c r="T50" s="357">
        <f>=IF(AND($J45="是",T$209&gt;=$H45+$I45,MOD(T$209-$I45+1,$H45)=1),$F45,0)</f>
        <v>0</v>
      </c>
      <c r="U50" s="357">
        <f>=IF(AND($J45="是",U$209&gt;=$H45+$I45,MOD(U$209-$I45+1,$H45)=1),$F45,0)</f>
        <v>0</v>
      </c>
      <c r="V50" s="357">
        <f>=IF(AND($J45="是",V$209&gt;=$H45+$I45,MOD(V$209-$I45+1,$H45)=1),$F45,0)</f>
        <v>0</v>
      </c>
      <c r="W50" s="357">
        <f>=IF(AND($J45="是",W$209&gt;=$H45+$I45,MOD(W$209-$I45+1,$H45)=1),$F45,0)</f>
        <v>0</v>
      </c>
      <c r="X50" s="357">
        <f>=IF(AND($J45="是",X$209&gt;=$H45+$I45,MOD(X$209-$I45+1,$H45)=1),$F45,0)</f>
        <v>0</v>
      </c>
      <c r="Y50" s="357">
        <f>=IF(AND($J45="是",Y$209&gt;=$H45+$I45,MOD(Y$209-$I45+1,$H45)=1),$F45,0)</f>
        <v>0</v>
      </c>
      <c r="Z50" s="357">
        <f>=IF(AND($J45="是",Z$209&gt;=$H45+$I45,MOD(Z$209-$I45+1,$H45)=1),$F45,0)</f>
        <v>0</v>
      </c>
      <c r="AA50" s="357">
        <f>=IF(AND($J45="是",AA$209&gt;=$H45+$I45,MOD(AA$209-$I45+1,$H45)=1),$F45,0)</f>
        <v>0</v>
      </c>
      <c r="AB50" s="357">
        <f>=IF(AND($J45="是",AB$209&gt;=$H45+$I45,MOD(AB$209-$I45+1,$H45)=1),$F45,0)</f>
        <v>0</v>
      </c>
      <c r="AC50" s="357">
        <f>=IF(AND($J45="是",AC$209&gt;=$H45+$I45,MOD(AC$209-$I45+1,$H45)=1),$F45,0)</f>
        <v>0</v>
      </c>
      <c r="AD50" s="357">
        <f>=IF(AND($J45="是",AD$209&gt;=$H45+$I45,MOD(AD$209-$I45+1,$H45)=1),$F45,0)</f>
        <v>0</v>
      </c>
      <c r="AE50" s="357">
        <f>=IF(AND($J45="是",AE$209&gt;=$H45+$I45,MOD(AE$209-$I45+1,$H45)=1),$F45,0)</f>
        <v>0</v>
      </c>
      <c r="AF50" s="357">
        <f>=IF(AND($J45="是",AF$209&gt;=$H45+$I45,MOD(AF$209-$I45+1,$H45)=1),$F45,0)</f>
        <v>0</v>
      </c>
    </row>
    <row r="51" spans="1:32" ht="12" customHeight="true">
      <c r="A51" s="297" t="s"/>
      <c r="B51" s="358" t="s">
        <v>709</v>
      </c>
      <c r="C51" s="358" t="s"/>
      <c r="D51" s="358" t="s"/>
      <c r="E51" s="358" t="s"/>
      <c r="F51" s="358" t="s"/>
      <c r="G51" s="358" t="s"/>
      <c r="H51" s="358" t="s"/>
      <c r="I51" s="358" t="s"/>
      <c r="J51" s="358" t="s"/>
      <c r="K51" s="357">
        <f>=IF(K$209=辅助表1评估项目基础数据表!$C$3+辅助表1评估项目基础数据表!$C$5,K47+K49,IF(AND($J45="是",K$209&gt;=$H45+$I45,MOD(K$209-$I45+1,$H45)=1),$F45*$G45,0))</f>
        <v>0</v>
      </c>
      <c r="L51" s="357">
        <f>=IF(L$209=辅助表1评估项目基础数据表!$C$3+辅助表1评估项目基础数据表!$C$5,L47+L49,IF(AND($J45="是",L$209&gt;=$H45+$I45,MOD(L$209-$I45+1,$H45)=1),$F45*$G45,0))</f>
        <v>0</v>
      </c>
      <c r="M51" s="357">
        <f>=IF(M$209=辅助表1评估项目基础数据表!$C$3+辅助表1评估项目基础数据表!$C$5,M47+M49,IF(AND($J45="是",M$209&gt;=$H45+$I45,MOD(M$209-$I45+1,$H45)=1),$F45*$G45,0))</f>
        <v>0</v>
      </c>
      <c r="N51" s="357">
        <f>=IF(N$209=辅助表1评估项目基础数据表!$C$3+辅助表1评估项目基础数据表!$C$5,N47+N49,IF(AND($J45="是",N$209&gt;=$H45+$I45,MOD(N$209-$I45+1,$H45)=1),$F45*$G45,0))</f>
        <v>0</v>
      </c>
      <c r="O51" s="357">
        <f>=IF(O$209=辅助表1评估项目基础数据表!$C$3+辅助表1评估项目基础数据表!$C$5,O47+O49,IF(AND($J45="是",O$209&gt;=$H45+$I45,MOD(O$209-$I45+1,$H45)=1),$F45*$G45,0))</f>
        <v>0</v>
      </c>
      <c r="P51" s="357">
        <f>=IF(P$209=辅助表1评估项目基础数据表!$C$3+辅助表1评估项目基础数据表!$C$5,P47+P49,IF(AND($J45="是",P$209&gt;=$H45+$I45,MOD(P$209-$I45+1,$H45)=1),$F45*$G45,0))</f>
        <v>0</v>
      </c>
      <c r="Q51" s="357">
        <f>=IF(Q$209=辅助表1评估项目基础数据表!$C$3+辅助表1评估项目基础数据表!$C$5,Q47+Q49,IF(AND($J45="是",Q$209&gt;=$H45+$I45,MOD(Q$209-$I45+1,$H45)=1),$F45*$G45,0))</f>
        <v>0</v>
      </c>
      <c r="R51" s="357">
        <f>=IF(R$209=辅助表1评估项目基础数据表!$C$3+辅助表1评估项目基础数据表!$C$5,R47+R49,IF(AND($J45="是",R$209&gt;=$H45+$I45,MOD(R$209-$I45+1,$H45)=1),$F45*$G45,0))</f>
        <v>0</v>
      </c>
      <c r="S51" s="357">
        <f>=IF(S$209=辅助表1评估项目基础数据表!$C$3+辅助表1评估项目基础数据表!$C$5,S47+S49,IF(AND($J45="是",S$209&gt;=$H45+$I45,MOD(S$209-$I45+1,$H45)=1),$F45*$G45,0))</f>
        <v>0</v>
      </c>
      <c r="T51" s="357">
        <f>=IF(T$209=辅助表1评估项目基础数据表!$C$3+辅助表1评估项目基础数据表!$C$5,T47+T49,IF(AND($J45="是",T$209&gt;=$H45+$I45,MOD(T$209-$I45+1,$H45)=1),$F45*$G45,0))</f>
        <v>0</v>
      </c>
      <c r="U51" s="357">
        <f>=IF(U$209=辅助表1评估项目基础数据表!$C$3+辅助表1评估项目基础数据表!$C$5,U47+U49,IF(AND($J45="是",U$209&gt;=$H45+$I45,MOD(U$209-$I45+1,$H45)=1),$F45*$G45,0))</f>
        <v>0</v>
      </c>
      <c r="V51" s="357">
        <f>=IF(V$209=辅助表1评估项目基础数据表!$C$3+辅助表1评估项目基础数据表!$C$5,V47+V49,IF(AND($J45="是",V$209&gt;=$H45+$I45,MOD(V$209-$I45+1,$H45)=1),$F45*$G45,0))</f>
        <v>0</v>
      </c>
      <c r="W51" s="357">
        <f>=IF(W$209=辅助表1评估项目基础数据表!$C$3+辅助表1评估项目基础数据表!$C$5,W47+W49,IF(AND($J45="是",W$209&gt;=$H45+$I45,MOD(W$209-$I45+1,$H45)=1),$F45*$G45,0))</f>
        <v>0</v>
      </c>
      <c r="X51" s="357">
        <f>=IF(X$209=辅助表1评估项目基础数据表!$C$3+辅助表1评估项目基础数据表!$C$5,X47+X49,IF(AND($J45="是",X$209&gt;=$H45+$I45,MOD(X$209-$I45+1,$H45)=1),$F45*$G45,0))</f>
        <v>0</v>
      </c>
      <c r="Y51" s="357">
        <f>=IF(Y$209=辅助表1评估项目基础数据表!$C$3+辅助表1评估项目基础数据表!$C$5,Y47+Y49,IF(AND($J45="是",Y$209&gt;=$H45+$I45,MOD(Y$209-$I45+1,$H45)=1),$F45*$G45,0))</f>
        <v>0</v>
      </c>
      <c r="Z51" s="357">
        <f>=IF(Z$209=辅助表1评估项目基础数据表!$C$3+辅助表1评估项目基础数据表!$C$5,Z47+Z49,IF(AND($J45="是",Z$209&gt;=$H45+$I45,MOD(Z$209-$I45+1,$H45)=1),$F45*$G45,0))</f>
        <v>0</v>
      </c>
      <c r="AA51" s="357">
        <f>=IF(AA$209=辅助表1评估项目基础数据表!$C$3+辅助表1评估项目基础数据表!$C$5,AA47+AA49,IF(AND($J45="是",AA$209&gt;=$H45+$I45,MOD(AA$209-$I45+1,$H45)=1),$F45*$G45,0))</f>
        <v>0</v>
      </c>
      <c r="AB51" s="357">
        <f>=IF(AB$209=辅助表1评估项目基础数据表!$C$3+辅助表1评估项目基础数据表!$C$5,AB47+AB49,IF(AND($J45="是",AB$209&gt;=$H45+$I45,MOD(AB$209-$I45+1,$H45)=1),$F45*$G45,0))</f>
        <v>0</v>
      </c>
      <c r="AC51" s="357">
        <f>=IF(AC$209=辅助表1评估项目基础数据表!$C$3+辅助表1评估项目基础数据表!$C$5,AC47+AC49,IF(AND($J45="是",AC$209&gt;=$H45+$I45,MOD(AC$209-$I45+1,$H45)=1),$F45*$G45,0))</f>
        <v>0</v>
      </c>
      <c r="AD51" s="357">
        <f>=IF(AD$209=辅助表1评估项目基础数据表!$C$3+辅助表1评估项目基础数据表!$C$5,AD47+AD49,IF(AND($J45="是",AD$209&gt;=$H45+$I45,MOD(AD$209-$I45+1,$H45)=1),$F45*$G45,0))</f>
        <v>0</v>
      </c>
      <c r="AE51" s="357">
        <f>=IF(AE$209=辅助表1评估项目基础数据表!$C$3+辅助表1评估项目基础数据表!$C$5,AE47+AE49,IF(AND($J45="是",AE$209&gt;=$H45+$I45,MOD(AE$209-$I45+1,$H45)=1),$F45*$G45,0))</f>
        <v>0</v>
      </c>
      <c r="AF51" s="357">
        <f>=IF(AF$209=辅助表1评估项目基础数据表!$C$3+辅助表1评估项目基础数据表!$C$5,AF47+AF49,IF(AND($J45="是",AF$209&gt;=$H45+$I45,MOD(AF$209-$I45+1,$H45)=1),$F45*$G45,0))</f>
        <v>0</v>
      </c>
    </row>
    <row r="52" spans="1:32" ht="12" customHeight="true">
      <c r="A52" s="297" t="s"/>
      <c r="B52" s="358" t="s">
        <v>710</v>
      </c>
      <c r="C52" s="358" t="s"/>
      <c r="D52" s="358" t="s"/>
      <c r="E52" s="358" t="s"/>
      <c r="F52" s="357">
        <f>=IF($D45="是",$C45*$E45/(1+$E45),0)</f>
        <v>0</v>
      </c>
      <c r="G52" s="358" t="s"/>
      <c r="H52" s="358" t="s"/>
      <c r="I52" s="358" t="s"/>
      <c r="J52" s="358" t="s"/>
      <c r="K52" s="357">
        <f>=IF($J45="是",IF(AND(K$209-$I45+1&gt;0,MOD(K$209-$I45+1,$H45)=1),$F52,0),IF(K$209-$I45+1=1,$F52,0))</f>
        <v>0</v>
      </c>
      <c r="L52" s="357">
        <f>=IF($J45="是",IF(AND(L$209-$I45+1&gt;0,MOD(L$209-$I45+1,$H45)=1),$F52,0),IF(L$209-$I45+1=1,$F52,0))</f>
        <v>0</v>
      </c>
      <c r="M52" s="357">
        <f>=IF($J45="是",IF(AND(M$209-$I45+1&gt;0,MOD(M$209-$I45+1,$H45)=1),$F52,0),IF(M$209-$I45+1=1,$F52,0))</f>
        <v>0</v>
      </c>
      <c r="N52" s="357">
        <f>=IF($J45="是",IF(AND(N$209-$I45+1&gt;0,MOD(N$209-$I45+1,$H45)=1),$F52,0),IF(N$209-$I45+1=1,$F52,0))</f>
        <v>0</v>
      </c>
      <c r="O52" s="357">
        <f>=IF($J45="是",IF(AND(O$209-$I45+1&gt;0,MOD(O$209-$I45+1,$H45)=1),$F52,0),IF(O$209-$I45+1=1,$F52,0))</f>
        <v>0</v>
      </c>
      <c r="P52" s="357">
        <f>=IF($J45="是",IF(AND(P$209-$I45+1&gt;0,MOD(P$209-$I45+1,$H45)=1),$F52,0),IF(P$209-$I45+1=1,$F52,0))</f>
        <v>0</v>
      </c>
      <c r="Q52" s="357">
        <f>=IF($J45="是",IF(AND(Q$209-$I45+1&gt;0,MOD(Q$209-$I45+1,$H45)=1),$F52,0),IF(Q$209-$I45+1=1,$F52,0))</f>
        <v>0</v>
      </c>
      <c r="R52" s="357">
        <f>=IF($J45="是",IF(AND(R$209-$I45+1&gt;0,MOD(R$209-$I45+1,$H45)=1),$F52,0),IF(R$209-$I45+1=1,$F52,0))</f>
        <v>0</v>
      </c>
      <c r="S52" s="357">
        <f>=IF($J45="是",IF(AND(S$209-$I45+1&gt;0,MOD(S$209-$I45+1,$H45)=1),$F52,0),IF(S$209-$I45+1=1,$F52,0))</f>
        <v>0</v>
      </c>
      <c r="T52" s="357">
        <f>=IF($J45="是",IF(AND(T$209-$I45+1&gt;0,MOD(T$209-$I45+1,$H45)=1),$F52,0),IF(T$209-$I45+1=1,$F52,0))</f>
        <v>0</v>
      </c>
      <c r="U52" s="357">
        <f>=IF($J45="是",IF(AND(U$209-$I45+1&gt;0,MOD(U$209-$I45+1,$H45)=1),$F52,0),IF(U$209-$I45+1=1,$F52,0))</f>
        <v>0</v>
      </c>
      <c r="V52" s="357">
        <f>=IF($J45="是",IF(AND(V$209-$I45+1&gt;0,MOD(V$209-$I45+1,$H45)=1),$F52,0),IF(V$209-$I45+1=1,$F52,0))</f>
        <v>0</v>
      </c>
      <c r="W52" s="357">
        <f>=IF($J45="是",IF(AND(W$209-$I45+1&gt;0,MOD(W$209-$I45+1,$H45)=1),$F52,0),IF(W$209-$I45+1=1,$F52,0))</f>
        <v>0</v>
      </c>
      <c r="X52" s="357">
        <f>=IF($J45="是",IF(AND(X$209-$I45+1&gt;0,MOD(X$209-$I45+1,$H45)=1),$F52,0),IF(X$209-$I45+1=1,$F52,0))</f>
        <v>0</v>
      </c>
      <c r="Y52" s="357">
        <f>=IF($J45="是",IF(AND(Y$209-$I45+1&gt;0,MOD(Y$209-$I45+1,$H45)=1),$F52,0),IF(Y$209-$I45+1=1,$F52,0))</f>
        <v>0</v>
      </c>
      <c r="Z52" s="357">
        <f>=IF($J45="是",IF(AND(Z$209-$I45+1&gt;0,MOD(Z$209-$I45+1,$H45)=1),$F52,0),IF(Z$209-$I45+1=1,$F52,0))</f>
        <v>0</v>
      </c>
      <c r="AA52" s="357">
        <f>=IF($J45="是",IF(AND(AA$209-$I45+1&gt;0,MOD(AA$209-$I45+1,$H45)=1),$F52,0),IF(AA$209-$I45+1=1,$F52,0))</f>
        <v>0</v>
      </c>
      <c r="AB52" s="357">
        <f>=IF($J45="是",IF(AND(AB$209-$I45+1&gt;0,MOD(AB$209-$I45+1,$H45)=1),$F52,0),IF(AB$209-$I45+1=1,$F52,0))</f>
        <v>0</v>
      </c>
      <c r="AC52" s="357">
        <f>=IF($J45="是",IF(AND(AC$209-$I45+1&gt;0,MOD(AC$209-$I45+1,$H45)=1),$F52,0),IF(AC$209-$I45+1=1,$F52,0))</f>
        <v>0</v>
      </c>
      <c r="AD52" s="357">
        <f>=IF($J45="是",IF(AND(AD$209-$I45+1&gt;0,MOD(AD$209-$I45+1,$H45)=1),$F52,0),IF(AD$209-$I45+1=1,$F52,0))</f>
        <v>0</v>
      </c>
      <c r="AE52" s="357">
        <f>=IF($J45="是",IF(AND(AE$209-$I45+1&gt;0,MOD(AE$209-$I45+1,$H45)=1),$F52,0),IF(AE$209-$I45+1=1,$F52,0))</f>
        <v>0</v>
      </c>
      <c r="AF52" s="357">
        <f>=IF($J45="是",IF(AND(AF$209-$I45+1&gt;0,MOD(AF$209-$I45+1,$H45)=1),$F52,0),IF(AF$209-$I45+1=1,$F52,0))</f>
        <v>0</v>
      </c>
    </row>
    <row r="53" spans="1:32" ht="12" hidden="true" customHeight="true">
      <c r="A53" s="297">
        <v>5</v>
      </c>
      <c r="B53" s="358" t="s">
        <v>716</v>
      </c>
      <c r="C53" s="379" t="s"/>
      <c r="D53" s="380" t="s">
        <v>185</v>
      </c>
      <c r="E53" s="381">
        <v>0.09</v>
      </c>
      <c r="F53" s="357">
        <f>=IF($D53="是",$C53/(1+$E53),$C53)</f>
        <v>0</v>
      </c>
      <c r="G53" s="382">
        <v>0.05</v>
      </c>
      <c r="H53" s="378">
        <v>20</v>
      </c>
      <c r="I53" s="378">
        <f>=辅助表1评估项目基础数据表!$C$3+1</f>
        <v>3</v>
      </c>
      <c r="J53" s="365" t="s">
        <v>185</v>
      </c>
      <c r="K53" s="371" t="s"/>
      <c r="L53" s="371" t="s"/>
      <c r="M53" s="372" t="s"/>
      <c r="N53" s="372" t="s"/>
      <c r="O53" s="372" t="s"/>
      <c r="P53" s="372" t="s"/>
      <c r="Q53" s="372" t="s"/>
      <c r="R53" s="372" t="s"/>
      <c r="S53" s="372" t="s"/>
      <c r="T53" s="372" t="s"/>
      <c r="U53" s="372" t="s"/>
      <c r="V53" s="372" t="s"/>
      <c r="W53" s="372" t="s"/>
      <c r="X53" s="372" t="s"/>
      <c r="Y53" s="372" t="s"/>
      <c r="Z53" s="372" t="s"/>
      <c r="AA53" s="372" t="s"/>
      <c r="AB53" s="372" t="s"/>
      <c r="AC53" s="372" t="s"/>
      <c r="AD53" s="372" t="s"/>
      <c r="AE53" s="372" t="s"/>
      <c r="AF53" s="372" t="s"/>
    </row>
    <row r="54" spans="1:32" s="709" customFormat="true" ht="12" hidden="true" customHeight="true">
      <c r="A54" s="373" t="s"/>
      <c r="B54" s="374" t="s">
        <v>704</v>
      </c>
      <c r="C54" s="375" t="s">
        <v>714</v>
      </c>
      <c r="D54" s="374" t="s"/>
      <c r="E54" s="374" t="s"/>
      <c r="F54" s="374" t="s"/>
      <c r="G54" s="374" t="s"/>
      <c r="H54" s="374" t="s"/>
      <c r="I54" s="374" t="s"/>
      <c r="J54" s="374" t="s"/>
      <c r="K54" s="376">
        <f>=IF(K$209&lt;$I53,0,IF($H53&gt;(K$209-$I53),(($F53-$F53*$G53)/$H53),0))</f>
        <v>0</v>
      </c>
      <c r="L54" s="376">
        <f>=IF(L$209&lt;$I53,0,IF($H53&gt;(L$209-$I53),(($F53-$F53*$G53)/$H53),0))</f>
        <v>0</v>
      </c>
      <c r="M54" s="376">
        <f>=IF(M$209&lt;$I53,0,IF($H53&gt;(M$209-$I53),(($F53-$F53*$G53)/$H53),0))</f>
        <v>0</v>
      </c>
      <c r="N54" s="376">
        <f>=IF(N$209&lt;$I53,0,IF($H53&gt;(N$209-$I53),(($F53-$F53*$G53)/$H53),0))</f>
        <v>0</v>
      </c>
      <c r="O54" s="376">
        <f>=IF(O$209&lt;$I53,0,IF($H53&gt;(O$209-$I53),(($F53-$F53*$G53)/$H53),0))</f>
        <v>0</v>
      </c>
      <c r="P54" s="376">
        <f>=IF(P$209&lt;$I53,0,IF($H53&gt;(P$209-$I53),(($F53-$F53*$G53)/$H53),0))</f>
        <v>0</v>
      </c>
      <c r="Q54" s="376">
        <f>=IF(Q$209&lt;$I53,0,IF($H53&gt;(Q$209-$I53),(($F53-$F53*$G53)/$H53),0))</f>
        <v>0</v>
      </c>
      <c r="R54" s="376">
        <f>=IF(R$209&lt;$I53,0,IF($H53&gt;(R$209-$I53),(($F53-$F53*$G53)/$H53),0))</f>
        <v>0</v>
      </c>
      <c r="S54" s="376">
        <f>=IF(S$209&lt;$I53,0,IF($H53&gt;(S$209-$I53),(($F53-$F53*$G53)/$H53),0))</f>
        <v>0</v>
      </c>
      <c r="T54" s="376">
        <f>=IF(T$209&lt;$I53,0,IF($H53&gt;(T$209-$I53),(($F53-$F53*$G53)/$H53),0))</f>
        <v>0</v>
      </c>
      <c r="U54" s="376">
        <f>=IF(U$209&lt;$I53,0,IF($H53&gt;(U$209-$I53),(($F53-$F53*$G53)/$H53),0))</f>
        <v>0</v>
      </c>
      <c r="V54" s="376">
        <f>=IF(V$209&lt;$I53,0,IF($H53&gt;(V$209-$I53),(($F53-$F53*$G53)/$H53),0))</f>
        <v>0</v>
      </c>
      <c r="W54" s="376">
        <f>=IF(W$209&lt;$I53,0,IF($H53&gt;(W$209-$I53),(($F53-$F53*$G53)/$H53),0))</f>
        <v>0</v>
      </c>
      <c r="X54" s="376">
        <f>=IF(X$209&lt;$I53,0,IF($H53&gt;(X$209-$I53),(($F53-$F53*$G53)/$H53),0))</f>
        <v>0</v>
      </c>
      <c r="Y54" s="376">
        <f>=IF(Y$209&lt;$I53,0,IF($H53&gt;(Y$209-$I53),(($F53-$F53*$G53)/$H53),0))</f>
        <v>0</v>
      </c>
      <c r="Z54" s="376">
        <f>=IF(Z$209&lt;$I53,0,IF($H53&gt;(Z$209-$I53),(($F53-$F53*$G53)/$H53),0))</f>
        <v>0</v>
      </c>
      <c r="AA54" s="376">
        <f>=IF(AA$209&lt;$I53,0,IF($H53&gt;(AA$209-$I53),(($F53-$F53*$G53)/$H53),0))</f>
        <v>0</v>
      </c>
      <c r="AB54" s="376">
        <f>=IF(AB$209&lt;$I53,0,IF($H53&gt;(AB$209-$I53),(($F53-$F53*$G53)/$H53),0))</f>
        <v>0</v>
      </c>
      <c r="AC54" s="376">
        <f>=IF(AC$209&lt;$I53,0,IF($H53&gt;(AC$209-$I53),(($F53-$F53*$G53)/$H53),0))</f>
        <v>0</v>
      </c>
      <c r="AD54" s="376">
        <f>=IF(AD$209&lt;$I53,0,IF($H53&gt;(AD$209-$I53),(($F53-$F53*$G53)/$H53),0))</f>
        <v>0</v>
      </c>
      <c r="AE54" s="376">
        <f>=IF(AE$209&lt;$I53,0,IF($H53&gt;(AE$209-$I53),(($F53-$F53*$G53)/$H53),0))</f>
        <v>0</v>
      </c>
      <c r="AF54" s="376">
        <f>=IF(AF$209&lt;$I53,0,IF($H53&gt;(AF$209-$I53),(($F53-$F53*$G53)/$H53),0))</f>
        <v>0</v>
      </c>
    </row>
    <row r="55" spans="1:32" ht="12" hidden="true" customHeight="true">
      <c r="A55" s="297" t="s"/>
      <c r="B55" s="358" t="s">
        <v>705</v>
      </c>
      <c r="C55" s="358" t="s"/>
      <c r="D55" s="358" t="s"/>
      <c r="E55" s="358" t="s"/>
      <c r="F55" s="358" t="s"/>
      <c r="G55" s="358" t="s"/>
      <c r="H55" s="358" t="s"/>
      <c r="I55" s="358" t="s"/>
      <c r="J55" s="358" t="s"/>
      <c r="K55" s="357">
        <f>=IF(K$209=$I53,$F53-K54,0)</f>
        <v>0</v>
      </c>
      <c r="L55" s="357">
        <f>=IF(L$209=$I53,$F53-L54,IF(L$209&gt;$I53,IF(AND($J53="是",L$209&gt;=$I53+$H53),0,K55-L54),0))</f>
        <v>0</v>
      </c>
      <c r="M55" s="357">
        <f>=IF(M$209=$I53,$F53-M54,IF(M$209&gt;$I53,IF(AND($J53="是",M$209&gt;=$I53+$H53),0,L55-M54),0))</f>
        <v>0</v>
      </c>
      <c r="N55" s="357">
        <f>=IF(N$209=$I53,$F53-N54,IF(N$209&gt;$I53,IF(AND($J53="是",N$209&gt;=$I53+$H53),0,M55-N54),0))</f>
        <v>0</v>
      </c>
      <c r="O55" s="357">
        <f>=IF(O$209=$I53,$F53-O54,IF(O$209&gt;$I53,IF(AND($J53="是",O$209&gt;=$I53+$H53),0,N55-O54),0))</f>
        <v>0</v>
      </c>
      <c r="P55" s="357">
        <f>=IF(P$209=$I53,$F53-P54,IF(P$209&gt;$I53,IF(AND($J53="是",P$209&gt;=$I53+$H53),0,O55-P54),0))</f>
        <v>0</v>
      </c>
      <c r="Q55" s="357">
        <f>=IF(Q$209=$I53,$F53-Q54,IF(Q$209&gt;$I53,IF(AND($J53="是",Q$209&gt;=$I53+$H53),0,P55-Q54),0))</f>
        <v>0</v>
      </c>
      <c r="R55" s="357">
        <f>=IF(R$209=$I53,$F53-R54,IF(R$209&gt;$I53,IF(AND($J53="是",R$209&gt;=$I53+$H53),0,Q55-R54),0))</f>
        <v>0</v>
      </c>
      <c r="S55" s="357">
        <f>=IF(S$209=$I53,$F53-S54,IF(S$209&gt;$I53,IF(AND($J53="是",S$209&gt;=$I53+$H53),0,R55-S54),0))</f>
        <v>0</v>
      </c>
      <c r="T55" s="357">
        <f>=IF(T$209=$I53,$F53-T54,IF(T$209&gt;$I53,IF(AND($J53="是",T$209&gt;=$I53+$H53),0,S55-T54),0))</f>
        <v>0</v>
      </c>
      <c r="U55" s="357">
        <f>=IF(U$209=$I53,$F53-U54,IF(U$209&gt;$I53,IF(AND($J53="是",U$209&gt;=$I53+$H53),0,T55-U54),0))</f>
        <v>0</v>
      </c>
      <c r="V55" s="357">
        <f>=IF(V$209=$I53,$F53-V54,IF(V$209&gt;$I53,IF(AND($J53="是",V$209&gt;=$I53+$H53),0,U55-V54),0))</f>
        <v>0</v>
      </c>
      <c r="W55" s="357">
        <f>=IF(W$209=$I53,$F53-W54,IF(W$209&gt;$I53,IF(AND($J53="是",W$209&gt;=$I53+$H53),0,V55-W54),0))</f>
        <v>0</v>
      </c>
      <c r="X55" s="357">
        <f>=IF(X$209=$I53,$F53-X54,IF(X$209&gt;$I53,IF(AND($J53="是",X$209&gt;=$I53+$H53),0,W55-X54),0))</f>
        <v>0</v>
      </c>
      <c r="Y55" s="357">
        <f>=IF(Y$209=$I53,$F53-Y54,IF(Y$209&gt;$I53,IF(AND($J53="是",Y$209&gt;=$I53+$H53),0,X55-Y54),0))</f>
        <v>0</v>
      </c>
      <c r="Z55" s="357">
        <f>=IF(Z$209=$I53,$F53-Z54,IF(Z$209&gt;$I53,IF(AND($J53="是",Z$209&gt;=$I53+$H53),0,Y55-Z54),0))</f>
        <v>0</v>
      </c>
      <c r="AA55" s="357">
        <f>=IF(AA$209=$I53,$F53-AA54,IF(AA$209&gt;$I53,IF(AND($J53="是",AA$209&gt;=$I53+$H53),0,Z55-AA54),0))</f>
        <v>0</v>
      </c>
      <c r="AB55" s="357">
        <f>=IF(AB$209=$I53,$F53-AB54,IF(AB$209&gt;$I53,IF(AND($J53="是",AB$209&gt;=$I53+$H53),0,AA55-AB54),0))</f>
        <v>0</v>
      </c>
      <c r="AC55" s="357">
        <f>=IF(AC$209=$I53,$F53-AC54,IF(AC$209&gt;$I53,IF(AND($J53="是",AC$209&gt;=$I53+$H53),0,AB55-AC54),0))</f>
        <v>0</v>
      </c>
      <c r="AD55" s="357">
        <f>=IF(AD$209=$I53,$F53-AD54,IF(AD$209&gt;$I53,IF(AND($J53="是",AD$209&gt;=$I53+$H53),0,AC55-AD54),0))</f>
        <v>0</v>
      </c>
      <c r="AE55" s="357">
        <f>=IF(AE$209=$I53,$F53-AE54,IF(AE$209&gt;$I53,IF(AND($J53="是",AE$209&gt;=$I53+$H53),0,AD55-AE54),0))</f>
        <v>0</v>
      </c>
      <c r="AF55" s="357">
        <f>=IF(AF$209=$I53,$F53-AF54,IF(AF$209&gt;$I53,IF(AND($J53="是",AF$209&gt;=$I53+$H53),0,AE55-AF54),0))</f>
        <v>0</v>
      </c>
    </row>
    <row r="56" spans="1:32" ht="12" hidden="true" customHeight="true">
      <c r="A56" s="297" t="s"/>
      <c r="B56" s="358" t="s">
        <v>706</v>
      </c>
      <c r="C56" s="358" t="s"/>
      <c r="D56" s="358" t="s"/>
      <c r="E56" s="358" t="s"/>
      <c r="F56" s="358" t="s"/>
      <c r="G56" s="358" t="s"/>
      <c r="H56" s="358" t="s"/>
      <c r="I56" s="358" t="s"/>
      <c r="J56" s="358" t="s"/>
      <c r="K56" s="357">
        <f>=IF(AND($J53="是",K$209&gt;=$H53+$I53),(($F53-$F53*$G53)/$H53),0)</f>
        <v>0</v>
      </c>
      <c r="L56" s="357">
        <f>=IF(AND($J53="是",L$209&gt;=$H53+$I53),(($F53-$F53*$G53)/$H53),0)</f>
        <v>0</v>
      </c>
      <c r="M56" s="357">
        <f>=IF(AND($J53="是",M$209&gt;=$H53+$I53),(($F53-$F53*$G53)/$H53),0)</f>
        <v>0</v>
      </c>
      <c r="N56" s="357">
        <f>=IF(AND($J53="是",N$209&gt;=$H53+$I53),(($F53-$F53*$G53)/$H53),0)</f>
        <v>0</v>
      </c>
      <c r="O56" s="357">
        <f>=IF(AND($J53="是",O$209&gt;=$H53+$I53),(($F53-$F53*$G53)/$H53),0)</f>
        <v>0</v>
      </c>
      <c r="P56" s="357">
        <f>=IF(AND($J53="是",P$209&gt;=$H53+$I53),(($F53-$F53*$G53)/$H53),0)</f>
        <v>0</v>
      </c>
      <c r="Q56" s="357">
        <f>=IF(AND($J53="是",Q$209&gt;=$H53+$I53),(($F53-$F53*$G53)/$H53),0)</f>
        <v>0</v>
      </c>
      <c r="R56" s="357">
        <f>=IF(AND($J53="是",R$209&gt;=$H53+$I53),(($F53-$F53*$G53)/$H53),0)</f>
        <v>0</v>
      </c>
      <c r="S56" s="357">
        <f>=IF(AND($J53="是",S$209&gt;=$H53+$I53),(($F53-$F53*$G53)/$H53),0)</f>
        <v>0</v>
      </c>
      <c r="T56" s="357">
        <f>=IF(AND($J53="是",T$209&gt;=$H53+$I53),(($F53-$F53*$G53)/$H53),0)</f>
        <v>0</v>
      </c>
      <c r="U56" s="357">
        <f>=IF(AND($J53="是",U$209&gt;=$H53+$I53),(($F53-$F53*$G53)/$H53),0)</f>
        <v>0</v>
      </c>
      <c r="V56" s="357">
        <f>=IF(AND($J53="是",V$209&gt;=$H53+$I53),(($F53-$F53*$G53)/$H53),0)</f>
        <v>0</v>
      </c>
      <c r="W56" s="357">
        <f>=IF(AND($J53="是",W$209&gt;=$H53+$I53),(($F53-$F53*$G53)/$H53),0)</f>
        <v>0</v>
      </c>
      <c r="X56" s="357">
        <f>=IF(AND($J53="是",X$209&gt;=$H53+$I53),(($F53-$F53*$G53)/$H53),0)</f>
        <v>0</v>
      </c>
      <c r="Y56" s="357">
        <f>=IF(AND($J53="是",Y$209&gt;=$H53+$I53),(($F53-$F53*$G53)/$H53),0)</f>
        <v>0</v>
      </c>
      <c r="Z56" s="357">
        <f>=IF(AND($J53="是",Z$209&gt;=$H53+$I53),(($F53-$F53*$G53)/$H53),0)</f>
        <v>0</v>
      </c>
      <c r="AA56" s="357">
        <f>=IF(AND($J53="是",AA$209&gt;=$H53+$I53),(($F53-$F53*$G53)/$H53),0)</f>
        <v>0</v>
      </c>
      <c r="AB56" s="357">
        <f>=IF(AND($J53="是",AB$209&gt;=$H53+$I53),(($F53-$F53*$G53)/$H53),0)</f>
        <v>0</v>
      </c>
      <c r="AC56" s="357">
        <f>=IF(AND($J53="是",AC$209&gt;=$H53+$I53),(($F53-$F53*$G53)/$H53),0)</f>
        <v>0</v>
      </c>
      <c r="AD56" s="357">
        <f>=IF(AND($J53="是",AD$209&gt;=$H53+$I53),(($F53-$F53*$G53)/$H53),0)</f>
        <v>0</v>
      </c>
      <c r="AE56" s="357">
        <f>=IF(AND($J53="是",AE$209&gt;=$H53+$I53),(($F53-$F53*$G53)/$H53),0)</f>
        <v>0</v>
      </c>
      <c r="AF56" s="357">
        <f>=IF(AND($J53="是",AF$209&gt;=$H53+$I53),(($F53-$F53*$G53)/$H53),0)</f>
        <v>0</v>
      </c>
    </row>
    <row r="57" spans="1:32" ht="12" hidden="true" customHeight="true">
      <c r="A57" s="297" t="s"/>
      <c r="B57" s="358" t="s">
        <v>707</v>
      </c>
      <c r="C57" s="358" t="s"/>
      <c r="D57" s="358" t="s"/>
      <c r="E57" s="358" t="s"/>
      <c r="F57" s="358" t="s"/>
      <c r="G57" s="358" t="s"/>
      <c r="H57" s="358" t="s"/>
      <c r="I57" s="358" t="s"/>
      <c r="J57" s="358" t="s"/>
      <c r="K57" s="357">
        <f>=IF(K$209&lt;$I53+$H53,0,IF($J53="是",IF(OR($H53=1,MOD(K$209-$I53+1,$H53)=1),$F53-K56,J57-K56),0))</f>
        <v>0</v>
      </c>
      <c r="L57" s="357">
        <f>=IF(L$209&lt;$I53+$H53,0,IF($J53="是",IF(OR($H53=1,MOD(L$209-$I53+1,$H53)=1),$F53-L56,K57-L56),0))</f>
        <v>0</v>
      </c>
      <c r="M57" s="357">
        <f>=IF(M$209&lt;$I53+$H53,0,IF($J53="是",IF(OR($H53=1,MOD(M$209-$I53+1,$H53)=1),$F53-M56,L57-M56),0))</f>
        <v>0</v>
      </c>
      <c r="N57" s="357">
        <f>=IF(N$209&lt;$I53+$H53,0,IF($J53="是",IF(OR($H53=1,MOD(N$209-$I53+1,$H53)=1),$F53-N56,M57-N56),0))</f>
        <v>0</v>
      </c>
      <c r="O57" s="357">
        <f>=IF(O$209&lt;$I53+$H53,0,IF($J53="是",IF(OR($H53=1,MOD(O$209-$I53+1,$H53)=1),$F53-O56,N57-O56),0))</f>
        <v>0</v>
      </c>
      <c r="P57" s="357">
        <f>=IF(P$209&lt;$I53+$H53,0,IF($J53="是",IF(OR($H53=1,MOD(P$209-$I53+1,$H53)=1),$F53-P56,O57-P56),0))</f>
        <v>0</v>
      </c>
      <c r="Q57" s="357">
        <f>=IF(Q$209&lt;$I53+$H53,0,IF($J53="是",IF(OR($H53=1,MOD(Q$209-$I53+1,$H53)=1),$F53-Q56,P57-Q56),0))</f>
        <v>0</v>
      </c>
      <c r="R57" s="357">
        <f>=IF(R$209&lt;$I53+$H53,0,IF($J53="是",IF(OR($H53=1,MOD(R$209-$I53+1,$H53)=1),$F53-R56,Q57-R56),0))</f>
        <v>0</v>
      </c>
      <c r="S57" s="357">
        <f>=IF(S$209&lt;$I53+$H53,0,IF($J53="是",IF(OR($H53=1,MOD(S$209-$I53+1,$H53)=1),$F53-S56,R57-S56),0))</f>
        <v>0</v>
      </c>
      <c r="T57" s="357">
        <f>=IF(T$209&lt;$I53+$H53,0,IF($J53="是",IF(OR($H53=1,MOD(T$209-$I53+1,$H53)=1),$F53-T56,S57-T56),0))</f>
        <v>0</v>
      </c>
      <c r="U57" s="357">
        <f>=IF(U$209&lt;$I53+$H53,0,IF($J53="是",IF(OR($H53=1,MOD(U$209-$I53+1,$H53)=1),$F53-U56,T57-U56),0))</f>
        <v>0</v>
      </c>
      <c r="V57" s="357">
        <f>=IF(V$209&lt;$I53+$H53,0,IF($J53="是",IF(OR($H53=1,MOD(V$209-$I53+1,$H53)=1),$F53-V56,U57-V56),0))</f>
        <v>0</v>
      </c>
      <c r="W57" s="357">
        <f>=IF(W$209&lt;$I53+$H53,0,IF($J53="是",IF(OR($H53=1,MOD(W$209-$I53+1,$H53)=1),$F53-W56,V57-W56),0))</f>
        <v>0</v>
      </c>
      <c r="X57" s="357">
        <f>=IF(X$209&lt;$I53+$H53,0,IF($J53="是",IF(OR($H53=1,MOD(X$209-$I53+1,$H53)=1),$F53-X56,W57-X56),0))</f>
        <v>0</v>
      </c>
      <c r="Y57" s="357">
        <f>=IF(Y$209&lt;$I53+$H53,0,IF($J53="是",IF(OR($H53=1,MOD(Y$209-$I53+1,$H53)=1),$F53-Y56,X57-Y56),0))</f>
        <v>0</v>
      </c>
      <c r="Z57" s="357">
        <f>=IF(Z$209&lt;$I53+$H53,0,IF($J53="是",IF(OR($H53=1,MOD(Z$209-$I53+1,$H53)=1),$F53-Z56,Y57-Z56),0))</f>
        <v>0</v>
      </c>
      <c r="AA57" s="357">
        <f>=IF(AA$209&lt;$I53+$H53,0,IF($J53="是",IF(OR($H53=1,MOD(AA$209-$I53+1,$H53)=1),$F53-AA56,Z57-AA56),0))</f>
        <v>0</v>
      </c>
      <c r="AB57" s="357">
        <f>=IF(AB$209&lt;$I53+$H53,0,IF($J53="是",IF(OR($H53=1,MOD(AB$209-$I53+1,$H53)=1),$F53-AB56,AA57-AB56),0))</f>
        <v>0</v>
      </c>
      <c r="AC57" s="357">
        <f>=IF(AC$209&lt;$I53+$H53,0,IF($J53="是",IF(OR($H53=1,MOD(AC$209-$I53+1,$H53)=1),$F53-AC56,AB57-AC56),0))</f>
        <v>0</v>
      </c>
      <c r="AD57" s="357">
        <f>=IF(AD$209&lt;$I53+$H53,0,IF($J53="是",IF(OR($H53=1,MOD(AD$209-$I53+1,$H53)=1),$F53-AD56,AC57-AD56),0))</f>
        <v>0</v>
      </c>
      <c r="AE57" s="357">
        <f>=IF(AE$209&lt;$I53+$H53,0,IF($J53="是",IF(OR($H53=1,MOD(AE$209-$I53+1,$H53)=1),$F53-AE56,AD57-AE56),0))</f>
        <v>0</v>
      </c>
      <c r="AF57" s="357">
        <f>=IF(AF$209&lt;$I53+$H53,0,IF($J53="是",IF(OR($H53=1,MOD(AF$209-$I53+1,$H53)=1),$F53-AF56,AE57-AF56),0))</f>
        <v>0</v>
      </c>
    </row>
    <row r="58" spans="1:32" ht="12" hidden="true" customHeight="true">
      <c r="A58" s="297" t="s"/>
      <c r="B58" s="358" t="s">
        <v>708</v>
      </c>
      <c r="C58" s="358" t="s"/>
      <c r="D58" s="358" t="s"/>
      <c r="E58" s="358" t="s"/>
      <c r="F58" s="358" t="s"/>
      <c r="G58" s="358" t="s"/>
      <c r="H58" s="358" t="s"/>
      <c r="I58" s="358" t="s"/>
      <c r="J58" s="358" t="s"/>
      <c r="K58" s="357">
        <f>=IF(AND($J53="是",K$209&gt;=$H53+$I53,MOD(K$209-$I53+1,$H53)=1),$F53,0)</f>
        <v>0</v>
      </c>
      <c r="L58" s="357">
        <f>=IF(AND($J53="是",L$209&gt;=$H53+$I53,MOD(L$209-$I53+1,$H53)=1),$F53,0)</f>
        <v>0</v>
      </c>
      <c r="M58" s="357">
        <f>=IF(AND($J53="是",M$209&gt;=$H53+$I53,MOD(M$209-$I53+1,$H53)=1),$F53,0)</f>
        <v>0</v>
      </c>
      <c r="N58" s="357">
        <f>=IF(AND($J53="是",N$209&gt;=$H53+$I53,MOD(N$209-$I53+1,$H53)=1),$F53,0)</f>
        <v>0</v>
      </c>
      <c r="O58" s="357">
        <f>=IF(AND($J53="是",O$209&gt;=$H53+$I53,MOD(O$209-$I53+1,$H53)=1),$F53,0)</f>
        <v>0</v>
      </c>
      <c r="P58" s="357">
        <f>=IF(AND($J53="是",P$209&gt;=$H53+$I53,MOD(P$209-$I53+1,$H53)=1),$F53,0)</f>
        <v>0</v>
      </c>
      <c r="Q58" s="357">
        <f>=IF(AND($J53="是",Q$209&gt;=$H53+$I53,MOD(Q$209-$I53+1,$H53)=1),$F53,0)</f>
        <v>0</v>
      </c>
      <c r="R58" s="357">
        <f>=IF(AND($J53="是",R$209&gt;=$H53+$I53,MOD(R$209-$I53+1,$H53)=1),$F53,0)</f>
        <v>0</v>
      </c>
      <c r="S58" s="357">
        <f>=IF(AND($J53="是",S$209&gt;=$H53+$I53,MOD(S$209-$I53+1,$H53)=1),$F53,0)</f>
        <v>0</v>
      </c>
      <c r="T58" s="357">
        <f>=IF(AND($J53="是",T$209&gt;=$H53+$I53,MOD(T$209-$I53+1,$H53)=1),$F53,0)</f>
        <v>0</v>
      </c>
      <c r="U58" s="357">
        <f>=IF(AND($J53="是",U$209&gt;=$H53+$I53,MOD(U$209-$I53+1,$H53)=1),$F53,0)</f>
        <v>0</v>
      </c>
      <c r="V58" s="357">
        <f>=IF(AND($J53="是",V$209&gt;=$H53+$I53,MOD(V$209-$I53+1,$H53)=1),$F53,0)</f>
        <v>0</v>
      </c>
      <c r="W58" s="357">
        <f>=IF(AND($J53="是",W$209&gt;=$H53+$I53,MOD(W$209-$I53+1,$H53)=1),$F53,0)</f>
        <v>0</v>
      </c>
      <c r="X58" s="357">
        <f>=IF(AND($J53="是",X$209&gt;=$H53+$I53,MOD(X$209-$I53+1,$H53)=1),$F53,0)</f>
        <v>0</v>
      </c>
      <c r="Y58" s="357">
        <f>=IF(AND($J53="是",Y$209&gt;=$H53+$I53,MOD(Y$209-$I53+1,$H53)=1),$F53,0)</f>
        <v>0</v>
      </c>
      <c r="Z58" s="357">
        <f>=IF(AND($J53="是",Z$209&gt;=$H53+$I53,MOD(Z$209-$I53+1,$H53)=1),$F53,0)</f>
        <v>0</v>
      </c>
      <c r="AA58" s="357">
        <f>=IF(AND($J53="是",AA$209&gt;=$H53+$I53,MOD(AA$209-$I53+1,$H53)=1),$F53,0)</f>
        <v>0</v>
      </c>
      <c r="AB58" s="357">
        <f>=IF(AND($J53="是",AB$209&gt;=$H53+$I53,MOD(AB$209-$I53+1,$H53)=1),$F53,0)</f>
        <v>0</v>
      </c>
      <c r="AC58" s="357">
        <f>=IF(AND($J53="是",AC$209&gt;=$H53+$I53,MOD(AC$209-$I53+1,$H53)=1),$F53,0)</f>
        <v>0</v>
      </c>
      <c r="AD58" s="357">
        <f>=IF(AND($J53="是",AD$209&gt;=$H53+$I53,MOD(AD$209-$I53+1,$H53)=1),$F53,0)</f>
        <v>0</v>
      </c>
      <c r="AE58" s="357">
        <f>=IF(AND($J53="是",AE$209&gt;=$H53+$I53,MOD(AE$209-$I53+1,$H53)=1),$F53,0)</f>
        <v>0</v>
      </c>
      <c r="AF58" s="357">
        <f>=IF(AND($J53="是",AF$209&gt;=$H53+$I53,MOD(AF$209-$I53+1,$H53)=1),$F53,0)</f>
        <v>0</v>
      </c>
    </row>
    <row r="59" spans="1:32" ht="12" hidden="true" customHeight="true">
      <c r="A59" s="297" t="s"/>
      <c r="B59" s="358" t="s">
        <v>709</v>
      </c>
      <c r="C59" s="358" t="s"/>
      <c r="D59" s="358" t="s"/>
      <c r="E59" s="358" t="s"/>
      <c r="F59" s="358" t="s"/>
      <c r="G59" s="358" t="s"/>
      <c r="H59" s="358" t="s"/>
      <c r="I59" s="358" t="s"/>
      <c r="J59" s="358" t="s"/>
      <c r="K59" s="357">
        <f>=IF(K$209=辅助表1评估项目基础数据表!$C$3+辅助表1评估项目基础数据表!$C$5,K55+K57,IF(AND($J53="是",K$209&gt;=$H53+$I53,MOD(K$209-$I53+1,$H53)=1),$F53*$G53,0))</f>
        <v>0</v>
      </c>
      <c r="L59" s="357">
        <f>=IF(L$209=辅助表1评估项目基础数据表!$C$3+辅助表1评估项目基础数据表!$C$5,L55+L57,IF(AND($J53="是",L$209&gt;=$H53+$I53,MOD(L$209-$I53+1,$H53)=1),$F53*$G53,0))</f>
        <v>0</v>
      </c>
      <c r="M59" s="357">
        <f>=IF(M$209=辅助表1评估项目基础数据表!$C$3+辅助表1评估项目基础数据表!$C$5,M55+M57,IF(AND($J53="是",M$209&gt;=$H53+$I53,MOD(M$209-$I53+1,$H53)=1),$F53*$G53,0))</f>
        <v>0</v>
      </c>
      <c r="N59" s="357">
        <f>=IF(N$209=辅助表1评估项目基础数据表!$C$3+辅助表1评估项目基础数据表!$C$5,N55+N57,IF(AND($J53="是",N$209&gt;=$H53+$I53,MOD(N$209-$I53+1,$H53)=1),$F53*$G53,0))</f>
        <v>0</v>
      </c>
      <c r="O59" s="357">
        <f>=IF(O$209=辅助表1评估项目基础数据表!$C$3+辅助表1评估项目基础数据表!$C$5,O55+O57,IF(AND($J53="是",O$209&gt;=$H53+$I53,MOD(O$209-$I53+1,$H53)=1),$F53*$G53,0))</f>
        <v>0</v>
      </c>
      <c r="P59" s="357">
        <f>=IF(P$209=辅助表1评估项目基础数据表!$C$3+辅助表1评估项目基础数据表!$C$5,P55+P57,IF(AND($J53="是",P$209&gt;=$H53+$I53,MOD(P$209-$I53+1,$H53)=1),$F53*$G53,0))</f>
        <v>0</v>
      </c>
      <c r="Q59" s="357">
        <f>=IF(Q$209=辅助表1评估项目基础数据表!$C$3+辅助表1评估项目基础数据表!$C$5,Q55+Q57,IF(AND($J53="是",Q$209&gt;=$H53+$I53,MOD(Q$209-$I53+1,$H53)=1),$F53*$G53,0))</f>
        <v>0</v>
      </c>
      <c r="R59" s="357">
        <f>=IF(R$209=辅助表1评估项目基础数据表!$C$3+辅助表1评估项目基础数据表!$C$5,R55+R57,IF(AND($J53="是",R$209&gt;=$H53+$I53,MOD(R$209-$I53+1,$H53)=1),$F53*$G53,0))</f>
        <v>0</v>
      </c>
      <c r="S59" s="357">
        <f>=IF(S$209=辅助表1评估项目基础数据表!$C$3+辅助表1评估项目基础数据表!$C$5,S55+S57,IF(AND($J53="是",S$209&gt;=$H53+$I53,MOD(S$209-$I53+1,$H53)=1),$F53*$G53,0))</f>
        <v>0</v>
      </c>
      <c r="T59" s="357">
        <f>=IF(T$209=辅助表1评估项目基础数据表!$C$3+辅助表1评估项目基础数据表!$C$5,T55+T57,IF(AND($J53="是",T$209&gt;=$H53+$I53,MOD(T$209-$I53+1,$H53)=1),$F53*$G53,0))</f>
        <v>0</v>
      </c>
      <c r="U59" s="357">
        <f>=IF(U$209=辅助表1评估项目基础数据表!$C$3+辅助表1评估项目基础数据表!$C$5,U55+U57,IF(AND($J53="是",U$209&gt;=$H53+$I53,MOD(U$209-$I53+1,$H53)=1),$F53*$G53,0))</f>
        <v>0</v>
      </c>
      <c r="V59" s="357">
        <f>=IF(V$209=辅助表1评估项目基础数据表!$C$3+辅助表1评估项目基础数据表!$C$5,V55+V57,IF(AND($J53="是",V$209&gt;=$H53+$I53,MOD(V$209-$I53+1,$H53)=1),$F53*$G53,0))</f>
        <v>0</v>
      </c>
      <c r="W59" s="357">
        <f>=IF(W$209=辅助表1评估项目基础数据表!$C$3+辅助表1评估项目基础数据表!$C$5,W55+W57,IF(AND($J53="是",W$209&gt;=$H53+$I53,MOD(W$209-$I53+1,$H53)=1),$F53*$G53,0))</f>
        <v>0</v>
      </c>
      <c r="X59" s="357">
        <f>=IF(X$209=辅助表1评估项目基础数据表!$C$3+辅助表1评估项目基础数据表!$C$5,X55+X57,IF(AND($J53="是",X$209&gt;=$H53+$I53,MOD(X$209-$I53+1,$H53)=1),$F53*$G53,0))</f>
        <v>0</v>
      </c>
      <c r="Y59" s="357">
        <f>=IF(Y$209=辅助表1评估项目基础数据表!$C$3+辅助表1评估项目基础数据表!$C$5,Y55+Y57,IF(AND($J53="是",Y$209&gt;=$H53+$I53,MOD(Y$209-$I53+1,$H53)=1),$F53*$G53,0))</f>
        <v>0</v>
      </c>
      <c r="Z59" s="357">
        <f>=IF(Z$209=辅助表1评估项目基础数据表!$C$3+辅助表1评估项目基础数据表!$C$5,Z55+Z57,IF(AND($J53="是",Z$209&gt;=$H53+$I53,MOD(Z$209-$I53+1,$H53)=1),$F53*$G53,0))</f>
        <v>0</v>
      </c>
      <c r="AA59" s="357">
        <f>=IF(AA$209=辅助表1评估项目基础数据表!$C$3+辅助表1评估项目基础数据表!$C$5,AA55+AA57,IF(AND($J53="是",AA$209&gt;=$H53+$I53,MOD(AA$209-$I53+1,$H53)=1),$F53*$G53,0))</f>
        <v>0</v>
      </c>
      <c r="AB59" s="357">
        <f>=IF(AB$209=辅助表1评估项目基础数据表!$C$3+辅助表1评估项目基础数据表!$C$5,AB55+AB57,IF(AND($J53="是",AB$209&gt;=$H53+$I53,MOD(AB$209-$I53+1,$H53)=1),$F53*$G53,0))</f>
        <v>0</v>
      </c>
      <c r="AC59" s="357">
        <f>=IF(AC$209=辅助表1评估项目基础数据表!$C$3+辅助表1评估项目基础数据表!$C$5,AC55+AC57,IF(AND($J53="是",AC$209&gt;=$H53+$I53,MOD(AC$209-$I53+1,$H53)=1),$F53*$G53,0))</f>
        <v>0</v>
      </c>
      <c r="AD59" s="357">
        <f>=IF(AD$209=辅助表1评估项目基础数据表!$C$3+辅助表1评估项目基础数据表!$C$5,AD55+AD57,IF(AND($J53="是",AD$209&gt;=$H53+$I53,MOD(AD$209-$I53+1,$H53)=1),$F53*$G53,0))</f>
        <v>0</v>
      </c>
      <c r="AE59" s="357">
        <f>=IF(AE$209=辅助表1评估项目基础数据表!$C$3+辅助表1评估项目基础数据表!$C$5,AE55+AE57,IF(AND($J53="是",AE$209&gt;=$H53+$I53,MOD(AE$209-$I53+1,$H53)=1),$F53*$G53,0))</f>
        <v>0</v>
      </c>
      <c r="AF59" s="357">
        <f>=IF(AF$209=辅助表1评估项目基础数据表!$C$3+辅助表1评估项目基础数据表!$C$5,AF55+AF57,IF(AND($J53="是",AF$209&gt;=$H53+$I53,MOD(AF$209-$I53+1,$H53)=1),$F53*$G53,0))</f>
        <v>0</v>
      </c>
    </row>
    <row r="60" spans="1:32" ht="12" hidden="true" customHeight="true">
      <c r="A60" s="297" t="s"/>
      <c r="B60" s="358" t="s">
        <v>710</v>
      </c>
      <c r="C60" s="358" t="s"/>
      <c r="D60" s="358" t="s"/>
      <c r="E60" s="358" t="s"/>
      <c r="F60" s="357">
        <f>=IF($D53="是",$C53*$E53/(1+$E53),0)</f>
        <v>0</v>
      </c>
      <c r="G60" s="358" t="s"/>
      <c r="H60" s="358" t="s"/>
      <c r="I60" s="358" t="s"/>
      <c r="J60" s="358" t="s"/>
      <c r="K60" s="357">
        <f>=IF($J53="是",IF(AND(K$209-$I53+1&gt;0,MOD(K$209-$I53+1,$H53)=1),$F60,0),IF(K$209-$I53+1=1,$F60,0))</f>
        <v>0</v>
      </c>
      <c r="L60" s="357">
        <f>=IF($J53="是",IF(AND(L$209-$I53+1&gt;0,MOD(L$209-$I53+1,$H53)=1),$F60,0),IF(L$209-$I53+1=1,$F60,0))</f>
        <v>0</v>
      </c>
      <c r="M60" s="357">
        <f>=IF($J53="是",IF(AND(M$209-$I53+1&gt;0,MOD(M$209-$I53+1,$H53)=1),$F60,0),IF(M$209-$I53+1=1,$F60,0))</f>
        <v>0</v>
      </c>
      <c r="N60" s="357">
        <f>=IF($J53="是",IF(AND(N$209-$I53+1&gt;0,MOD(N$209-$I53+1,$H53)=1),$F60,0),IF(N$209-$I53+1=1,$F60,0))</f>
        <v>0</v>
      </c>
      <c r="O60" s="357">
        <f>=IF($J53="是",IF(AND(O$209-$I53+1&gt;0,MOD(O$209-$I53+1,$H53)=1),$F60,0),IF(O$209-$I53+1=1,$F60,0))</f>
        <v>0</v>
      </c>
      <c r="P60" s="357">
        <f>=IF($J53="是",IF(AND(P$209-$I53+1&gt;0,MOD(P$209-$I53+1,$H53)=1),$F60,0),IF(P$209-$I53+1=1,$F60,0))</f>
        <v>0</v>
      </c>
      <c r="Q60" s="357">
        <f>=IF($J53="是",IF(AND(Q$209-$I53+1&gt;0,MOD(Q$209-$I53+1,$H53)=1),$F60,0),IF(Q$209-$I53+1=1,$F60,0))</f>
        <v>0</v>
      </c>
      <c r="R60" s="357">
        <f>=IF($J53="是",IF(AND(R$209-$I53+1&gt;0,MOD(R$209-$I53+1,$H53)=1),$F60,0),IF(R$209-$I53+1=1,$F60,0))</f>
        <v>0</v>
      </c>
      <c r="S60" s="357">
        <f>=IF($J53="是",IF(AND(S$209-$I53+1&gt;0,MOD(S$209-$I53+1,$H53)=1),$F60,0),IF(S$209-$I53+1=1,$F60,0))</f>
        <v>0</v>
      </c>
      <c r="T60" s="357">
        <f>=IF($J53="是",IF(AND(T$209-$I53+1&gt;0,MOD(T$209-$I53+1,$H53)=1),$F60,0),IF(T$209-$I53+1=1,$F60,0))</f>
        <v>0</v>
      </c>
      <c r="U60" s="357">
        <f>=IF($J53="是",IF(AND(U$209-$I53+1&gt;0,MOD(U$209-$I53+1,$H53)=1),$F60,0),IF(U$209-$I53+1=1,$F60,0))</f>
        <v>0</v>
      </c>
      <c r="V60" s="357">
        <f>=IF($J53="是",IF(AND(V$209-$I53+1&gt;0,MOD(V$209-$I53+1,$H53)=1),$F60,0),IF(V$209-$I53+1=1,$F60,0))</f>
        <v>0</v>
      </c>
      <c r="W60" s="357">
        <f>=IF($J53="是",IF(AND(W$209-$I53+1&gt;0,MOD(W$209-$I53+1,$H53)=1),$F60,0),IF(W$209-$I53+1=1,$F60,0))</f>
        <v>0</v>
      </c>
      <c r="X60" s="357">
        <f>=IF($J53="是",IF(AND(X$209-$I53+1&gt;0,MOD(X$209-$I53+1,$H53)=1),$F60,0),IF(X$209-$I53+1=1,$F60,0))</f>
        <v>0</v>
      </c>
      <c r="Y60" s="357">
        <f>=IF($J53="是",IF(AND(Y$209-$I53+1&gt;0,MOD(Y$209-$I53+1,$H53)=1),$F60,0),IF(Y$209-$I53+1=1,$F60,0))</f>
        <v>0</v>
      </c>
      <c r="Z60" s="357">
        <f>=IF($J53="是",IF(AND(Z$209-$I53+1&gt;0,MOD(Z$209-$I53+1,$H53)=1),$F60,0),IF(Z$209-$I53+1=1,$F60,0))</f>
        <v>0</v>
      </c>
      <c r="AA60" s="357">
        <f>=IF($J53="是",IF(AND(AA$209-$I53+1&gt;0,MOD(AA$209-$I53+1,$H53)=1),$F60,0),IF(AA$209-$I53+1=1,$F60,0))</f>
        <v>0</v>
      </c>
      <c r="AB60" s="357">
        <f>=IF($J53="是",IF(AND(AB$209-$I53+1&gt;0,MOD(AB$209-$I53+1,$H53)=1),$F60,0),IF(AB$209-$I53+1=1,$F60,0))</f>
        <v>0</v>
      </c>
      <c r="AC60" s="357">
        <f>=IF($J53="是",IF(AND(AC$209-$I53+1&gt;0,MOD(AC$209-$I53+1,$H53)=1),$F60,0),IF(AC$209-$I53+1=1,$F60,0))</f>
        <v>0</v>
      </c>
      <c r="AD60" s="357">
        <f>=IF($J53="是",IF(AND(AD$209-$I53+1&gt;0,MOD(AD$209-$I53+1,$H53)=1),$F60,0),IF(AD$209-$I53+1=1,$F60,0))</f>
        <v>0</v>
      </c>
      <c r="AE60" s="357">
        <f>=IF($J53="是",IF(AND(AE$209-$I53+1&gt;0,MOD(AE$209-$I53+1,$H53)=1),$F60,0),IF(AE$209-$I53+1=1,$F60,0))</f>
        <v>0</v>
      </c>
      <c r="AF60" s="357">
        <f>=IF($J53="是",IF(AND(AF$209-$I53+1&gt;0,MOD(AF$209-$I53+1,$H53)=1),$F60,0),IF(AF$209-$I53+1=1,$F60,0))</f>
        <v>0</v>
      </c>
    </row>
    <row r="61" spans="1:32" ht="12" hidden="true" customHeight="true">
      <c r="A61" s="297">
        <v>6</v>
      </c>
      <c r="B61" s="358" t="s">
        <v>712</v>
      </c>
      <c r="C61" s="379" t="s"/>
      <c r="D61" s="380" t="s">
        <v>185</v>
      </c>
      <c r="E61" s="381">
        <v>0.13</v>
      </c>
      <c r="F61" s="357">
        <f>=IF($D61="是",$C61/(1+$E61),$C61)</f>
        <v>0</v>
      </c>
      <c r="G61" s="382">
        <v>0.05</v>
      </c>
      <c r="H61" s="378">
        <v>20</v>
      </c>
      <c r="I61" s="378">
        <f>=辅助表1评估项目基础数据表!$C$3+1</f>
        <v>3</v>
      </c>
      <c r="J61" s="380" t="s">
        <v>185</v>
      </c>
      <c r="K61" s="371" t="s"/>
      <c r="L61" s="371" t="s"/>
      <c r="M61" s="372" t="s"/>
      <c r="N61" s="372" t="s"/>
      <c r="O61" s="372" t="s"/>
      <c r="P61" s="372" t="s"/>
      <c r="Q61" s="372" t="s"/>
      <c r="R61" s="372" t="s"/>
      <c r="S61" s="372" t="s"/>
      <c r="T61" s="372" t="s"/>
      <c r="U61" s="372" t="s"/>
      <c r="V61" s="372" t="s"/>
      <c r="W61" s="372" t="s"/>
      <c r="X61" s="372" t="s"/>
      <c r="Y61" s="372" t="s"/>
      <c r="Z61" s="372" t="s"/>
      <c r="AA61" s="372" t="s"/>
      <c r="AB61" s="372" t="s"/>
      <c r="AC61" s="372" t="s"/>
      <c r="AD61" s="372" t="s"/>
      <c r="AE61" s="372" t="s"/>
      <c r="AF61" s="372" t="s"/>
    </row>
    <row r="62" spans="1:32" ht="12" hidden="true" customHeight="true">
      <c r="A62" s="297" t="s"/>
      <c r="B62" s="374" t="s">
        <v>704</v>
      </c>
      <c r="C62" s="383" t="s">
        <v>714</v>
      </c>
      <c r="D62" s="358" t="s"/>
      <c r="E62" s="358" t="s"/>
      <c r="F62" s="358" t="s"/>
      <c r="G62" s="358" t="s"/>
      <c r="H62" s="358" t="s"/>
      <c r="I62" s="358" t="s"/>
      <c r="J62" s="358" t="s"/>
      <c r="K62" s="376">
        <f>=IF(K$209&lt;$I61,0,IF($H61&gt;(K$209-$I61),(($F61-$F61*$G61)/$H61),0))</f>
        <v>0</v>
      </c>
      <c r="L62" s="376">
        <f>=IF(L$209&lt;$I61,0,IF($H61&gt;(L$209-$I$21),(($F61-$F61*$G61)/$H61),0))</f>
        <v>0</v>
      </c>
      <c r="M62" s="376">
        <f>=IF(M$209&lt;$I61,0,IF($H61&gt;(M$209-$I61),(($F61-$F61*$G61)/$H61),0))</f>
        <v>0</v>
      </c>
      <c r="N62" s="376">
        <f>=IF(N$209&lt;$I61,0,IF($H61&gt;(N$209-$I61),(($F61-$F61*$G61)/$H61),0))</f>
        <v>0</v>
      </c>
      <c r="O62" s="376">
        <f>=IF(O$209&lt;$I61,0,IF($H61&gt;(O$209-$I61),(($F61-$F61*$G61)/$H61),0))</f>
        <v>0</v>
      </c>
      <c r="P62" s="376">
        <f>=IF(P$209&lt;$I61,0,IF($H61&gt;(P$209-$I61),(($F61-$F61*$G61)/$H61),0))</f>
        <v>0</v>
      </c>
      <c r="Q62" s="376">
        <f>=IF(Q$209&lt;$I61,0,IF($H61&gt;(Q$209-$I61),(($F61-$F61*$G61)/$H61),0))</f>
        <v>0</v>
      </c>
      <c r="R62" s="376">
        <f>=IF(R$209&lt;$I61,0,IF($H61&gt;(R$209-$I61),(($F61-$F61*$G61)/$H61),0))</f>
        <v>0</v>
      </c>
      <c r="S62" s="376">
        <f>=IF(S$209&lt;$I61,0,IF($H61&gt;(S$209-$I61),(($F61-$F61*$G61)/$H61),0))</f>
        <v>0</v>
      </c>
      <c r="T62" s="376">
        <f>=IF(T$209&lt;$I61,0,IF($H61&gt;(T$209-$I61),(($F61-$F61*$G61)/$H61),0))</f>
        <v>0</v>
      </c>
      <c r="U62" s="376">
        <f>=IF(U$209&lt;$I61,0,IF($H61&gt;(U$209-$I61),(($F61-$F61*$G61)/$H61),0))</f>
        <v>0</v>
      </c>
      <c r="V62" s="376">
        <f>=IF(V$209&lt;$I61,0,IF($H61&gt;(V$209-$I61),(($F61-$F61*$G61)/$H61),0))</f>
        <v>0</v>
      </c>
      <c r="W62" s="376">
        <f>=IF(W$209&lt;$I61,0,IF($H61&gt;(W$209-$I61),(($F61-$F61*$G61)/$H61),0))</f>
        <v>0</v>
      </c>
      <c r="X62" s="376">
        <f>=IF(X$209&lt;$I61,0,IF($H61&gt;(X$209-$I61),(($F61-$F61*$G61)/$H61),0))</f>
        <v>0</v>
      </c>
      <c r="Y62" s="376">
        <f>=IF(Y$209&lt;$I61,0,IF($H61&gt;(Y$209-$I61),(($F61-$F61*$G61)/$H61),0))</f>
        <v>0</v>
      </c>
      <c r="Z62" s="376">
        <f>=IF(Z$209&lt;$I61,0,IF($H61&gt;(Z$209-$I61),(($F61-$F61*$G61)/$H61),0))</f>
        <v>0</v>
      </c>
      <c r="AA62" s="376">
        <f>=IF(AA$209&lt;$I61,0,IF($H61&gt;(AA$209-$I61),(($F61-$F61*$G61)/$H61),0))</f>
        <v>0</v>
      </c>
      <c r="AB62" s="376">
        <f>=IF(AB$209&lt;$I61,0,IF($H61&gt;(AB$209-$I61),(($F61-$F61*$G61)/$H61),0))</f>
        <v>0</v>
      </c>
      <c r="AC62" s="376">
        <f>=IF(AC$209&lt;$I61,0,IF($H61&gt;(AC$209-$I61),(($F61-$F61*$G61)/$H61),0))</f>
        <v>0</v>
      </c>
      <c r="AD62" s="376">
        <f>=IF(AD$209&lt;$I61,0,IF($H61&gt;(AD$209-$I61),(($F61-$F61*$G61)/$H61),0))</f>
        <v>0</v>
      </c>
      <c r="AE62" s="376">
        <f>=IF(AE$209&lt;$I61,0,IF($H61&gt;(AE$209-$I61),(($F61-$F61*$G61)/$H61),0))</f>
        <v>0</v>
      </c>
      <c r="AF62" s="376">
        <f>=IF(AF$209&lt;$I61,0,IF($H61&gt;(AF$209-$I61),(($F61-$F61*$G61)/$H61),0))</f>
        <v>0</v>
      </c>
    </row>
    <row r="63" spans="1:32" ht="12" hidden="true" customHeight="true">
      <c r="A63" s="297" t="s"/>
      <c r="B63" s="358" t="s">
        <v>705</v>
      </c>
      <c r="C63" s="358" t="s"/>
      <c r="D63" s="358" t="s"/>
      <c r="E63" s="358" t="s"/>
      <c r="F63" s="358" t="s"/>
      <c r="G63" s="358" t="s"/>
      <c r="H63" s="358" t="s"/>
      <c r="I63" s="358" t="s"/>
      <c r="J63" s="358" t="s"/>
      <c r="K63" s="357">
        <f>=IF(K$209=$I61,$F61-K62,0)</f>
        <v>0</v>
      </c>
      <c r="L63" s="357">
        <f>=IF(L$209=$I61,$F61-L62,IF(L$209&gt;$I61,IF(AND($J61="是",L$209&gt;=$I61+$H61),0,K63-L62),0))</f>
        <v>0</v>
      </c>
      <c r="M63" s="357">
        <f>=IF(M$209=$I61,$F61-M62,IF(M$209&gt;$I61,IF(AND($J61="是",M$209&gt;=$I61+$H61),0,L63-M62),0))</f>
        <v>0</v>
      </c>
      <c r="N63" s="357">
        <f>=IF(N$209=$I61,$F61-N62,IF(N$209&gt;$I61,IF(AND($J61="是",N$209&gt;=$I61+$H61),0,M63-N62),0))</f>
        <v>0</v>
      </c>
      <c r="O63" s="357">
        <f>=IF(O$209=$I61,$F61-O62,IF(O$209&gt;$I61,IF(AND($J61="是",O$209&gt;=$I61+$H61),0,N63-O62),0))</f>
        <v>0</v>
      </c>
      <c r="P63" s="357">
        <f>=IF(P$209=$I61,$F61-P62,IF(P$209&gt;$I61,IF(AND($J61="是",P$209&gt;=$I61+$H61),0,O63-P62),0))</f>
        <v>0</v>
      </c>
      <c r="Q63" s="357">
        <f>=IF(Q$209=$I61,$F61-Q62,IF(Q$209&gt;$I61,IF(AND($J61="是",Q$209&gt;=$I61+$H61),0,P63-Q62),0))</f>
        <v>0</v>
      </c>
      <c r="R63" s="357">
        <f>=IF(R$209=$I61,$F61-R62,IF(R$209&gt;$I61,IF(AND($J61="是",R$209&gt;=$I61+$H61),0,Q63-R62),0))</f>
        <v>0</v>
      </c>
      <c r="S63" s="357">
        <f>=IF(S$209=$I61,$F61-S62,IF(S$209&gt;$I61,IF(AND($J61="是",S$209&gt;=$I61+$H61),0,R63-S62),0))</f>
        <v>0</v>
      </c>
      <c r="T63" s="357">
        <f>=IF(T$209=$I61,$F61-T62,IF(T$209&gt;$I61,IF(AND($J61="是",T$209&gt;=$I61+$H61),0,S63-T62),0))</f>
        <v>0</v>
      </c>
      <c r="U63" s="357">
        <f>=IF(U$209=$I61,$F61-U62,IF(U$209&gt;$I61,IF(AND($J61="是",U$209&gt;=$I61+$H61),0,T63-U62),0))</f>
        <v>0</v>
      </c>
      <c r="V63" s="357">
        <f>=IF(V$209=$I61,$F61-V62,IF(V$209&gt;$I61,IF(AND($J61="是",V$209&gt;=$I61+$H61),0,U63-V62),0))</f>
        <v>0</v>
      </c>
      <c r="W63" s="357">
        <f>=IF(W$209=$I61,$F61-W62,IF(W$209&gt;$I61,IF(AND($J61="是",W$209&gt;=$I61+$H61),0,V63-W62),0))</f>
        <v>0</v>
      </c>
      <c r="X63" s="357">
        <f>=IF(X$209=$I61,$F61-X62,IF(X$209&gt;$I61,IF(AND($J61="是",X$209&gt;=$I61+$H61),0,W63-X62),0))</f>
        <v>0</v>
      </c>
      <c r="Y63" s="357">
        <f>=IF(Y$209=$I61,$F61-Y62,IF(Y$209&gt;$I61,IF(AND($J61="是",Y$209&gt;=$I61+$H61),0,X63-Y62),0))</f>
        <v>0</v>
      </c>
      <c r="Z63" s="357">
        <f>=IF(Z$209=$I61,$F61-Z62,IF(Z$209&gt;$I61,IF(AND($J61="是",Z$209&gt;=$I61+$H61),0,Y63-Z62),0))</f>
        <v>0</v>
      </c>
      <c r="AA63" s="357">
        <f>=IF(AA$209=$I61,$F61-AA62,IF(AA$209&gt;$I61,IF(AND($J61="是",AA$209&gt;=$I61+$H61),0,Z63-AA62),0))</f>
        <v>0</v>
      </c>
      <c r="AB63" s="357">
        <f>=IF(AB$209=$I61,$F61-AB62,IF(AB$209&gt;$I61,IF(AND($J61="是",AB$209&gt;=$I61+$H61),0,AA63-AB62),0))</f>
        <v>0</v>
      </c>
      <c r="AC63" s="357">
        <f>=IF(AC$209=$I61,$F61-AC62,IF(AC$209&gt;$I61,IF(AND($J61="是",AC$209&gt;=$I61+$H61),0,AB63-AC62),0))</f>
        <v>0</v>
      </c>
      <c r="AD63" s="357">
        <f>=IF(AD$209=$I61,$F61-AD62,IF(AD$209&gt;$I61,IF(AND($J61="是",AD$209&gt;=$I61+$H61),0,AC63-AD62),0))</f>
        <v>0</v>
      </c>
      <c r="AE63" s="357">
        <f>=IF(AE$209=$I61,$F61-AE62,IF(AE$209&gt;$I61,IF(AND($J61="是",AE$209&gt;=$I61+$H61),0,AD63-AE62),0))</f>
        <v>0</v>
      </c>
      <c r="AF63" s="357">
        <f>=IF(AF$209=$I61,$F61-AF62,IF(AF$209&gt;$I61,IF(AND($J61="是",AF$209&gt;=$I61+$H61),0,AE63-AF62),0))</f>
        <v>0</v>
      </c>
    </row>
    <row r="64" spans="1:32" ht="12" hidden="true" customHeight="true">
      <c r="A64" s="297" t="s"/>
      <c r="B64" s="358" t="s">
        <v>706</v>
      </c>
      <c r="C64" s="358" t="s"/>
      <c r="D64" s="358" t="s"/>
      <c r="E64" s="358" t="s"/>
      <c r="F64" s="358" t="s"/>
      <c r="G64" s="358" t="s"/>
      <c r="H64" s="358" t="s"/>
      <c r="I64" s="358" t="s"/>
      <c r="J64" s="358" t="s"/>
      <c r="K64" s="357">
        <f>=IF(AND($J61="是",K$209&gt;=$H61+$I61),(($F61-$F61*$G61)/$H61),0)</f>
        <v>0</v>
      </c>
      <c r="L64" s="357">
        <f>=IF(AND($J61="是",L$209&gt;=$H61+$I61),(($F61-$F61*$G61)/$H61),0)</f>
        <v>0</v>
      </c>
      <c r="M64" s="357">
        <f>=IF(AND($J61="是",M$209&gt;=$H61+$I61),(($F61-$F61*$G61)/$H61),0)</f>
        <v>0</v>
      </c>
      <c r="N64" s="357">
        <f>=IF(AND($J61="是",N$209&gt;=$H61+$I61),(($F61-$F61*$G61)/$H61),0)</f>
        <v>0</v>
      </c>
      <c r="O64" s="357">
        <f>=IF(AND($J61="是",O$209&gt;=$H61+$I61),(($F61-$F61*$G61)/$H61),0)</f>
        <v>0</v>
      </c>
      <c r="P64" s="357">
        <f>=IF(AND($J61="是",P$209&gt;=$H61+$I61),(($F61-$F61*$G61)/$H61),0)</f>
        <v>0</v>
      </c>
      <c r="Q64" s="357">
        <f>=IF(AND($J61="是",Q$209&gt;=$H61+$I61),(($F61-$F61*$G61)/$H61),0)</f>
        <v>0</v>
      </c>
      <c r="R64" s="357">
        <f>=IF(AND($J61="是",R$209&gt;=$H61+$I61),(($F61-$F61*$G61)/$H61),0)</f>
        <v>0</v>
      </c>
      <c r="S64" s="357">
        <f>=IF(AND($J61="是",S$209&gt;=$H61+$I61),(($F61-$F61*$G61)/$H61),0)</f>
        <v>0</v>
      </c>
      <c r="T64" s="357">
        <f>=IF(AND($J61="是",T$209&gt;=$H61+$I61),(($F61-$F61*$G61)/$H61),0)</f>
        <v>0</v>
      </c>
      <c r="U64" s="357">
        <f>=IF(AND($J61="是",U$209&gt;=$H61+$I61),(($F61-$F61*$G61)/$H61),0)</f>
        <v>0</v>
      </c>
      <c r="V64" s="357">
        <f>=IF(AND($J61="是",V$209&gt;=$H61+$I61),(($F61-$F61*$G61)/$H61),0)</f>
        <v>0</v>
      </c>
      <c r="W64" s="357">
        <f>=IF(AND($J61="是",W$209&gt;=$H61+$I61),(($F61-$F61*$G61)/$H61),0)</f>
        <v>0</v>
      </c>
      <c r="X64" s="357">
        <f>=IF(AND($J61="是",X$209&gt;=$H61+$I61),(($F61-$F61*$G61)/$H61),0)</f>
        <v>0</v>
      </c>
      <c r="Y64" s="357">
        <f>=IF(AND($J61="是",Y$209&gt;=$H61+$I61),(($F61-$F61*$G61)/$H61),0)</f>
        <v>0</v>
      </c>
      <c r="Z64" s="357">
        <f>=IF(AND($J61="是",Z$209&gt;=$H61+$I61),(($F61-$F61*$G61)/$H61),0)</f>
        <v>0</v>
      </c>
      <c r="AA64" s="357">
        <f>=IF(AND($J61="是",AA$209&gt;=$H61+$I61),(($F61-$F61*$G61)/$H61),0)</f>
        <v>0</v>
      </c>
      <c r="AB64" s="357">
        <f>=IF(AND($J61="是",AB$209&gt;=$H61+$I61),(($F61-$F61*$G61)/$H61),0)</f>
        <v>0</v>
      </c>
      <c r="AC64" s="357">
        <f>=IF(AND($J61="是",AC$209&gt;=$H61+$I61),(($F61-$F61*$G61)/$H61),0)</f>
        <v>0</v>
      </c>
      <c r="AD64" s="357">
        <f>=IF(AND($J61="是",AD$209&gt;=$H61+$I61),(($F61-$F61*$G61)/$H61),0)</f>
        <v>0</v>
      </c>
      <c r="AE64" s="357">
        <f>=IF(AND($J61="是",AE$209&gt;=$H61+$I61),(($F61-$F61*$G61)/$H61),0)</f>
        <v>0</v>
      </c>
      <c r="AF64" s="357">
        <f>=IF(AND($J61="是",AF$209&gt;=$H61+$I61),(($F61-$F61*$G61)/$H61),0)</f>
        <v>0</v>
      </c>
    </row>
    <row r="65" spans="1:32" ht="12" hidden="true" customHeight="true">
      <c r="A65" s="297" t="s"/>
      <c r="B65" s="358" t="s">
        <v>707</v>
      </c>
      <c r="C65" s="358" t="s"/>
      <c r="D65" s="358" t="s"/>
      <c r="E65" s="358" t="s"/>
      <c r="F65" s="358" t="s"/>
      <c r="G65" s="358" t="s"/>
      <c r="H65" s="358" t="s"/>
      <c r="I65" s="358" t="s"/>
      <c r="J65" s="358" t="s"/>
      <c r="K65" s="357">
        <f>=IF(K$209&lt;$I61+$H61,0,IF($J61="是",IF(OR($H61=1,MOD(K$209-$I61+1,$H61)=1),$F61-K64,J65-K64),0))</f>
        <v>0</v>
      </c>
      <c r="L65" s="357">
        <f>=IF(L$209&lt;$I61+$H61,0,IF($J61="是",IF(OR($H61=1,MOD(L$209-$I61+1,$H61)=1),$F61-L64,K65-L64),0))</f>
        <v>0</v>
      </c>
      <c r="M65" s="357">
        <f>=IF(M$209&lt;$I61+$H61,0,IF($J61="是",IF(OR($H61=1,MOD(M$209-$I61+1,$H61)=1),$F61-M64,L65-M64),0))</f>
        <v>0</v>
      </c>
      <c r="N65" s="357">
        <f>=IF(N$209&lt;$I61+$H61,0,IF($J61="是",IF(OR($H61=1,MOD(N$209-$I61+1,$H61)=1),$F61-N64,M65-N64),0))</f>
        <v>0</v>
      </c>
      <c r="O65" s="357">
        <f>=IF(O$209&lt;$I61+$H61,0,IF($J61="是",IF(OR($H61=1,MOD(O$209-$I61+1,$H61)=1),$F61-O64,N65-O64),0))</f>
        <v>0</v>
      </c>
      <c r="P65" s="357">
        <f>=IF(P$209&lt;$I61+$H61,0,IF($J61="是",IF(OR($H61=1,MOD(P$209-$I61+1,$H61)=1),$F61-P64,O65-P64),0))</f>
        <v>0</v>
      </c>
      <c r="Q65" s="357">
        <f>=IF(Q$209&lt;$I61+$H61,0,IF($J61="是",IF(OR($H61=1,MOD(Q$209-$I61+1,$H61)=1),$F61-Q64,P65-Q64),0))</f>
        <v>0</v>
      </c>
      <c r="R65" s="357">
        <f>=IF(R$209&lt;$I61+$H61,0,IF($J61="是",IF(OR($H61=1,MOD(R$209-$I61+1,$H61)=1),$F61-R64,Q65-R64),0))</f>
        <v>0</v>
      </c>
      <c r="S65" s="357">
        <f>=IF(S$209&lt;$I61+$H61,0,IF($J61="是",IF(OR($H61=1,MOD(S$209-$I61+1,$H61)=1),$F61-S64,R65-S64),0))</f>
        <v>0</v>
      </c>
      <c r="T65" s="357">
        <f>=IF(T$209&lt;$I61+$H61,0,IF($J61="是",IF(OR($H61=1,MOD(T$209-$I61+1,$H61)=1),$F61-T64,S65-T64),0))</f>
        <v>0</v>
      </c>
      <c r="U65" s="357">
        <f>=IF(U$209&lt;$I61+$H61,0,IF($J61="是",IF(OR($H61=1,MOD(U$209-$I61+1,$H61)=1),$F61-U64,T65-U64),0))</f>
        <v>0</v>
      </c>
      <c r="V65" s="357">
        <f>=IF(V$209&lt;$I61+$H61,0,IF($J61="是",IF(OR($H61=1,MOD(V$209-$I61+1,$H61)=1),$F61-V64,U65-V64),0))</f>
        <v>0</v>
      </c>
      <c r="W65" s="357">
        <f>=IF(W$209&lt;$I61+$H61,0,IF($J61="是",IF(OR($H61=1,MOD(W$209-$I61+1,$H61)=1),$F61-W64,V65-W64),0))</f>
        <v>0</v>
      </c>
      <c r="X65" s="357">
        <f>=IF(X$209&lt;$I61+$H61,0,IF($J61="是",IF(OR($H61=1,MOD(X$209-$I61+1,$H61)=1),$F61-X64,W65-X64),0))</f>
        <v>0</v>
      </c>
      <c r="Y65" s="357">
        <f>=IF(Y$209&lt;$I61+$H61,0,IF($J61="是",IF(OR($H61=1,MOD(Y$209-$I61+1,$H61)=1),$F61-Y64,X65-Y64),0))</f>
        <v>0</v>
      </c>
      <c r="Z65" s="357">
        <f>=IF(Z$209&lt;$I61+$H61,0,IF($J61="是",IF(OR($H61=1,MOD(Z$209-$I61+1,$H61)=1),$F61-Z64,Y65-Z64),0))</f>
        <v>0</v>
      </c>
      <c r="AA65" s="357">
        <f>=IF(AA$209&lt;$I61+$H61,0,IF($J61="是",IF(OR($H61=1,MOD(AA$209-$I61+1,$H61)=1),$F61-AA64,Z65-AA64),0))</f>
        <v>0</v>
      </c>
      <c r="AB65" s="357">
        <f>=IF(AB$209&lt;$I61+$H61,0,IF($J61="是",IF(OR($H61=1,MOD(AB$209-$I61+1,$H61)=1),$F61-AB64,AA65-AB64),0))</f>
        <v>0</v>
      </c>
      <c r="AC65" s="357">
        <f>=IF(AC$209&lt;$I61+$H61,0,IF($J61="是",IF(OR($H61=1,MOD(AC$209-$I61+1,$H61)=1),$F61-AC64,AB65-AC64),0))</f>
        <v>0</v>
      </c>
      <c r="AD65" s="357">
        <f>=IF(AD$209&lt;$I61+$H61,0,IF($J61="是",IF(OR($H61=1,MOD(AD$209-$I61+1,$H61)=1),$F61-AD64,AC65-AD64),0))</f>
        <v>0</v>
      </c>
      <c r="AE65" s="357">
        <f>=IF(AE$209&lt;$I61+$H61,0,IF($J61="是",IF(OR($H61=1,MOD(AE$209-$I61+1,$H61)=1),$F61-AE64,AD65-AE64),0))</f>
        <v>0</v>
      </c>
      <c r="AF65" s="357">
        <f>=IF(AF$209&lt;$I61+$H61,0,IF($J61="是",IF(OR($H61=1,MOD(AF$209-$I61+1,$H61)=1),$F61-AF64,AE65-AF64),0))</f>
        <v>0</v>
      </c>
    </row>
    <row r="66" spans="1:32" ht="12" hidden="true" customHeight="true">
      <c r="A66" s="297" t="s"/>
      <c r="B66" s="358" t="s">
        <v>708</v>
      </c>
      <c r="C66" s="358" t="s"/>
      <c r="D66" s="358" t="s"/>
      <c r="E66" s="358" t="s"/>
      <c r="F66" s="358" t="s"/>
      <c r="G66" s="358" t="s"/>
      <c r="H66" s="358" t="s"/>
      <c r="I66" s="358" t="s"/>
      <c r="J66" s="358" t="s"/>
      <c r="K66" s="357">
        <f>=IF(AND($J61="是",K$209&gt;=$H61+$I61,MOD(K$209-$I61+1,$H61)=1),$F61,0)</f>
        <v>0</v>
      </c>
      <c r="L66" s="357">
        <f>=IF(AND($J61="是",L$209&gt;=$H61+$I61,MOD(L$209-$I61+1,$H61)=1),$F61,0)</f>
        <v>0</v>
      </c>
      <c r="M66" s="357">
        <f>=IF(AND($J61="是",M$209&gt;=$H61+$I61,MOD(M$209-$I61+1,$H61)=1),$F61,0)</f>
        <v>0</v>
      </c>
      <c r="N66" s="357">
        <f>=IF(AND($J61="是",N$209&gt;=$H61+$I61,MOD(N$209-$I61+1,$H61)=1),$F61,0)</f>
        <v>0</v>
      </c>
      <c r="O66" s="357">
        <f>=IF(AND($J61="是",O$209&gt;=$H61+$I61,MOD(O$209-$I61+1,$H61)=1),$F61,0)</f>
        <v>0</v>
      </c>
      <c r="P66" s="357">
        <f>=IF(AND($J61="是",P$209&gt;=$H61+$I61,MOD(P$209-$I61+1,$H61)=1),$F61,0)</f>
        <v>0</v>
      </c>
      <c r="Q66" s="357">
        <f>=IF(AND($J61="是",Q$209&gt;=$H61+$I61,MOD(Q$209-$I61+1,$H61)=1),$F61,0)</f>
        <v>0</v>
      </c>
      <c r="R66" s="357">
        <f>=IF(AND($J61="是",R$209&gt;=$H61+$I61,MOD(R$209-$I61+1,$H61)=1),$F61,0)</f>
        <v>0</v>
      </c>
      <c r="S66" s="357">
        <f>=IF(AND($J61="是",S$209&gt;=$H61+$I61,MOD(S$209-$I61+1,$H61)=1),$F61,0)</f>
        <v>0</v>
      </c>
      <c r="T66" s="357">
        <f>=IF(AND($J61="是",T$209&gt;=$H61+$I61,MOD(T$209-$I61+1,$H61)=1),$F61,0)</f>
        <v>0</v>
      </c>
      <c r="U66" s="357">
        <f>=IF(AND($J61="是",U$209&gt;=$H61+$I61,MOD(U$209-$I61+1,$H61)=1),$F61,0)</f>
        <v>0</v>
      </c>
      <c r="V66" s="357">
        <f>=IF(AND($J61="是",V$209&gt;=$H61+$I61,MOD(V$209-$I61+1,$H61)=1),$F61,0)</f>
        <v>0</v>
      </c>
      <c r="W66" s="357">
        <f>=IF(AND($J61="是",W$209&gt;=$H61+$I61,MOD(W$209-$I61+1,$H61)=1),$F61,0)</f>
        <v>0</v>
      </c>
      <c r="X66" s="357">
        <f>=IF(AND($J61="是",X$209&gt;=$H61+$I61,MOD(X$209-$I61+1,$H61)=1),$F61,0)</f>
        <v>0</v>
      </c>
      <c r="Y66" s="357">
        <f>=IF(AND($J61="是",Y$209&gt;=$H61+$I61,MOD(Y$209-$I61+1,$H61)=1),$F61,0)</f>
        <v>0</v>
      </c>
      <c r="Z66" s="357">
        <f>=IF(AND($J61="是",Z$209&gt;=$H61+$I61,MOD(Z$209-$I61+1,$H61)=1),$F61,0)</f>
        <v>0</v>
      </c>
      <c r="AA66" s="357">
        <f>=IF(AND($J61="是",AA$209&gt;=$H61+$I61,MOD(AA$209-$I61+1,$H61)=1),$F61,0)</f>
        <v>0</v>
      </c>
      <c r="AB66" s="357">
        <f>=IF(AND($J61="是",AB$209&gt;=$H61+$I61,MOD(AB$209-$I61+1,$H61)=1),$F61,0)</f>
        <v>0</v>
      </c>
      <c r="AC66" s="357">
        <f>=IF(AND($J61="是",AC$209&gt;=$H61+$I61,MOD(AC$209-$I61+1,$H61)=1),$F61,0)</f>
        <v>0</v>
      </c>
      <c r="AD66" s="357">
        <f>=IF(AND($J61="是",AD$209&gt;=$H61+$I61,MOD(AD$209-$I61+1,$H61)=1),$F61,0)</f>
        <v>0</v>
      </c>
      <c r="AE66" s="357">
        <f>=IF(AND($J61="是",AE$209&gt;=$H61+$I61,MOD(AE$209-$I61+1,$H61)=1),$F61,0)</f>
        <v>0</v>
      </c>
      <c r="AF66" s="357">
        <f>=IF(AND($J61="是",AF$209&gt;=$H61+$I61,MOD(AF$209-$I61+1,$H61)=1),$F61,0)</f>
        <v>0</v>
      </c>
    </row>
    <row r="67" spans="1:32" ht="12" hidden="true" customHeight="true">
      <c r="A67" s="297" t="s"/>
      <c r="B67" s="358" t="s">
        <v>709</v>
      </c>
      <c r="C67" s="358" t="s"/>
      <c r="D67" s="358" t="s"/>
      <c r="E67" s="358" t="s"/>
      <c r="F67" s="358" t="s"/>
      <c r="G67" s="358" t="s"/>
      <c r="H67" s="358" t="s"/>
      <c r="I67" s="358" t="s"/>
      <c r="J67" s="358" t="s"/>
      <c r="K67" s="357">
        <f>=IF(K$209=辅助表1评估项目基础数据表!$C$3+辅助表1评估项目基础数据表!$C$5,K63+K65,IF(AND($J61="是",K$209&gt;=$H61+$I61,MOD(K$209-$I61+1,$H61)=1),$F61*$G61,0))</f>
        <v>0</v>
      </c>
      <c r="L67" s="357">
        <f>=IF(L$209=辅助表1评估项目基础数据表!$C$3+辅助表1评估项目基础数据表!$C$5,L63+L65,IF(AND($J61="是",L$209&gt;=$H61+$I61,MOD(L$209-$I61+1,$H61)=1),$F61*$G61,0))</f>
        <v>0</v>
      </c>
      <c r="M67" s="357">
        <f>=IF(M$209=辅助表1评估项目基础数据表!$C$3+辅助表1评估项目基础数据表!$C$5,M63+M65,IF(AND($J61="是",M$209&gt;=$H61+$I61,MOD(M$209-$I61+1,$H61)=1),$F61*$G61,0))</f>
        <v>0</v>
      </c>
      <c r="N67" s="357">
        <f>=IF(N$209=辅助表1评估项目基础数据表!$C$3+辅助表1评估项目基础数据表!$C$5,N63+N65,IF(AND($J61="是",N$209&gt;=$H61+$I61,MOD(N$209-$I61+1,$H61)=1),$F61*$G61,0))</f>
        <v>0</v>
      </c>
      <c r="O67" s="357">
        <f>=IF(O$209=辅助表1评估项目基础数据表!$C$3+辅助表1评估项目基础数据表!$C$5,O63+O65,IF(AND($J61="是",O$209&gt;=$H61+$I61,MOD(O$209-$I61+1,$H61)=1),$F61*$G61,0))</f>
        <v>0</v>
      </c>
      <c r="P67" s="357">
        <f>=IF(P$209=辅助表1评估项目基础数据表!$C$3+辅助表1评估项目基础数据表!$C$5,P63+P65,IF(AND($J61="是",P$209&gt;=$H61+$I61,MOD(P$209-$I61+1,$H61)=1),$F61*$G61,0))</f>
        <v>0</v>
      </c>
      <c r="Q67" s="357">
        <f>=IF(Q$209=辅助表1评估项目基础数据表!$C$3+辅助表1评估项目基础数据表!$C$5,Q63+Q65,IF(AND($J61="是",Q$209&gt;=$H61+$I61,MOD(Q$209-$I61+1,$H61)=1),$F61*$G61,0))</f>
        <v>0</v>
      </c>
      <c r="R67" s="357">
        <f>=IF(R$209=辅助表1评估项目基础数据表!$C$3+辅助表1评估项目基础数据表!$C$5,R63+R65,IF(AND($J61="是",R$209&gt;=$H61+$I61,MOD(R$209-$I61+1,$H61)=1),$F61*$G61,0))</f>
        <v>0</v>
      </c>
      <c r="S67" s="357">
        <f>=IF(S$209=辅助表1评估项目基础数据表!$C$3+辅助表1评估项目基础数据表!$C$5,S63+S65,IF(AND($J61="是",S$209&gt;=$H61+$I61,MOD(S$209-$I61+1,$H61)=1),$F61*$G61,0))</f>
        <v>0</v>
      </c>
      <c r="T67" s="357">
        <f>=IF(T$209=辅助表1评估项目基础数据表!$C$3+辅助表1评估项目基础数据表!$C$5,T63+T65,IF(AND($J61="是",T$209&gt;=$H61+$I61,MOD(T$209-$I61+1,$H61)=1),$F61*$G61,0))</f>
        <v>0</v>
      </c>
      <c r="U67" s="357">
        <f>=IF(U$209=辅助表1评估项目基础数据表!$C$3+辅助表1评估项目基础数据表!$C$5,U63+U65,IF(AND($J61="是",U$209&gt;=$H61+$I61,MOD(U$209-$I61+1,$H61)=1),$F61*$G61,0))</f>
        <v>0</v>
      </c>
      <c r="V67" s="357">
        <f>=IF(V$209=辅助表1评估项目基础数据表!$C$3+辅助表1评估项目基础数据表!$C$5,V63+V65,IF(AND($J61="是",V$209&gt;=$H61+$I61,MOD(V$209-$I61+1,$H61)=1),$F61*$G61,0))</f>
        <v>0</v>
      </c>
      <c r="W67" s="357">
        <f>=IF(W$209=辅助表1评估项目基础数据表!$C$3+辅助表1评估项目基础数据表!$C$5,W63+W65,IF(AND($J61="是",W$209&gt;=$H61+$I61,MOD(W$209-$I61+1,$H61)=1),$F61*$G61,0))</f>
        <v>0</v>
      </c>
      <c r="X67" s="357">
        <f>=IF(X$209=辅助表1评估项目基础数据表!$C$3+辅助表1评估项目基础数据表!$C$5,X63+X65,IF(AND($J61="是",X$209&gt;=$H61+$I61,MOD(X$209-$I61+1,$H61)=1),$F61*$G61,0))</f>
        <v>0</v>
      </c>
      <c r="Y67" s="357">
        <f>=IF(Y$209=辅助表1评估项目基础数据表!$C$3+辅助表1评估项目基础数据表!$C$5,Y63+Y65,IF(AND($J61="是",Y$209&gt;=$H61+$I61,MOD(Y$209-$I61+1,$H61)=1),$F61*$G61,0))</f>
        <v>0</v>
      </c>
      <c r="Z67" s="357">
        <f>=IF(Z$209=辅助表1评估项目基础数据表!$C$3+辅助表1评估项目基础数据表!$C$5,Z63+Z65,IF(AND($J61="是",Z$209&gt;=$H61+$I61,MOD(Z$209-$I61+1,$H61)=1),$F61*$G61,0))</f>
        <v>0</v>
      </c>
      <c r="AA67" s="357">
        <f>=IF(AA$209=辅助表1评估项目基础数据表!$C$3+辅助表1评估项目基础数据表!$C$5,AA63+AA65,IF(AND($J61="是",AA$209&gt;=$H61+$I61,MOD(AA$209-$I61+1,$H61)=1),$F61*$G61,0))</f>
        <v>0</v>
      </c>
      <c r="AB67" s="357">
        <f>=IF(AB$209=辅助表1评估项目基础数据表!$C$3+辅助表1评估项目基础数据表!$C$5,AB63+AB65,IF(AND($J61="是",AB$209&gt;=$H61+$I61,MOD(AB$209-$I61+1,$H61)=1),$F61*$G61,0))</f>
        <v>0</v>
      </c>
      <c r="AC67" s="357">
        <f>=IF(AC$209=辅助表1评估项目基础数据表!$C$3+辅助表1评估项目基础数据表!$C$5,AC63+AC65,IF(AND($J61="是",AC$209&gt;=$H61+$I61,MOD(AC$209-$I61+1,$H61)=1),$F61*$G61,0))</f>
        <v>0</v>
      </c>
      <c r="AD67" s="357">
        <f>=IF(AD$209=辅助表1评估项目基础数据表!$C$3+辅助表1评估项目基础数据表!$C$5,AD63+AD65,IF(AND($J61="是",AD$209&gt;=$H61+$I61,MOD(AD$209-$I61+1,$H61)=1),$F61*$G61,0))</f>
        <v>0</v>
      </c>
      <c r="AE67" s="357">
        <f>=IF(AE$209=辅助表1评估项目基础数据表!$C$3+辅助表1评估项目基础数据表!$C$5,AE63+AE65,IF(AND($J61="是",AE$209&gt;=$H61+$I61,MOD(AE$209-$I61+1,$H61)=1),$F61*$G61,0))</f>
        <v>0</v>
      </c>
      <c r="AF67" s="357">
        <f>=IF(AF$209=辅助表1评估项目基础数据表!$C$3+辅助表1评估项目基础数据表!$C$5,AF63+AF65,IF(AND($J61="是",AF$209&gt;=$H61+$I61,MOD(AF$209-$I61+1,$H61)=1),$F61*$G61,0))</f>
        <v>0</v>
      </c>
    </row>
    <row r="68" spans="1:32" ht="12" hidden="true" customHeight="true">
      <c r="A68" s="297" t="s"/>
      <c r="B68" s="358" t="s">
        <v>710</v>
      </c>
      <c r="C68" s="358" t="s"/>
      <c r="D68" s="358" t="s"/>
      <c r="E68" s="358" t="s"/>
      <c r="F68" s="357">
        <f>=IF($D61="是",$C61*$E61/(1+$E61),0)</f>
        <v>0</v>
      </c>
      <c r="G68" s="358" t="s"/>
      <c r="H68" s="358" t="s"/>
      <c r="I68" s="358" t="s"/>
      <c r="J68" s="358" t="s"/>
      <c r="K68" s="357">
        <f>=IF($J61="是",IF(AND(K$209-$I61+1&gt;0,MOD(K$209-$I61+1,$H61)=1),$F68,0),IF(K$209-$I61+1=1,$F68,0))</f>
        <v>0</v>
      </c>
      <c r="L68" s="357">
        <f>=IF($J61="是",IF(AND(L$209-$I61+1&gt;0,MOD(L$209-$I61+1,$H61)=1),$F68,0),IF(L$209-$I61+1=1,$F68,0))</f>
        <v>0</v>
      </c>
      <c r="M68" s="357">
        <f>=IF($J61="是",IF(AND(M$209-$I61+1&gt;0,MOD(M$209-$I61+1,$H61)=1),$F68,0),IF(M$209-$I61+1=1,$F68,0))</f>
        <v>0</v>
      </c>
      <c r="N68" s="357">
        <f>=IF($J61="是",IF(AND(N$209-$I61+1&gt;0,MOD(N$209-$I61+1,$H61)=1),$F68,0),IF(N$209-$I61+1=1,$F68,0))</f>
        <v>0</v>
      </c>
      <c r="O68" s="357">
        <f>=IF($J61="是",IF(AND(O$209-$I61+1&gt;0,MOD(O$209-$I61+1,$H61)=1),$F68,0),IF(O$209-$I61+1=1,$F68,0))</f>
        <v>0</v>
      </c>
      <c r="P68" s="357">
        <f>=IF($J61="是",IF(AND(P$209-$I61+1&gt;0,MOD(P$209-$I61+1,$H61)=1),$F68,0),IF(P$209-$I61+1=1,$F68,0))</f>
        <v>0</v>
      </c>
      <c r="Q68" s="357">
        <f>=IF($J61="是",IF(AND(Q$209-$I61+1&gt;0,MOD(Q$209-$I61+1,$H61)=1),$F68,0),IF(Q$209-$I61+1=1,$F68,0))</f>
        <v>0</v>
      </c>
      <c r="R68" s="357">
        <f>=IF($J61="是",IF(AND(R$209-$I61+1&gt;0,MOD(R$209-$I61+1,$H61)=1),$F68,0),IF(R$209-$I61+1=1,$F68,0))</f>
        <v>0</v>
      </c>
      <c r="S68" s="357">
        <f>=IF($J61="是",IF(AND(S$209-$I61+1&gt;0,MOD(S$209-$I61+1,$H61)=1),$F68,0),IF(S$209-$I61+1=1,$F68,0))</f>
        <v>0</v>
      </c>
      <c r="T68" s="357">
        <f>=IF($J61="是",IF(AND(T$209-$I61+1&gt;0,MOD(T$209-$I61+1,$H61)=1),$F68,0),IF(T$209-$I61+1=1,$F68,0))</f>
        <v>0</v>
      </c>
      <c r="U68" s="357">
        <f>=IF($J61="是",IF(AND(U$209-$I61+1&gt;0,MOD(U$209-$I61+1,$H61)=1),$F68,0),IF(U$209-$I61+1=1,$F68,0))</f>
        <v>0</v>
      </c>
      <c r="V68" s="357">
        <f>=IF($J61="是",IF(AND(V$209-$I61+1&gt;0,MOD(V$209-$I61+1,$H61)=1),$F68,0),IF(V$209-$I61+1=1,$F68,0))</f>
        <v>0</v>
      </c>
      <c r="W68" s="357">
        <f>=IF($J61="是",IF(AND(W$209-$I61+1&gt;0,MOD(W$209-$I61+1,$H61)=1),$F68,0),IF(W$209-$I61+1=1,$F68,0))</f>
        <v>0</v>
      </c>
      <c r="X68" s="357">
        <f>=IF($J61="是",IF(AND(X$209-$I61+1&gt;0,MOD(X$209-$I61+1,$H61)=1),$F68,0),IF(X$209-$I61+1=1,$F68,0))</f>
        <v>0</v>
      </c>
      <c r="Y68" s="357">
        <f>=IF($J61="是",IF(AND(Y$209-$I61+1&gt;0,MOD(Y$209-$I61+1,$H61)=1),$F68,0),IF(Y$209-$I61+1=1,$F68,0))</f>
        <v>0</v>
      </c>
      <c r="Z68" s="357">
        <f>=IF($J61="是",IF(AND(Z$209-$I61+1&gt;0,MOD(Z$209-$I61+1,$H61)=1),$F68,0),IF(Z$209-$I61+1=1,$F68,0))</f>
        <v>0</v>
      </c>
      <c r="AA68" s="357">
        <f>=IF($J61="是",IF(AND(AA$209-$I61+1&gt;0,MOD(AA$209-$I61+1,$H61)=1),$F68,0),IF(AA$209-$I61+1=1,$F68,0))</f>
        <v>0</v>
      </c>
      <c r="AB68" s="357">
        <f>=IF($J61="是",IF(AND(AB$209-$I61+1&gt;0,MOD(AB$209-$I61+1,$H61)=1),$F68,0),IF(AB$209-$I61+1=1,$F68,0))</f>
        <v>0</v>
      </c>
      <c r="AC68" s="357">
        <f>=IF($J61="是",IF(AND(AC$209-$I61+1&gt;0,MOD(AC$209-$I61+1,$H61)=1),$F68,0),IF(AC$209-$I61+1=1,$F68,0))</f>
        <v>0</v>
      </c>
      <c r="AD68" s="357">
        <f>=IF($J61="是",IF(AND(AD$209-$I61+1&gt;0,MOD(AD$209-$I61+1,$H61)=1),$F68,0),IF(AD$209-$I61+1=1,$F68,0))</f>
        <v>0</v>
      </c>
      <c r="AE68" s="357">
        <f>=IF($J61="是",IF(AND(AE$209-$I61+1&gt;0,MOD(AE$209-$I61+1,$H61)=1),$F68,0),IF(AE$209-$I61+1=1,$F68,0))</f>
        <v>0</v>
      </c>
      <c r="AF68" s="357">
        <f>=IF($J61="是",IF(AND(AF$209-$I61+1&gt;0,MOD(AF$209-$I61+1,$H61)=1),$F68,0),IF(AF$209-$I61+1=1,$F68,0))</f>
        <v>0</v>
      </c>
    </row>
    <row r="69" spans="1:32" ht="12" hidden="true" customHeight="true">
      <c r="A69" s="297">
        <v>7</v>
      </c>
      <c r="B69" s="358" t="s">
        <v>712</v>
      </c>
      <c r="C69" s="379" t="s"/>
      <c r="D69" s="380" t="s">
        <v>185</v>
      </c>
      <c r="E69" s="381">
        <v>0.13</v>
      </c>
      <c r="F69" s="357">
        <f>=IF($D69="是",$C69/(1+$E69),$C69)</f>
        <v>0</v>
      </c>
      <c r="G69" s="382">
        <v>0.05</v>
      </c>
      <c r="H69" s="378">
        <v>20</v>
      </c>
      <c r="I69" s="378">
        <f>=辅助表1评估项目基础数据表!$C$3+1</f>
        <v>3</v>
      </c>
      <c r="J69" s="380" t="s">
        <v>185</v>
      </c>
      <c r="K69" s="371" t="s"/>
      <c r="L69" s="371" t="s"/>
      <c r="M69" s="372" t="s"/>
      <c r="N69" s="372" t="s"/>
      <c r="O69" s="372" t="s"/>
      <c r="P69" s="372" t="s"/>
      <c r="Q69" s="372" t="s"/>
      <c r="R69" s="372" t="s"/>
      <c r="S69" s="372" t="s"/>
      <c r="T69" s="372" t="s"/>
      <c r="U69" s="372" t="s"/>
      <c r="V69" s="372" t="s"/>
      <c r="W69" s="372" t="s"/>
      <c r="X69" s="372" t="s"/>
      <c r="Y69" s="372" t="s"/>
      <c r="Z69" s="372" t="s"/>
      <c r="AA69" s="372" t="s"/>
      <c r="AB69" s="372" t="s"/>
      <c r="AC69" s="372" t="s"/>
      <c r="AD69" s="372" t="s"/>
      <c r="AE69" s="372" t="s"/>
      <c r="AF69" s="372" t="s"/>
    </row>
    <row r="70" spans="1:32" ht="12" hidden="true" customHeight="true">
      <c r="A70" s="297" t="s"/>
      <c r="B70" s="374" t="s">
        <v>704</v>
      </c>
      <c r="C70" s="383" t="s">
        <v>714</v>
      </c>
      <c r="D70" s="358" t="s"/>
      <c r="E70" s="358" t="s"/>
      <c r="F70" s="358" t="s"/>
      <c r="G70" s="358" t="s"/>
      <c r="H70" s="358" t="s"/>
      <c r="I70" s="358" t="s"/>
      <c r="J70" s="358" t="s"/>
      <c r="K70" s="376">
        <f>=IF(K$209&lt;$I69,0,IF($H69&gt;(K$209-$I69),(($F69-$F69*$G69)/$H69),0))</f>
        <v>0</v>
      </c>
      <c r="L70" s="376">
        <f>=IF(L$209&lt;$I69,0,IF($H69&gt;(L$209-$I$21),(($F69-$F69*$G69)/$H69),0))</f>
        <v>0</v>
      </c>
      <c r="M70" s="376">
        <f>=IF(M$209&lt;$I69,0,IF($H69&gt;(M$209-$I69),(($F69-$F69*$G69)/$H69),0))</f>
        <v>0</v>
      </c>
      <c r="N70" s="376">
        <f>=IF(N$209&lt;$I69,0,IF($H69&gt;(N$209-$I69),(($F69-$F69*$G69)/$H69),0))</f>
        <v>0</v>
      </c>
      <c r="O70" s="376">
        <f>=IF(O$209&lt;$I69,0,IF($H69&gt;(O$209-$I69),(($F69-$F69*$G69)/$H69),0))</f>
        <v>0</v>
      </c>
      <c r="P70" s="376">
        <f>=IF(P$209&lt;$I69,0,IF($H69&gt;(P$209-$I69),(($F69-$F69*$G69)/$H69),0))</f>
        <v>0</v>
      </c>
      <c r="Q70" s="376">
        <f>=IF(Q$209&lt;$I69,0,IF($H69&gt;(Q$209-$I69),(($F69-$F69*$G69)/$H69),0))</f>
        <v>0</v>
      </c>
      <c r="R70" s="376">
        <f>=IF(R$209&lt;$I69,0,IF($H69&gt;(R$209-$I69),(($F69-$F69*$G69)/$H69),0))</f>
        <v>0</v>
      </c>
      <c r="S70" s="376">
        <f>=IF(S$209&lt;$I69,0,IF($H69&gt;(S$209-$I69),(($F69-$F69*$G69)/$H69),0))</f>
        <v>0</v>
      </c>
      <c r="T70" s="376">
        <f>=IF(T$209&lt;$I69,0,IF($H69&gt;(T$209-$I69),(($F69-$F69*$G69)/$H69),0))</f>
        <v>0</v>
      </c>
      <c r="U70" s="376">
        <f>=IF(U$209&lt;$I69,0,IF($H69&gt;(U$209-$I69),(($F69-$F69*$G69)/$H69),0))</f>
        <v>0</v>
      </c>
      <c r="V70" s="376">
        <f>=IF(V$209&lt;$I69,0,IF($H69&gt;(V$209-$I69),(($F69-$F69*$G69)/$H69),0))</f>
        <v>0</v>
      </c>
      <c r="W70" s="376">
        <f>=IF(W$209&lt;$I69,0,IF($H69&gt;(W$209-$I69),(($F69-$F69*$G69)/$H69),0))</f>
        <v>0</v>
      </c>
      <c r="X70" s="376">
        <f>=IF(X$209&lt;$I69,0,IF($H69&gt;(X$209-$I69),(($F69-$F69*$G69)/$H69),0))</f>
        <v>0</v>
      </c>
      <c r="Y70" s="376">
        <f>=IF(Y$209&lt;$I69,0,IF($H69&gt;(Y$209-$I69),(($F69-$F69*$G69)/$H69),0))</f>
        <v>0</v>
      </c>
      <c r="Z70" s="376">
        <f>=IF(Z$209&lt;$I69,0,IF($H69&gt;(Z$209-$I69),(($F69-$F69*$G69)/$H69),0))</f>
        <v>0</v>
      </c>
      <c r="AA70" s="376">
        <f>=IF(AA$209&lt;$I69,0,IF($H69&gt;(AA$209-$I69),(($F69-$F69*$G69)/$H69),0))</f>
        <v>0</v>
      </c>
      <c r="AB70" s="376">
        <f>=IF(AB$209&lt;$I69,0,IF($H69&gt;(AB$209-$I69),(($F69-$F69*$G69)/$H69),0))</f>
        <v>0</v>
      </c>
      <c r="AC70" s="376">
        <f>=IF(AC$209&lt;$I69,0,IF($H69&gt;(AC$209-$I69),(($F69-$F69*$G69)/$H69),0))</f>
        <v>0</v>
      </c>
      <c r="AD70" s="376">
        <f>=IF(AD$209&lt;$I69,0,IF($H69&gt;(AD$209-$I69),(($F69-$F69*$G69)/$H69),0))</f>
        <v>0</v>
      </c>
      <c r="AE70" s="376">
        <f>=IF(AE$209&lt;$I69,0,IF($H69&gt;(AE$209-$I69),(($F69-$F69*$G69)/$H69),0))</f>
        <v>0</v>
      </c>
      <c r="AF70" s="376">
        <f>=IF(AF$209&lt;$I69,0,IF($H69&gt;(AF$209-$I69),(($F69-$F69*$G69)/$H69),0))</f>
        <v>0</v>
      </c>
    </row>
    <row r="71" spans="1:32" ht="12" hidden="true" customHeight="true">
      <c r="A71" s="297" t="s"/>
      <c r="B71" s="358" t="s">
        <v>705</v>
      </c>
      <c r="C71" s="358" t="s"/>
      <c r="D71" s="358" t="s"/>
      <c r="E71" s="358" t="s"/>
      <c r="F71" s="358" t="s"/>
      <c r="G71" s="358" t="s"/>
      <c r="H71" s="358" t="s"/>
      <c r="I71" s="358" t="s"/>
      <c r="J71" s="358" t="s"/>
      <c r="K71" s="357">
        <f>=IF(K$209=$I69,$F69-K70,0)</f>
        <v>0</v>
      </c>
      <c r="L71" s="357">
        <f>=IF(L$209=$I69,$F69-L70,IF(L$209&gt;$I69,IF(AND($J69="是",L$209&gt;=$I69+$H69),0,K71-L70),0))</f>
        <v>0</v>
      </c>
      <c r="M71" s="357">
        <f>=IF(M$209=$I69,$F69-M70,IF(M$209&gt;$I69,IF(AND($J69="是",M$209&gt;=$I69+$H69),0,L71-M70),0))</f>
        <v>0</v>
      </c>
      <c r="N71" s="357">
        <f>=IF(N$209=$I69,$F69-N70,IF(N$209&gt;$I69,IF(AND($J69="是",N$209&gt;=$I69+$H69),0,M71-N70),0))</f>
        <v>0</v>
      </c>
      <c r="O71" s="357">
        <f>=IF(O$209=$I69,$F69-O70,IF(O$209&gt;$I69,IF(AND($J69="是",O$209&gt;=$I69+$H69),0,N71-O70),0))</f>
        <v>0</v>
      </c>
      <c r="P71" s="357">
        <f>=IF(P$209=$I69,$F69-P70,IF(P$209&gt;$I69,IF(AND($J69="是",P$209&gt;=$I69+$H69),0,O71-P70),0))</f>
        <v>0</v>
      </c>
      <c r="Q71" s="357">
        <f>=IF(Q$209=$I69,$F69-Q70,IF(Q$209&gt;$I69,IF(AND($J69="是",Q$209&gt;=$I69+$H69),0,P71-Q70),0))</f>
        <v>0</v>
      </c>
      <c r="R71" s="357">
        <f>=IF(R$209=$I69,$F69-R70,IF(R$209&gt;$I69,IF(AND($J69="是",R$209&gt;=$I69+$H69),0,Q71-R70),0))</f>
        <v>0</v>
      </c>
      <c r="S71" s="357">
        <f>=IF(S$209=$I69,$F69-S70,IF(S$209&gt;$I69,IF(AND($J69="是",S$209&gt;=$I69+$H69),0,R71-S70),0))</f>
        <v>0</v>
      </c>
      <c r="T71" s="357">
        <f>=IF(T$209=$I69,$F69-T70,IF(T$209&gt;$I69,IF(AND($J69="是",T$209&gt;=$I69+$H69),0,S71-T70),0))</f>
        <v>0</v>
      </c>
      <c r="U71" s="357">
        <f>=IF(U$209=$I69,$F69-U70,IF(U$209&gt;$I69,IF(AND($J69="是",U$209&gt;=$I69+$H69),0,T71-U70),0))</f>
        <v>0</v>
      </c>
      <c r="V71" s="357">
        <f>=IF(V$209=$I69,$F69-V70,IF(V$209&gt;$I69,IF(AND($J69="是",V$209&gt;=$I69+$H69),0,U71-V70),0))</f>
        <v>0</v>
      </c>
      <c r="W71" s="357">
        <f>=IF(W$209=$I69,$F69-W70,IF(W$209&gt;$I69,IF(AND($J69="是",W$209&gt;=$I69+$H69),0,V71-W70),0))</f>
        <v>0</v>
      </c>
      <c r="X71" s="357">
        <f>=IF(X$209=$I69,$F69-X70,IF(X$209&gt;$I69,IF(AND($J69="是",X$209&gt;=$I69+$H69),0,W71-X70),0))</f>
        <v>0</v>
      </c>
      <c r="Y71" s="357">
        <f>=IF(Y$209=$I69,$F69-Y70,IF(Y$209&gt;$I69,IF(AND($J69="是",Y$209&gt;=$I69+$H69),0,X71-Y70),0))</f>
        <v>0</v>
      </c>
      <c r="Z71" s="357">
        <f>=IF(Z$209=$I69,$F69-Z70,IF(Z$209&gt;$I69,IF(AND($J69="是",Z$209&gt;=$I69+$H69),0,Y71-Z70),0))</f>
        <v>0</v>
      </c>
      <c r="AA71" s="357">
        <f>=IF(AA$209=$I69,$F69-AA70,IF(AA$209&gt;$I69,IF(AND($J69="是",AA$209&gt;=$I69+$H69),0,Z71-AA70),0))</f>
        <v>0</v>
      </c>
      <c r="AB71" s="357">
        <f>=IF(AB$209=$I69,$F69-AB70,IF(AB$209&gt;$I69,IF(AND($J69="是",AB$209&gt;=$I69+$H69),0,AA71-AB70),0))</f>
        <v>0</v>
      </c>
      <c r="AC71" s="357">
        <f>=IF(AC$209=$I69,$F69-AC70,IF(AC$209&gt;$I69,IF(AND($J69="是",AC$209&gt;=$I69+$H69),0,AB71-AC70),0))</f>
        <v>0</v>
      </c>
      <c r="AD71" s="357">
        <f>=IF(AD$209=$I69,$F69-AD70,IF(AD$209&gt;$I69,IF(AND($J69="是",AD$209&gt;=$I69+$H69),0,AC71-AD70),0))</f>
        <v>0</v>
      </c>
      <c r="AE71" s="357">
        <f>=IF(AE$209=$I69,$F69-AE70,IF(AE$209&gt;$I69,IF(AND($J69="是",AE$209&gt;=$I69+$H69),0,AD71-AE70),0))</f>
        <v>0</v>
      </c>
      <c r="AF71" s="357">
        <f>=IF(AF$209=$I69,$F69-AF70,IF(AF$209&gt;$I69,IF(AND($J69="是",AF$209&gt;=$I69+$H69),0,AE71-AF70),0))</f>
        <v>0</v>
      </c>
    </row>
    <row r="72" spans="1:32" ht="12" hidden="true" customHeight="true">
      <c r="A72" s="297" t="s"/>
      <c r="B72" s="358" t="s">
        <v>706</v>
      </c>
      <c r="C72" s="358" t="s"/>
      <c r="D72" s="358" t="s"/>
      <c r="E72" s="358" t="s"/>
      <c r="F72" s="358" t="s"/>
      <c r="G72" s="358" t="s"/>
      <c r="H72" s="358" t="s"/>
      <c r="I72" s="358" t="s"/>
      <c r="J72" s="358" t="s"/>
      <c r="K72" s="357">
        <f>=IF(AND($J69="是",K$209&gt;=$H69+$I69),(($F69-$F69*$G69)/$H69),0)</f>
        <v>0</v>
      </c>
      <c r="L72" s="357">
        <f>=IF(AND($J69="是",L$209&gt;=$H69+$I69),(($F69-$F69*$G69)/$H69),0)</f>
        <v>0</v>
      </c>
      <c r="M72" s="357">
        <f>=IF(AND($J69="是",M$209&gt;=$H69+$I69),(($F69-$F69*$G69)/$H69),0)</f>
        <v>0</v>
      </c>
      <c r="N72" s="357">
        <f>=IF(AND($J69="是",N$209&gt;=$H69+$I69),(($F69-$F69*$G69)/$H69),0)</f>
        <v>0</v>
      </c>
      <c r="O72" s="357">
        <f>=IF(AND($J69="是",O$209&gt;=$H69+$I69),(($F69-$F69*$G69)/$H69),0)</f>
        <v>0</v>
      </c>
      <c r="P72" s="357">
        <f>=IF(AND($J69="是",P$209&gt;=$H69+$I69),(($F69-$F69*$G69)/$H69),0)</f>
        <v>0</v>
      </c>
      <c r="Q72" s="357">
        <f>=IF(AND($J69="是",Q$209&gt;=$H69+$I69),(($F69-$F69*$G69)/$H69),0)</f>
        <v>0</v>
      </c>
      <c r="R72" s="357">
        <f>=IF(AND($J69="是",R$209&gt;=$H69+$I69),(($F69-$F69*$G69)/$H69),0)</f>
        <v>0</v>
      </c>
      <c r="S72" s="357">
        <f>=IF(AND($J69="是",S$209&gt;=$H69+$I69),(($F69-$F69*$G69)/$H69),0)</f>
        <v>0</v>
      </c>
      <c r="T72" s="357">
        <f>=IF(AND($J69="是",T$209&gt;=$H69+$I69),(($F69-$F69*$G69)/$H69),0)</f>
        <v>0</v>
      </c>
      <c r="U72" s="357">
        <f>=IF(AND($J69="是",U$209&gt;=$H69+$I69),(($F69-$F69*$G69)/$H69),0)</f>
        <v>0</v>
      </c>
      <c r="V72" s="357">
        <f>=IF(AND($J69="是",V$209&gt;=$H69+$I69),(($F69-$F69*$G69)/$H69),0)</f>
        <v>0</v>
      </c>
      <c r="W72" s="357">
        <f>=IF(AND($J69="是",W$209&gt;=$H69+$I69),(($F69-$F69*$G69)/$H69),0)</f>
        <v>0</v>
      </c>
      <c r="X72" s="357">
        <f>=IF(AND($J69="是",X$209&gt;=$H69+$I69),(($F69-$F69*$G69)/$H69),0)</f>
        <v>0</v>
      </c>
      <c r="Y72" s="357">
        <f>=IF(AND($J69="是",Y$209&gt;=$H69+$I69),(($F69-$F69*$G69)/$H69),0)</f>
        <v>0</v>
      </c>
      <c r="Z72" s="357">
        <f>=IF(AND($J69="是",Z$209&gt;=$H69+$I69),(($F69-$F69*$G69)/$H69),0)</f>
        <v>0</v>
      </c>
      <c r="AA72" s="357">
        <f>=IF(AND($J69="是",AA$209&gt;=$H69+$I69),(($F69-$F69*$G69)/$H69),0)</f>
        <v>0</v>
      </c>
      <c r="AB72" s="357">
        <f>=IF(AND($J69="是",AB$209&gt;=$H69+$I69),(($F69-$F69*$G69)/$H69),0)</f>
        <v>0</v>
      </c>
      <c r="AC72" s="357">
        <f>=IF(AND($J69="是",AC$209&gt;=$H69+$I69),(($F69-$F69*$G69)/$H69),0)</f>
        <v>0</v>
      </c>
      <c r="AD72" s="357">
        <f>=IF(AND($J69="是",AD$209&gt;=$H69+$I69),(($F69-$F69*$G69)/$H69),0)</f>
        <v>0</v>
      </c>
      <c r="AE72" s="357">
        <f>=IF(AND($J69="是",AE$209&gt;=$H69+$I69),(($F69-$F69*$G69)/$H69),0)</f>
        <v>0</v>
      </c>
      <c r="AF72" s="357">
        <f>=IF(AND($J69="是",AF$209&gt;=$H69+$I69),(($F69-$F69*$G69)/$H69),0)</f>
        <v>0</v>
      </c>
    </row>
    <row r="73" spans="1:32" ht="12" hidden="true" customHeight="true">
      <c r="A73" s="297" t="s"/>
      <c r="B73" s="358" t="s">
        <v>707</v>
      </c>
      <c r="C73" s="358" t="s"/>
      <c r="D73" s="358" t="s"/>
      <c r="E73" s="358" t="s"/>
      <c r="F73" s="358" t="s"/>
      <c r="G73" s="358" t="s"/>
      <c r="H73" s="358" t="s"/>
      <c r="I73" s="358" t="s"/>
      <c r="J73" s="358" t="s"/>
      <c r="K73" s="357">
        <f>=IF(K$209&lt;$I69+$H69,0,IF($J69="是",IF(OR($H69=1,MOD(K$209-$I69+1,$H69)=1),$F69-K72,J73-K72),0))</f>
        <v>0</v>
      </c>
      <c r="L73" s="357">
        <f>=IF(L$209&lt;$I69+$H69,0,IF($J69="是",IF(OR($H69=1,MOD(L$209-$I69+1,$H69)=1),$F69-L72,K73-L72),0))</f>
        <v>0</v>
      </c>
      <c r="M73" s="357">
        <f>=IF(M$209&lt;$I69+$H69,0,IF($J69="是",IF(OR($H69=1,MOD(M$209-$I69+1,$H69)=1),$F69-M72,L73-M72),0))</f>
        <v>0</v>
      </c>
      <c r="N73" s="357">
        <f>=IF(N$209&lt;$I69+$H69,0,IF($J69="是",IF(OR($H69=1,MOD(N$209-$I69+1,$H69)=1),$F69-N72,M73-N72),0))</f>
        <v>0</v>
      </c>
      <c r="O73" s="357">
        <f>=IF(O$209&lt;$I69+$H69,0,IF($J69="是",IF(OR($H69=1,MOD(O$209-$I69+1,$H69)=1),$F69-O72,N73-O72),0))</f>
        <v>0</v>
      </c>
      <c r="P73" s="357">
        <f>=IF(P$209&lt;$I69+$H69,0,IF($J69="是",IF(OR($H69=1,MOD(P$209-$I69+1,$H69)=1),$F69-P72,O73-P72),0))</f>
        <v>0</v>
      </c>
      <c r="Q73" s="357">
        <f>=IF(Q$209&lt;$I69+$H69,0,IF($J69="是",IF(OR($H69=1,MOD(Q$209-$I69+1,$H69)=1),$F69-Q72,P73-Q72),0))</f>
        <v>0</v>
      </c>
      <c r="R73" s="357">
        <f>=IF(R$209&lt;$I69+$H69,0,IF($J69="是",IF(OR($H69=1,MOD(R$209-$I69+1,$H69)=1),$F69-R72,Q73-R72),0))</f>
        <v>0</v>
      </c>
      <c r="S73" s="357">
        <f>=IF(S$209&lt;$I69+$H69,0,IF($J69="是",IF(OR($H69=1,MOD(S$209-$I69+1,$H69)=1),$F69-S72,R73-S72),0))</f>
        <v>0</v>
      </c>
      <c r="T73" s="357">
        <f>=IF(T$209&lt;$I69+$H69,0,IF($J69="是",IF(OR($H69=1,MOD(T$209-$I69+1,$H69)=1),$F69-T72,S73-T72),0))</f>
        <v>0</v>
      </c>
      <c r="U73" s="357">
        <f>=IF(U$209&lt;$I69+$H69,0,IF($J69="是",IF(OR($H69=1,MOD(U$209-$I69+1,$H69)=1),$F69-U72,T73-U72),0))</f>
        <v>0</v>
      </c>
      <c r="V73" s="357">
        <f>=IF(V$209&lt;$I69+$H69,0,IF($J69="是",IF(OR($H69=1,MOD(V$209-$I69+1,$H69)=1),$F69-V72,U73-V72),0))</f>
        <v>0</v>
      </c>
      <c r="W73" s="357">
        <f>=IF(W$209&lt;$I69+$H69,0,IF($J69="是",IF(OR($H69=1,MOD(W$209-$I69+1,$H69)=1),$F69-W72,V73-W72),0))</f>
        <v>0</v>
      </c>
      <c r="X73" s="357">
        <f>=IF(X$209&lt;$I69+$H69,0,IF($J69="是",IF(OR($H69=1,MOD(X$209-$I69+1,$H69)=1),$F69-X72,W73-X72),0))</f>
        <v>0</v>
      </c>
      <c r="Y73" s="357">
        <f>=IF(Y$209&lt;$I69+$H69,0,IF($J69="是",IF(OR($H69=1,MOD(Y$209-$I69+1,$H69)=1),$F69-Y72,X73-Y72),0))</f>
        <v>0</v>
      </c>
      <c r="Z73" s="357">
        <f>=IF(Z$209&lt;$I69+$H69,0,IF($J69="是",IF(OR($H69=1,MOD(Z$209-$I69+1,$H69)=1),$F69-Z72,Y73-Z72),0))</f>
        <v>0</v>
      </c>
      <c r="AA73" s="357">
        <f>=IF(AA$209&lt;$I69+$H69,0,IF($J69="是",IF(OR($H69=1,MOD(AA$209-$I69+1,$H69)=1),$F69-AA72,Z73-AA72),0))</f>
        <v>0</v>
      </c>
      <c r="AB73" s="357">
        <f>=IF(AB$209&lt;$I69+$H69,0,IF($J69="是",IF(OR($H69=1,MOD(AB$209-$I69+1,$H69)=1),$F69-AB72,AA73-AB72),0))</f>
        <v>0</v>
      </c>
      <c r="AC73" s="357">
        <f>=IF(AC$209&lt;$I69+$H69,0,IF($J69="是",IF(OR($H69=1,MOD(AC$209-$I69+1,$H69)=1),$F69-AC72,AB73-AC72),0))</f>
        <v>0</v>
      </c>
      <c r="AD73" s="357">
        <f>=IF(AD$209&lt;$I69+$H69,0,IF($J69="是",IF(OR($H69=1,MOD(AD$209-$I69+1,$H69)=1),$F69-AD72,AC73-AD72),0))</f>
        <v>0</v>
      </c>
      <c r="AE73" s="357">
        <f>=IF(AE$209&lt;$I69+$H69,0,IF($J69="是",IF(OR($H69=1,MOD(AE$209-$I69+1,$H69)=1),$F69-AE72,AD73-AE72),0))</f>
        <v>0</v>
      </c>
      <c r="AF73" s="357">
        <f>=IF(AF$209&lt;$I69+$H69,0,IF($J69="是",IF(OR($H69=1,MOD(AF$209-$I69+1,$H69)=1),$F69-AF72,AE73-AF72),0))</f>
        <v>0</v>
      </c>
    </row>
    <row r="74" spans="1:32" ht="12" hidden="true" customHeight="true">
      <c r="A74" s="297" t="s"/>
      <c r="B74" s="358" t="s">
        <v>708</v>
      </c>
      <c r="C74" s="358" t="s"/>
      <c r="D74" s="358" t="s"/>
      <c r="E74" s="358" t="s"/>
      <c r="F74" s="358" t="s"/>
      <c r="G74" s="358" t="s"/>
      <c r="H74" s="358" t="s"/>
      <c r="I74" s="358" t="s"/>
      <c r="J74" s="358" t="s"/>
      <c r="K74" s="357">
        <f>=IF(AND($J69="是",K$209&gt;=$H69+$I69,MOD(K$209-$I69+1,$H69)=1),$F69,0)</f>
        <v>0</v>
      </c>
      <c r="L74" s="357">
        <f>=IF(AND($J69="是",L$209&gt;=$H69+$I69,MOD(L$209-$I69+1,$H69)=1),$F69,0)</f>
        <v>0</v>
      </c>
      <c r="M74" s="357">
        <f>=IF(AND($J69="是",M$209&gt;=$H69+$I69,MOD(M$209-$I69+1,$H69)=1),$F69,0)</f>
        <v>0</v>
      </c>
      <c r="N74" s="357">
        <f>=IF(AND($J69="是",N$209&gt;=$H69+$I69,MOD(N$209-$I69+1,$H69)=1),$F69,0)</f>
        <v>0</v>
      </c>
      <c r="O74" s="357">
        <f>=IF(AND($J69="是",O$209&gt;=$H69+$I69,MOD(O$209-$I69+1,$H69)=1),$F69,0)</f>
        <v>0</v>
      </c>
      <c r="P74" s="357">
        <f>=IF(AND($J69="是",P$209&gt;=$H69+$I69,MOD(P$209-$I69+1,$H69)=1),$F69,0)</f>
        <v>0</v>
      </c>
      <c r="Q74" s="357">
        <f>=IF(AND($J69="是",Q$209&gt;=$H69+$I69,MOD(Q$209-$I69+1,$H69)=1),$F69,0)</f>
        <v>0</v>
      </c>
      <c r="R74" s="357">
        <f>=IF(AND($J69="是",R$209&gt;=$H69+$I69,MOD(R$209-$I69+1,$H69)=1),$F69,0)</f>
        <v>0</v>
      </c>
      <c r="S74" s="357">
        <f>=IF(AND($J69="是",S$209&gt;=$H69+$I69,MOD(S$209-$I69+1,$H69)=1),$F69,0)</f>
        <v>0</v>
      </c>
      <c r="T74" s="357">
        <f>=IF(AND($J69="是",T$209&gt;=$H69+$I69,MOD(T$209-$I69+1,$H69)=1),$F69,0)</f>
        <v>0</v>
      </c>
      <c r="U74" s="357">
        <f>=IF(AND($J69="是",U$209&gt;=$H69+$I69,MOD(U$209-$I69+1,$H69)=1),$F69,0)</f>
        <v>0</v>
      </c>
      <c r="V74" s="357">
        <f>=IF(AND($J69="是",V$209&gt;=$H69+$I69,MOD(V$209-$I69+1,$H69)=1),$F69,0)</f>
        <v>0</v>
      </c>
      <c r="W74" s="357">
        <f>=IF(AND($J69="是",W$209&gt;=$H69+$I69,MOD(W$209-$I69+1,$H69)=1),$F69,0)</f>
        <v>0</v>
      </c>
      <c r="X74" s="357">
        <f>=IF(AND($J69="是",X$209&gt;=$H69+$I69,MOD(X$209-$I69+1,$H69)=1),$F69,0)</f>
        <v>0</v>
      </c>
      <c r="Y74" s="357">
        <f>=IF(AND($J69="是",Y$209&gt;=$H69+$I69,MOD(Y$209-$I69+1,$H69)=1),$F69,0)</f>
        <v>0</v>
      </c>
      <c r="Z74" s="357">
        <f>=IF(AND($J69="是",Z$209&gt;=$H69+$I69,MOD(Z$209-$I69+1,$H69)=1),$F69,0)</f>
        <v>0</v>
      </c>
      <c r="AA74" s="357">
        <f>=IF(AND($J69="是",AA$209&gt;=$H69+$I69,MOD(AA$209-$I69+1,$H69)=1),$F69,0)</f>
        <v>0</v>
      </c>
      <c r="AB74" s="357">
        <f>=IF(AND($J69="是",AB$209&gt;=$H69+$I69,MOD(AB$209-$I69+1,$H69)=1),$F69,0)</f>
        <v>0</v>
      </c>
      <c r="AC74" s="357">
        <f>=IF(AND($J69="是",AC$209&gt;=$H69+$I69,MOD(AC$209-$I69+1,$H69)=1),$F69,0)</f>
        <v>0</v>
      </c>
      <c r="AD74" s="357">
        <f>=IF(AND($J69="是",AD$209&gt;=$H69+$I69,MOD(AD$209-$I69+1,$H69)=1),$F69,0)</f>
        <v>0</v>
      </c>
      <c r="AE74" s="357">
        <f>=IF(AND($J69="是",AE$209&gt;=$H69+$I69,MOD(AE$209-$I69+1,$H69)=1),$F69,0)</f>
        <v>0</v>
      </c>
      <c r="AF74" s="357">
        <f>=IF(AND($J69="是",AF$209&gt;=$H69+$I69,MOD(AF$209-$I69+1,$H69)=1),$F69,0)</f>
        <v>0</v>
      </c>
    </row>
    <row r="75" spans="1:32" ht="12" hidden="true" customHeight="true">
      <c r="A75" s="297" t="s"/>
      <c r="B75" s="358" t="s">
        <v>709</v>
      </c>
      <c r="C75" s="358" t="s"/>
      <c r="D75" s="358" t="s"/>
      <c r="E75" s="358" t="s"/>
      <c r="F75" s="358" t="s"/>
      <c r="G75" s="358" t="s"/>
      <c r="H75" s="358" t="s"/>
      <c r="I75" s="358" t="s"/>
      <c r="J75" s="358" t="s"/>
      <c r="K75" s="357">
        <f>=IF(K$209=辅助表1评估项目基础数据表!$C$3+辅助表1评估项目基础数据表!$C$5,K71+K73,IF(AND($J69="是",K$209&gt;=$H69+$I69,MOD(K$209-$I69+1,$H69)=1),$F69*$G69,0))</f>
        <v>0</v>
      </c>
      <c r="L75" s="357">
        <f>=IF(L$209=辅助表1评估项目基础数据表!$C$3+辅助表1评估项目基础数据表!$C$5,L71+L73,IF(AND($J69="是",L$209&gt;=$H69+$I69,MOD(L$209-$I69+1,$H69)=1),$F69*$G69,0))</f>
        <v>0</v>
      </c>
      <c r="M75" s="357">
        <f>=IF(M$209=辅助表1评估项目基础数据表!$C$3+辅助表1评估项目基础数据表!$C$5,M71+M73,IF(AND($J69="是",M$209&gt;=$H69+$I69,MOD(M$209-$I69+1,$H69)=1),$F69*$G69,0))</f>
        <v>0</v>
      </c>
      <c r="N75" s="357">
        <f>=IF(N$209=辅助表1评估项目基础数据表!$C$3+辅助表1评估项目基础数据表!$C$5,N71+N73,IF(AND($J69="是",N$209&gt;=$H69+$I69,MOD(N$209-$I69+1,$H69)=1),$F69*$G69,0))</f>
        <v>0</v>
      </c>
      <c r="O75" s="357">
        <f>=IF(O$209=辅助表1评估项目基础数据表!$C$3+辅助表1评估项目基础数据表!$C$5,O71+O73,IF(AND($J69="是",O$209&gt;=$H69+$I69,MOD(O$209-$I69+1,$H69)=1),$F69*$G69,0))</f>
        <v>0</v>
      </c>
      <c r="P75" s="357">
        <f>=IF(P$209=辅助表1评估项目基础数据表!$C$3+辅助表1评估项目基础数据表!$C$5,P71+P73,IF(AND($J69="是",P$209&gt;=$H69+$I69,MOD(P$209-$I69+1,$H69)=1),$F69*$G69,0))</f>
        <v>0</v>
      </c>
      <c r="Q75" s="357">
        <f>=IF(Q$209=辅助表1评估项目基础数据表!$C$3+辅助表1评估项目基础数据表!$C$5,Q71+Q73,IF(AND($J69="是",Q$209&gt;=$H69+$I69,MOD(Q$209-$I69+1,$H69)=1),$F69*$G69,0))</f>
        <v>0</v>
      </c>
      <c r="R75" s="357">
        <f>=IF(R$209=辅助表1评估项目基础数据表!$C$3+辅助表1评估项目基础数据表!$C$5,R71+R73,IF(AND($J69="是",R$209&gt;=$H69+$I69,MOD(R$209-$I69+1,$H69)=1),$F69*$G69,0))</f>
        <v>0</v>
      </c>
      <c r="S75" s="357">
        <f>=IF(S$209=辅助表1评估项目基础数据表!$C$3+辅助表1评估项目基础数据表!$C$5,S71+S73,IF(AND($J69="是",S$209&gt;=$H69+$I69,MOD(S$209-$I69+1,$H69)=1),$F69*$G69,0))</f>
        <v>0</v>
      </c>
      <c r="T75" s="357">
        <f>=IF(T$209=辅助表1评估项目基础数据表!$C$3+辅助表1评估项目基础数据表!$C$5,T71+T73,IF(AND($J69="是",T$209&gt;=$H69+$I69,MOD(T$209-$I69+1,$H69)=1),$F69*$G69,0))</f>
        <v>0</v>
      </c>
      <c r="U75" s="357">
        <f>=IF(U$209=辅助表1评估项目基础数据表!$C$3+辅助表1评估项目基础数据表!$C$5,U71+U73,IF(AND($J69="是",U$209&gt;=$H69+$I69,MOD(U$209-$I69+1,$H69)=1),$F69*$G69,0))</f>
        <v>0</v>
      </c>
      <c r="V75" s="357">
        <f>=IF(V$209=辅助表1评估项目基础数据表!$C$3+辅助表1评估项目基础数据表!$C$5,V71+V73,IF(AND($J69="是",V$209&gt;=$H69+$I69,MOD(V$209-$I69+1,$H69)=1),$F69*$G69,0))</f>
        <v>0</v>
      </c>
      <c r="W75" s="357">
        <f>=IF(W$209=辅助表1评估项目基础数据表!$C$3+辅助表1评估项目基础数据表!$C$5,W71+W73,IF(AND($J69="是",W$209&gt;=$H69+$I69,MOD(W$209-$I69+1,$H69)=1),$F69*$G69,0))</f>
        <v>0</v>
      </c>
      <c r="X75" s="357">
        <f>=IF(X$209=辅助表1评估项目基础数据表!$C$3+辅助表1评估项目基础数据表!$C$5,X71+X73,IF(AND($J69="是",X$209&gt;=$H69+$I69,MOD(X$209-$I69+1,$H69)=1),$F69*$G69,0))</f>
        <v>0</v>
      </c>
      <c r="Y75" s="357">
        <f>=IF(Y$209=辅助表1评估项目基础数据表!$C$3+辅助表1评估项目基础数据表!$C$5,Y71+Y73,IF(AND($J69="是",Y$209&gt;=$H69+$I69,MOD(Y$209-$I69+1,$H69)=1),$F69*$G69,0))</f>
        <v>0</v>
      </c>
      <c r="Z75" s="357">
        <f>=IF(Z$209=辅助表1评估项目基础数据表!$C$3+辅助表1评估项目基础数据表!$C$5,Z71+Z73,IF(AND($J69="是",Z$209&gt;=$H69+$I69,MOD(Z$209-$I69+1,$H69)=1),$F69*$G69,0))</f>
        <v>0</v>
      </c>
      <c r="AA75" s="357">
        <f>=IF(AA$209=辅助表1评估项目基础数据表!$C$3+辅助表1评估项目基础数据表!$C$5,AA71+AA73,IF(AND($J69="是",AA$209&gt;=$H69+$I69,MOD(AA$209-$I69+1,$H69)=1),$F69*$G69,0))</f>
        <v>0</v>
      </c>
      <c r="AB75" s="357">
        <f>=IF(AB$209=辅助表1评估项目基础数据表!$C$3+辅助表1评估项目基础数据表!$C$5,AB71+AB73,IF(AND($J69="是",AB$209&gt;=$H69+$I69,MOD(AB$209-$I69+1,$H69)=1),$F69*$G69,0))</f>
        <v>0</v>
      </c>
      <c r="AC75" s="357">
        <f>=IF(AC$209=辅助表1评估项目基础数据表!$C$3+辅助表1评估项目基础数据表!$C$5,AC71+AC73,IF(AND($J69="是",AC$209&gt;=$H69+$I69,MOD(AC$209-$I69+1,$H69)=1),$F69*$G69,0))</f>
        <v>0</v>
      </c>
      <c r="AD75" s="357">
        <f>=IF(AD$209=辅助表1评估项目基础数据表!$C$3+辅助表1评估项目基础数据表!$C$5,AD71+AD73,IF(AND($J69="是",AD$209&gt;=$H69+$I69,MOD(AD$209-$I69+1,$H69)=1),$F69*$G69,0))</f>
        <v>0</v>
      </c>
      <c r="AE75" s="357">
        <f>=IF(AE$209=辅助表1评估项目基础数据表!$C$3+辅助表1评估项目基础数据表!$C$5,AE71+AE73,IF(AND($J69="是",AE$209&gt;=$H69+$I69,MOD(AE$209-$I69+1,$H69)=1),$F69*$G69,0))</f>
        <v>0</v>
      </c>
      <c r="AF75" s="357">
        <f>=IF(AF$209=辅助表1评估项目基础数据表!$C$3+辅助表1评估项目基础数据表!$C$5,AF71+AF73,IF(AND($J69="是",AF$209&gt;=$H69+$I69,MOD(AF$209-$I69+1,$H69)=1),$F69*$G69,0))</f>
        <v>0</v>
      </c>
    </row>
    <row r="76" spans="1:32" ht="12" hidden="true" customHeight="true">
      <c r="A76" s="297" t="s"/>
      <c r="B76" s="358" t="s">
        <v>710</v>
      </c>
      <c r="C76" s="358" t="s"/>
      <c r="D76" s="358" t="s"/>
      <c r="E76" s="358" t="s"/>
      <c r="F76" s="357">
        <f>=IF($D69="是",$C69*$E69/(1+$E69),0)</f>
        <v>0</v>
      </c>
      <c r="G76" s="358" t="s"/>
      <c r="H76" s="358" t="s"/>
      <c r="I76" s="358" t="s"/>
      <c r="J76" s="358" t="s"/>
      <c r="K76" s="357">
        <f>=IF($J69="是",IF(AND(K$209-$I69+1&gt;0,MOD(K$209-$I69+1,$H69)=1),$F76,0),IF(K$209-$I69+1=1,$F76,0))</f>
        <v>0</v>
      </c>
      <c r="L76" s="357">
        <f>=IF($J69="是",IF(AND(L$209-$I69+1&gt;0,MOD(L$209-$I69+1,$H69)=1),$F76,0),IF(L$209-$I69+1=1,$F76,0))</f>
        <v>0</v>
      </c>
      <c r="M76" s="357">
        <f>=IF($J69="是",IF(AND(M$209-$I69+1&gt;0,MOD(M$209-$I69+1,$H69)=1),$F76,0),IF(M$209-$I69+1=1,$F76,0))</f>
        <v>0</v>
      </c>
      <c r="N76" s="357">
        <f>=IF($J69="是",IF(AND(N$209-$I69+1&gt;0,MOD(N$209-$I69+1,$H69)=1),$F76,0),IF(N$209-$I69+1=1,$F76,0))</f>
        <v>0</v>
      </c>
      <c r="O76" s="357">
        <f>=IF($J69="是",IF(AND(O$209-$I69+1&gt;0,MOD(O$209-$I69+1,$H69)=1),$F76,0),IF(O$209-$I69+1=1,$F76,0))</f>
        <v>0</v>
      </c>
      <c r="P76" s="357">
        <f>=IF($J69="是",IF(AND(P$209-$I69+1&gt;0,MOD(P$209-$I69+1,$H69)=1),$F76,0),IF(P$209-$I69+1=1,$F76,0))</f>
        <v>0</v>
      </c>
      <c r="Q76" s="357">
        <f>=IF($J69="是",IF(AND(Q$209-$I69+1&gt;0,MOD(Q$209-$I69+1,$H69)=1),$F76,0),IF(Q$209-$I69+1=1,$F76,0))</f>
        <v>0</v>
      </c>
      <c r="R76" s="357">
        <f>=IF($J69="是",IF(AND(R$209-$I69+1&gt;0,MOD(R$209-$I69+1,$H69)=1),$F76,0),IF(R$209-$I69+1=1,$F76,0))</f>
        <v>0</v>
      </c>
      <c r="S76" s="357">
        <f>=IF($J69="是",IF(AND(S$209-$I69+1&gt;0,MOD(S$209-$I69+1,$H69)=1),$F76,0),IF(S$209-$I69+1=1,$F76,0))</f>
        <v>0</v>
      </c>
      <c r="T76" s="357">
        <f>=IF($J69="是",IF(AND(T$209-$I69+1&gt;0,MOD(T$209-$I69+1,$H69)=1),$F76,0),IF(T$209-$I69+1=1,$F76,0))</f>
        <v>0</v>
      </c>
      <c r="U76" s="357">
        <f>=IF($J69="是",IF(AND(U$209-$I69+1&gt;0,MOD(U$209-$I69+1,$H69)=1),$F76,0),IF(U$209-$I69+1=1,$F76,0))</f>
        <v>0</v>
      </c>
      <c r="V76" s="357">
        <f>=IF($J69="是",IF(AND(V$209-$I69+1&gt;0,MOD(V$209-$I69+1,$H69)=1),$F76,0),IF(V$209-$I69+1=1,$F76,0))</f>
        <v>0</v>
      </c>
      <c r="W76" s="357">
        <f>=IF($J69="是",IF(AND(W$209-$I69+1&gt;0,MOD(W$209-$I69+1,$H69)=1),$F76,0),IF(W$209-$I69+1=1,$F76,0))</f>
        <v>0</v>
      </c>
      <c r="X76" s="357">
        <f>=IF($J69="是",IF(AND(X$209-$I69+1&gt;0,MOD(X$209-$I69+1,$H69)=1),$F76,0),IF(X$209-$I69+1=1,$F76,0))</f>
        <v>0</v>
      </c>
      <c r="Y76" s="357">
        <f>=IF($J69="是",IF(AND(Y$209-$I69+1&gt;0,MOD(Y$209-$I69+1,$H69)=1),$F76,0),IF(Y$209-$I69+1=1,$F76,0))</f>
        <v>0</v>
      </c>
      <c r="Z76" s="357">
        <f>=IF($J69="是",IF(AND(Z$209-$I69+1&gt;0,MOD(Z$209-$I69+1,$H69)=1),$F76,0),IF(Z$209-$I69+1=1,$F76,0))</f>
        <v>0</v>
      </c>
      <c r="AA76" s="357">
        <f>=IF($J69="是",IF(AND(AA$209-$I69+1&gt;0,MOD(AA$209-$I69+1,$H69)=1),$F76,0),IF(AA$209-$I69+1=1,$F76,0))</f>
        <v>0</v>
      </c>
      <c r="AB76" s="357">
        <f>=IF($J69="是",IF(AND(AB$209-$I69+1&gt;0,MOD(AB$209-$I69+1,$H69)=1),$F76,0),IF(AB$209-$I69+1=1,$F76,0))</f>
        <v>0</v>
      </c>
      <c r="AC76" s="357">
        <f>=IF($J69="是",IF(AND(AC$209-$I69+1&gt;0,MOD(AC$209-$I69+1,$H69)=1),$F76,0),IF(AC$209-$I69+1=1,$F76,0))</f>
        <v>0</v>
      </c>
      <c r="AD76" s="357">
        <f>=IF($J69="是",IF(AND(AD$209-$I69+1&gt;0,MOD(AD$209-$I69+1,$H69)=1),$F76,0),IF(AD$209-$I69+1=1,$F76,0))</f>
        <v>0</v>
      </c>
      <c r="AE76" s="357">
        <f>=IF($J69="是",IF(AND(AE$209-$I69+1&gt;0,MOD(AE$209-$I69+1,$H69)=1),$F76,0),IF(AE$209-$I69+1=1,$F76,0))</f>
        <v>0</v>
      </c>
      <c r="AF76" s="357">
        <f>=IF($J69="是",IF(AND(AF$209-$I69+1&gt;0,MOD(AF$209-$I69+1,$H69)=1),$F76,0),IF(AF$209-$I69+1=1,$F76,0))</f>
        <v>0</v>
      </c>
    </row>
    <row r="77" spans="1:32" ht="12" hidden="true" customHeight="true">
      <c r="A77" s="297">
        <v>8</v>
      </c>
      <c r="B77" s="358" t="s">
        <v>712</v>
      </c>
      <c r="C77" s="379" t="s"/>
      <c r="D77" s="380" t="s">
        <v>185</v>
      </c>
      <c r="E77" s="381">
        <v>0.13</v>
      </c>
      <c r="F77" s="357">
        <f>=IF($D77="是",$C77/(1+$E77),$C77)</f>
        <v>0</v>
      </c>
      <c r="G77" s="382">
        <v>0.05</v>
      </c>
      <c r="H77" s="378">
        <v>20</v>
      </c>
      <c r="I77" s="378">
        <f>=辅助表1评估项目基础数据表!$C$3+1</f>
        <v>3</v>
      </c>
      <c r="J77" s="380" t="s">
        <v>185</v>
      </c>
      <c r="K77" s="371" t="s"/>
      <c r="L77" s="371" t="s"/>
      <c r="M77" s="372" t="s"/>
      <c r="N77" s="372" t="s"/>
      <c r="O77" s="372" t="s"/>
      <c r="P77" s="372" t="s"/>
      <c r="Q77" s="372" t="s"/>
      <c r="R77" s="372" t="s"/>
      <c r="S77" s="372" t="s"/>
      <c r="T77" s="372" t="s"/>
      <c r="U77" s="372" t="s"/>
      <c r="V77" s="372" t="s"/>
      <c r="W77" s="372" t="s"/>
      <c r="X77" s="372" t="s"/>
      <c r="Y77" s="372" t="s"/>
      <c r="Z77" s="372" t="s"/>
      <c r="AA77" s="372" t="s"/>
      <c r="AB77" s="372" t="s"/>
      <c r="AC77" s="372" t="s"/>
      <c r="AD77" s="372" t="s"/>
      <c r="AE77" s="372" t="s"/>
      <c r="AF77" s="372" t="s"/>
    </row>
    <row r="78" spans="1:32" ht="12" hidden="true" customHeight="true">
      <c r="A78" s="297" t="s"/>
      <c r="B78" s="374" t="s">
        <v>704</v>
      </c>
      <c r="C78" s="383" t="s">
        <v>714</v>
      </c>
      <c r="D78" s="358" t="s"/>
      <c r="E78" s="358" t="s"/>
      <c r="F78" s="358" t="s"/>
      <c r="G78" s="358" t="s"/>
      <c r="H78" s="358" t="s"/>
      <c r="I78" s="358" t="s"/>
      <c r="J78" s="358" t="s"/>
      <c r="K78" s="376">
        <f>=IF(K$209&lt;$I77,0,IF($H77&gt;(K$209-$I77),(($F77-$F77*$G77)/$H77),0))</f>
        <v>0</v>
      </c>
      <c r="L78" s="376">
        <f>=IF(L$209&lt;$I77,0,IF($H77&gt;(L$209-$I$21),(($F77-$F77*$G77)/$H77),0))</f>
        <v>0</v>
      </c>
      <c r="M78" s="376">
        <f>=IF(M$209&lt;$I77,0,IF($H77&gt;(M$209-$I77),(($F77-$F77*$G77)/$H77),0))</f>
        <v>0</v>
      </c>
      <c r="N78" s="376">
        <f>=IF(N$209&lt;$I77,0,IF($H77&gt;(N$209-$I77),(($F77-$F77*$G77)/$H77),0))</f>
        <v>0</v>
      </c>
      <c r="O78" s="376">
        <f>=IF(O$209&lt;$I77,0,IF($H77&gt;(O$209-$I77),(($F77-$F77*$G77)/$H77),0))</f>
        <v>0</v>
      </c>
      <c r="P78" s="376">
        <f>=IF(P$209&lt;$I77,0,IF($H77&gt;(P$209-$I77),(($F77-$F77*$G77)/$H77),0))</f>
        <v>0</v>
      </c>
      <c r="Q78" s="376">
        <f>=IF(Q$209&lt;$I77,0,IF($H77&gt;(Q$209-$I77),(($F77-$F77*$G77)/$H77),0))</f>
        <v>0</v>
      </c>
      <c r="R78" s="376">
        <f>=IF(R$209&lt;$I77,0,IF($H77&gt;(R$209-$I77),(($F77-$F77*$G77)/$H77),0))</f>
        <v>0</v>
      </c>
      <c r="S78" s="376">
        <f>=IF(S$209&lt;$I77,0,IF($H77&gt;(S$209-$I77),(($F77-$F77*$G77)/$H77),0))</f>
        <v>0</v>
      </c>
      <c r="T78" s="376">
        <f>=IF(T$209&lt;$I77,0,IF($H77&gt;(T$209-$I77),(($F77-$F77*$G77)/$H77),0))</f>
        <v>0</v>
      </c>
      <c r="U78" s="376">
        <f>=IF(U$209&lt;$I77,0,IF($H77&gt;(U$209-$I77),(($F77-$F77*$G77)/$H77),0))</f>
        <v>0</v>
      </c>
      <c r="V78" s="376">
        <f>=IF(V$209&lt;$I77,0,IF($H77&gt;(V$209-$I77),(($F77-$F77*$G77)/$H77),0))</f>
        <v>0</v>
      </c>
      <c r="W78" s="376">
        <f>=IF(W$209&lt;$I77,0,IF($H77&gt;(W$209-$I77),(($F77-$F77*$G77)/$H77),0))</f>
        <v>0</v>
      </c>
      <c r="X78" s="376">
        <f>=IF(X$209&lt;$I77,0,IF($H77&gt;(X$209-$I77),(($F77-$F77*$G77)/$H77),0))</f>
        <v>0</v>
      </c>
      <c r="Y78" s="376">
        <f>=IF(Y$209&lt;$I77,0,IF($H77&gt;(Y$209-$I77),(($F77-$F77*$G77)/$H77),0))</f>
        <v>0</v>
      </c>
      <c r="Z78" s="376">
        <f>=IF(Z$209&lt;$I77,0,IF($H77&gt;(Z$209-$I77),(($F77-$F77*$G77)/$H77),0))</f>
        <v>0</v>
      </c>
      <c r="AA78" s="376">
        <f>=IF(AA$209&lt;$I77,0,IF($H77&gt;(AA$209-$I77),(($F77-$F77*$G77)/$H77),0))</f>
        <v>0</v>
      </c>
      <c r="AB78" s="376">
        <f>=IF(AB$209&lt;$I77,0,IF($H77&gt;(AB$209-$I77),(($F77-$F77*$G77)/$H77),0))</f>
        <v>0</v>
      </c>
      <c r="AC78" s="376">
        <f>=IF(AC$209&lt;$I77,0,IF($H77&gt;(AC$209-$I77),(($F77-$F77*$G77)/$H77),0))</f>
        <v>0</v>
      </c>
      <c r="AD78" s="376">
        <f>=IF(AD$209&lt;$I77,0,IF($H77&gt;(AD$209-$I77),(($F77-$F77*$G77)/$H77),0))</f>
        <v>0</v>
      </c>
      <c r="AE78" s="376">
        <f>=IF(AE$209&lt;$I77,0,IF($H77&gt;(AE$209-$I77),(($F77-$F77*$G77)/$H77),0))</f>
        <v>0</v>
      </c>
      <c r="AF78" s="376">
        <f>=IF(AF$209&lt;$I77,0,IF($H77&gt;(AF$209-$I77),(($F77-$F77*$G77)/$H77),0))</f>
        <v>0</v>
      </c>
    </row>
    <row r="79" spans="1:32" ht="12" hidden="true" customHeight="true">
      <c r="A79" s="297" t="s"/>
      <c r="B79" s="358" t="s">
        <v>705</v>
      </c>
      <c r="C79" s="358" t="s"/>
      <c r="D79" s="358" t="s"/>
      <c r="E79" s="358" t="s"/>
      <c r="F79" s="358" t="s"/>
      <c r="G79" s="358" t="s"/>
      <c r="H79" s="358" t="s"/>
      <c r="I79" s="358" t="s"/>
      <c r="J79" s="358" t="s"/>
      <c r="K79" s="357">
        <f>=IF(K$209=$I77,$F77-K78,0)</f>
        <v>0</v>
      </c>
      <c r="L79" s="357">
        <f>=IF(L$209=$I77,$F77-L78,IF(L$209&gt;$I77,IF(AND($J77="是",L$209&gt;=$I77+$H77),0,K79-L78),0))</f>
        <v>0</v>
      </c>
      <c r="M79" s="357">
        <f>=IF(M$209=$I77,$F77-M78,IF(M$209&gt;$I77,IF(AND($J77="是",M$209&gt;=$I77+$H77),0,L79-M78),0))</f>
        <v>0</v>
      </c>
      <c r="N79" s="357">
        <f>=IF(N$209=$I77,$F77-N78,IF(N$209&gt;$I77,IF(AND($J77="是",N$209&gt;=$I77+$H77),0,M79-N78),0))</f>
        <v>0</v>
      </c>
      <c r="O79" s="357">
        <f>=IF(O$209=$I77,$F77-O78,IF(O$209&gt;$I77,IF(AND($J77="是",O$209&gt;=$I77+$H77),0,N79-O78),0))</f>
        <v>0</v>
      </c>
      <c r="P79" s="357">
        <f>=IF(P$209=$I77,$F77-P78,IF(P$209&gt;$I77,IF(AND($J77="是",P$209&gt;=$I77+$H77),0,O79-P78),0))</f>
        <v>0</v>
      </c>
      <c r="Q79" s="357">
        <f>=IF(Q$209=$I77,$F77-Q78,IF(Q$209&gt;$I77,IF(AND($J77="是",Q$209&gt;=$I77+$H77),0,P79-Q78),0))</f>
        <v>0</v>
      </c>
      <c r="R79" s="357">
        <f>=IF(R$209=$I77,$F77-R78,IF(R$209&gt;$I77,IF(AND($J77="是",R$209&gt;=$I77+$H77),0,Q79-R78),0))</f>
        <v>0</v>
      </c>
      <c r="S79" s="357">
        <f>=IF(S$209=$I77,$F77-S78,IF(S$209&gt;$I77,IF(AND($J77="是",S$209&gt;=$I77+$H77),0,R79-S78),0))</f>
        <v>0</v>
      </c>
      <c r="T79" s="357">
        <f>=IF(T$209=$I77,$F77-T78,IF(T$209&gt;$I77,IF(AND($J77="是",T$209&gt;=$I77+$H77),0,S79-T78),0))</f>
        <v>0</v>
      </c>
      <c r="U79" s="357">
        <f>=IF(U$209=$I77,$F77-U78,IF(U$209&gt;$I77,IF(AND($J77="是",U$209&gt;=$I77+$H77),0,T79-U78),0))</f>
        <v>0</v>
      </c>
      <c r="V79" s="357">
        <f>=IF(V$209=$I77,$F77-V78,IF(V$209&gt;$I77,IF(AND($J77="是",V$209&gt;=$I77+$H77),0,U79-V78),0))</f>
        <v>0</v>
      </c>
      <c r="W79" s="357">
        <f>=IF(W$209=$I77,$F77-W78,IF(W$209&gt;$I77,IF(AND($J77="是",W$209&gt;=$I77+$H77),0,V79-W78),0))</f>
        <v>0</v>
      </c>
      <c r="X79" s="357">
        <f>=IF(X$209=$I77,$F77-X78,IF(X$209&gt;$I77,IF(AND($J77="是",X$209&gt;=$I77+$H77),0,W79-X78),0))</f>
        <v>0</v>
      </c>
      <c r="Y79" s="357">
        <f>=IF(Y$209=$I77,$F77-Y78,IF(Y$209&gt;$I77,IF(AND($J77="是",Y$209&gt;=$I77+$H77),0,X79-Y78),0))</f>
        <v>0</v>
      </c>
      <c r="Z79" s="357">
        <f>=IF(Z$209=$I77,$F77-Z78,IF(Z$209&gt;$I77,IF(AND($J77="是",Z$209&gt;=$I77+$H77),0,Y79-Z78),0))</f>
        <v>0</v>
      </c>
      <c r="AA79" s="357">
        <f>=IF(AA$209=$I77,$F77-AA78,IF(AA$209&gt;$I77,IF(AND($J77="是",AA$209&gt;=$I77+$H77),0,Z79-AA78),0))</f>
        <v>0</v>
      </c>
      <c r="AB79" s="357">
        <f>=IF(AB$209=$I77,$F77-AB78,IF(AB$209&gt;$I77,IF(AND($J77="是",AB$209&gt;=$I77+$H77),0,AA79-AB78),0))</f>
        <v>0</v>
      </c>
      <c r="AC79" s="357">
        <f>=IF(AC$209=$I77,$F77-AC78,IF(AC$209&gt;$I77,IF(AND($J77="是",AC$209&gt;=$I77+$H77),0,AB79-AC78),0))</f>
        <v>0</v>
      </c>
      <c r="AD79" s="357">
        <f>=IF(AD$209=$I77,$F77-AD78,IF(AD$209&gt;$I77,IF(AND($J77="是",AD$209&gt;=$I77+$H77),0,AC79-AD78),0))</f>
        <v>0</v>
      </c>
      <c r="AE79" s="357">
        <f>=IF(AE$209=$I77,$F77-AE78,IF(AE$209&gt;$I77,IF(AND($J77="是",AE$209&gt;=$I77+$H77),0,AD79-AE78),0))</f>
        <v>0</v>
      </c>
      <c r="AF79" s="357">
        <f>=IF(AF$209=$I77,$F77-AF78,IF(AF$209&gt;$I77,IF(AND($J77="是",AF$209&gt;=$I77+$H77),0,AE79-AF78),0))</f>
        <v>0</v>
      </c>
    </row>
    <row r="80" spans="1:32" ht="12" hidden="true" customHeight="true">
      <c r="A80" s="297" t="s"/>
      <c r="B80" s="358" t="s">
        <v>706</v>
      </c>
      <c r="C80" s="358" t="s"/>
      <c r="D80" s="358" t="s"/>
      <c r="E80" s="358" t="s"/>
      <c r="F80" s="358" t="s"/>
      <c r="G80" s="358" t="s"/>
      <c r="H80" s="358" t="s"/>
      <c r="I80" s="358" t="s"/>
      <c r="J80" s="358" t="s"/>
      <c r="K80" s="357">
        <f>=IF(AND($J77="是",K$209&gt;=$H77+$I77),(($F77-$F77*$G77)/$H77),0)</f>
        <v>0</v>
      </c>
      <c r="L80" s="357">
        <f>=IF(AND($J77="是",L$209&gt;=$H77+$I77),(($F77-$F77*$G77)/$H77),0)</f>
        <v>0</v>
      </c>
      <c r="M80" s="357">
        <f>=IF(AND($J77="是",M$209&gt;=$H77+$I77),(($F77-$F77*$G77)/$H77),0)</f>
        <v>0</v>
      </c>
      <c r="N80" s="357">
        <f>=IF(AND($J77="是",N$209&gt;=$H77+$I77),(($F77-$F77*$G77)/$H77),0)</f>
        <v>0</v>
      </c>
      <c r="O80" s="357">
        <f>=IF(AND($J77="是",O$209&gt;=$H77+$I77),(($F77-$F77*$G77)/$H77),0)</f>
        <v>0</v>
      </c>
      <c r="P80" s="357">
        <f>=IF(AND($J77="是",P$209&gt;=$H77+$I77),(($F77-$F77*$G77)/$H77),0)</f>
        <v>0</v>
      </c>
      <c r="Q80" s="357">
        <f>=IF(AND($J77="是",Q$209&gt;=$H77+$I77),(($F77-$F77*$G77)/$H77),0)</f>
        <v>0</v>
      </c>
      <c r="R80" s="357">
        <f>=IF(AND($J77="是",R$209&gt;=$H77+$I77),(($F77-$F77*$G77)/$H77),0)</f>
        <v>0</v>
      </c>
      <c r="S80" s="357">
        <f>=IF(AND($J77="是",S$209&gt;=$H77+$I77),(($F77-$F77*$G77)/$H77),0)</f>
        <v>0</v>
      </c>
      <c r="T80" s="357">
        <f>=IF(AND($J77="是",T$209&gt;=$H77+$I77),(($F77-$F77*$G77)/$H77),0)</f>
        <v>0</v>
      </c>
      <c r="U80" s="357">
        <f>=IF(AND($J77="是",U$209&gt;=$H77+$I77),(($F77-$F77*$G77)/$H77),0)</f>
        <v>0</v>
      </c>
      <c r="V80" s="357">
        <f>=IF(AND($J77="是",V$209&gt;=$H77+$I77),(($F77-$F77*$G77)/$H77),0)</f>
        <v>0</v>
      </c>
      <c r="W80" s="357">
        <f>=IF(AND($J77="是",W$209&gt;=$H77+$I77),(($F77-$F77*$G77)/$H77),0)</f>
        <v>0</v>
      </c>
      <c r="X80" s="357">
        <f>=IF(AND($J77="是",X$209&gt;=$H77+$I77),(($F77-$F77*$G77)/$H77),0)</f>
        <v>0</v>
      </c>
      <c r="Y80" s="357">
        <f>=IF(AND($J77="是",Y$209&gt;=$H77+$I77),(($F77-$F77*$G77)/$H77),0)</f>
        <v>0</v>
      </c>
      <c r="Z80" s="357">
        <f>=IF(AND($J77="是",Z$209&gt;=$H77+$I77),(($F77-$F77*$G77)/$H77),0)</f>
        <v>0</v>
      </c>
      <c r="AA80" s="357">
        <f>=IF(AND($J77="是",AA$209&gt;=$H77+$I77),(($F77-$F77*$G77)/$H77),0)</f>
        <v>0</v>
      </c>
      <c r="AB80" s="357">
        <f>=IF(AND($J77="是",AB$209&gt;=$H77+$I77),(($F77-$F77*$G77)/$H77),0)</f>
        <v>0</v>
      </c>
      <c r="AC80" s="357">
        <f>=IF(AND($J77="是",AC$209&gt;=$H77+$I77),(($F77-$F77*$G77)/$H77),0)</f>
        <v>0</v>
      </c>
      <c r="AD80" s="357">
        <f>=IF(AND($J77="是",AD$209&gt;=$H77+$I77),(($F77-$F77*$G77)/$H77),0)</f>
        <v>0</v>
      </c>
      <c r="AE80" s="357">
        <f>=IF(AND($J77="是",AE$209&gt;=$H77+$I77),(($F77-$F77*$G77)/$H77),0)</f>
        <v>0</v>
      </c>
      <c r="AF80" s="357">
        <f>=IF(AND($J77="是",AF$209&gt;=$H77+$I77),(($F77-$F77*$G77)/$H77),0)</f>
        <v>0</v>
      </c>
    </row>
    <row r="81" spans="1:32" ht="12" hidden="true" customHeight="true">
      <c r="A81" s="297" t="s"/>
      <c r="B81" s="358" t="s">
        <v>707</v>
      </c>
      <c r="C81" s="358" t="s"/>
      <c r="D81" s="358" t="s"/>
      <c r="E81" s="358" t="s"/>
      <c r="F81" s="358" t="s"/>
      <c r="G81" s="358" t="s"/>
      <c r="H81" s="358" t="s"/>
      <c r="I81" s="358" t="s"/>
      <c r="J81" s="358" t="s"/>
      <c r="K81" s="357">
        <f>=IF(K$209&lt;$I77+$H77,0,IF($J77="是",IF(OR($H77=1,MOD(K$209-$I77+1,$H77)=1),$F77-K80,J81-K80),0))</f>
        <v>0</v>
      </c>
      <c r="L81" s="357">
        <f>=IF(L$209&lt;$I77+$H77,0,IF($J77="是",IF(OR($H77=1,MOD(L$209-$I77+1,$H77)=1),$F77-L80,K81-L80),0))</f>
        <v>0</v>
      </c>
      <c r="M81" s="357">
        <f>=IF(M$209&lt;$I77+$H77,0,IF($J77="是",IF(OR($H77=1,MOD(M$209-$I77+1,$H77)=1),$F77-M80,L81-M80),0))</f>
        <v>0</v>
      </c>
      <c r="N81" s="357">
        <f>=IF(N$209&lt;$I77+$H77,0,IF($J77="是",IF(OR($H77=1,MOD(N$209-$I77+1,$H77)=1),$F77-N80,M81-N80),0))</f>
        <v>0</v>
      </c>
      <c r="O81" s="357">
        <f>=IF(O$209&lt;$I77+$H77,0,IF($J77="是",IF(OR($H77=1,MOD(O$209-$I77+1,$H77)=1),$F77-O80,N81-O80),0))</f>
        <v>0</v>
      </c>
      <c r="P81" s="357">
        <f>=IF(P$209&lt;$I77+$H77,0,IF($J77="是",IF(OR($H77=1,MOD(P$209-$I77+1,$H77)=1),$F77-P80,O81-P80),0))</f>
        <v>0</v>
      </c>
      <c r="Q81" s="357">
        <f>=IF(Q$209&lt;$I77+$H77,0,IF($J77="是",IF(OR($H77=1,MOD(Q$209-$I77+1,$H77)=1),$F77-Q80,P81-Q80),0))</f>
        <v>0</v>
      </c>
      <c r="R81" s="357">
        <f>=IF(R$209&lt;$I77+$H77,0,IF($J77="是",IF(OR($H77=1,MOD(R$209-$I77+1,$H77)=1),$F77-R80,Q81-R80),0))</f>
        <v>0</v>
      </c>
      <c r="S81" s="357">
        <f>=IF(S$209&lt;$I77+$H77,0,IF($J77="是",IF(OR($H77=1,MOD(S$209-$I77+1,$H77)=1),$F77-S80,R81-S80),0))</f>
        <v>0</v>
      </c>
      <c r="T81" s="357">
        <f>=IF(T$209&lt;$I77+$H77,0,IF($J77="是",IF(OR($H77=1,MOD(T$209-$I77+1,$H77)=1),$F77-T80,S81-T80),0))</f>
        <v>0</v>
      </c>
      <c r="U81" s="357">
        <f>=IF(U$209&lt;$I77+$H77,0,IF($J77="是",IF(OR($H77=1,MOD(U$209-$I77+1,$H77)=1),$F77-U80,T81-U80),0))</f>
        <v>0</v>
      </c>
      <c r="V81" s="357">
        <f>=IF(V$209&lt;$I77+$H77,0,IF($J77="是",IF(OR($H77=1,MOD(V$209-$I77+1,$H77)=1),$F77-V80,U81-V80),0))</f>
        <v>0</v>
      </c>
      <c r="W81" s="357">
        <f>=IF(W$209&lt;$I77+$H77,0,IF($J77="是",IF(OR($H77=1,MOD(W$209-$I77+1,$H77)=1),$F77-W80,V81-W80),0))</f>
        <v>0</v>
      </c>
      <c r="X81" s="357">
        <f>=IF(X$209&lt;$I77+$H77,0,IF($J77="是",IF(OR($H77=1,MOD(X$209-$I77+1,$H77)=1),$F77-X80,W81-X80),0))</f>
        <v>0</v>
      </c>
      <c r="Y81" s="357">
        <f>=IF(Y$209&lt;$I77+$H77,0,IF($J77="是",IF(OR($H77=1,MOD(Y$209-$I77+1,$H77)=1),$F77-Y80,X81-Y80),0))</f>
        <v>0</v>
      </c>
      <c r="Z81" s="357">
        <f>=IF(Z$209&lt;$I77+$H77,0,IF($J77="是",IF(OR($H77=1,MOD(Z$209-$I77+1,$H77)=1),$F77-Z80,Y81-Z80),0))</f>
        <v>0</v>
      </c>
      <c r="AA81" s="357">
        <f>=IF(AA$209&lt;$I77+$H77,0,IF($J77="是",IF(OR($H77=1,MOD(AA$209-$I77+1,$H77)=1),$F77-AA80,Z81-AA80),0))</f>
        <v>0</v>
      </c>
      <c r="AB81" s="357">
        <f>=IF(AB$209&lt;$I77+$H77,0,IF($J77="是",IF(OR($H77=1,MOD(AB$209-$I77+1,$H77)=1),$F77-AB80,AA81-AB80),0))</f>
        <v>0</v>
      </c>
      <c r="AC81" s="357">
        <f>=IF(AC$209&lt;$I77+$H77,0,IF($J77="是",IF(OR($H77=1,MOD(AC$209-$I77+1,$H77)=1),$F77-AC80,AB81-AC80),0))</f>
        <v>0</v>
      </c>
      <c r="AD81" s="357">
        <f>=IF(AD$209&lt;$I77+$H77,0,IF($J77="是",IF(OR($H77=1,MOD(AD$209-$I77+1,$H77)=1),$F77-AD80,AC81-AD80),0))</f>
        <v>0</v>
      </c>
      <c r="AE81" s="357">
        <f>=IF(AE$209&lt;$I77+$H77,0,IF($J77="是",IF(OR($H77=1,MOD(AE$209-$I77+1,$H77)=1),$F77-AE80,AD81-AE80),0))</f>
        <v>0</v>
      </c>
      <c r="AF81" s="357">
        <f>=IF(AF$209&lt;$I77+$H77,0,IF($J77="是",IF(OR($H77=1,MOD(AF$209-$I77+1,$H77)=1),$F77-AF80,AE81-AF80),0))</f>
        <v>0</v>
      </c>
    </row>
    <row r="82" spans="1:32" ht="12" hidden="true" customHeight="true">
      <c r="A82" s="297" t="s"/>
      <c r="B82" s="358" t="s">
        <v>708</v>
      </c>
      <c r="C82" s="358" t="s"/>
      <c r="D82" s="358" t="s"/>
      <c r="E82" s="358" t="s"/>
      <c r="F82" s="358" t="s"/>
      <c r="G82" s="358" t="s"/>
      <c r="H82" s="358" t="s"/>
      <c r="I82" s="358" t="s"/>
      <c r="J82" s="358" t="s"/>
      <c r="K82" s="357">
        <f>=IF(AND($J77="是",K$209&gt;=$H77+$I77,MOD(K$209-$I77+1,$H77)=1),$F77,0)</f>
        <v>0</v>
      </c>
      <c r="L82" s="357">
        <f>=IF(AND($J77="是",L$209&gt;=$H77+$I77,MOD(L$209-$I77+1,$H77)=1),$F77,0)</f>
        <v>0</v>
      </c>
      <c r="M82" s="357">
        <f>=IF(AND($J77="是",M$209&gt;=$H77+$I77,MOD(M$209-$I77+1,$H77)=1),$F77,0)</f>
        <v>0</v>
      </c>
      <c r="N82" s="357">
        <f>=IF(AND($J77="是",N$209&gt;=$H77+$I77,MOD(N$209-$I77+1,$H77)=1),$F77,0)</f>
        <v>0</v>
      </c>
      <c r="O82" s="357">
        <f>=IF(AND($J77="是",O$209&gt;=$H77+$I77,MOD(O$209-$I77+1,$H77)=1),$F77,0)</f>
        <v>0</v>
      </c>
      <c r="P82" s="357">
        <f>=IF(AND($J77="是",P$209&gt;=$H77+$I77,MOD(P$209-$I77+1,$H77)=1),$F77,0)</f>
        <v>0</v>
      </c>
      <c r="Q82" s="357">
        <f>=IF(AND($J77="是",Q$209&gt;=$H77+$I77,MOD(Q$209-$I77+1,$H77)=1),$F77,0)</f>
        <v>0</v>
      </c>
      <c r="R82" s="357">
        <f>=IF(AND($J77="是",R$209&gt;=$H77+$I77,MOD(R$209-$I77+1,$H77)=1),$F77,0)</f>
        <v>0</v>
      </c>
      <c r="S82" s="357">
        <f>=IF(AND($J77="是",S$209&gt;=$H77+$I77,MOD(S$209-$I77+1,$H77)=1),$F77,0)</f>
        <v>0</v>
      </c>
      <c r="T82" s="357">
        <f>=IF(AND($J77="是",T$209&gt;=$H77+$I77,MOD(T$209-$I77+1,$H77)=1),$F77,0)</f>
        <v>0</v>
      </c>
      <c r="U82" s="357">
        <f>=IF(AND($J77="是",U$209&gt;=$H77+$I77,MOD(U$209-$I77+1,$H77)=1),$F77,0)</f>
        <v>0</v>
      </c>
      <c r="V82" s="357">
        <f>=IF(AND($J77="是",V$209&gt;=$H77+$I77,MOD(V$209-$I77+1,$H77)=1),$F77,0)</f>
        <v>0</v>
      </c>
      <c r="W82" s="357">
        <f>=IF(AND($J77="是",W$209&gt;=$H77+$I77,MOD(W$209-$I77+1,$H77)=1),$F77,0)</f>
        <v>0</v>
      </c>
      <c r="X82" s="357">
        <f>=IF(AND($J77="是",X$209&gt;=$H77+$I77,MOD(X$209-$I77+1,$H77)=1),$F77,0)</f>
        <v>0</v>
      </c>
      <c r="Y82" s="357">
        <f>=IF(AND($J77="是",Y$209&gt;=$H77+$I77,MOD(Y$209-$I77+1,$H77)=1),$F77,0)</f>
        <v>0</v>
      </c>
      <c r="Z82" s="357">
        <f>=IF(AND($J77="是",Z$209&gt;=$H77+$I77,MOD(Z$209-$I77+1,$H77)=1),$F77,0)</f>
        <v>0</v>
      </c>
      <c r="AA82" s="357">
        <f>=IF(AND($J77="是",AA$209&gt;=$H77+$I77,MOD(AA$209-$I77+1,$H77)=1),$F77,0)</f>
        <v>0</v>
      </c>
      <c r="AB82" s="357">
        <f>=IF(AND($J77="是",AB$209&gt;=$H77+$I77,MOD(AB$209-$I77+1,$H77)=1),$F77,0)</f>
        <v>0</v>
      </c>
      <c r="AC82" s="357">
        <f>=IF(AND($J77="是",AC$209&gt;=$H77+$I77,MOD(AC$209-$I77+1,$H77)=1),$F77,0)</f>
        <v>0</v>
      </c>
      <c r="AD82" s="357">
        <f>=IF(AND($J77="是",AD$209&gt;=$H77+$I77,MOD(AD$209-$I77+1,$H77)=1),$F77,0)</f>
        <v>0</v>
      </c>
      <c r="AE82" s="357">
        <f>=IF(AND($J77="是",AE$209&gt;=$H77+$I77,MOD(AE$209-$I77+1,$H77)=1),$F77,0)</f>
        <v>0</v>
      </c>
      <c r="AF82" s="357">
        <f>=IF(AND($J77="是",AF$209&gt;=$H77+$I77,MOD(AF$209-$I77+1,$H77)=1),$F77,0)</f>
        <v>0</v>
      </c>
    </row>
    <row r="83" spans="1:32" ht="12" hidden="true" customHeight="true">
      <c r="A83" s="297" t="s"/>
      <c r="B83" s="358" t="s">
        <v>709</v>
      </c>
      <c r="C83" s="358" t="s"/>
      <c r="D83" s="358" t="s"/>
      <c r="E83" s="358" t="s"/>
      <c r="F83" s="358" t="s"/>
      <c r="G83" s="358" t="s"/>
      <c r="H83" s="358" t="s"/>
      <c r="I83" s="358" t="s"/>
      <c r="J83" s="358" t="s"/>
      <c r="K83" s="357">
        <f>=IF(K$209=辅助表1评估项目基础数据表!$C$3+辅助表1评估项目基础数据表!$C$5,K79+K81,IF(AND($J77="是",K$209&gt;=$H77+$I77,MOD(K$209-$I77+1,$H77)=1),$F77*$G77,0))</f>
        <v>0</v>
      </c>
      <c r="L83" s="357">
        <f>=IF(L$209=辅助表1评估项目基础数据表!$C$3+辅助表1评估项目基础数据表!$C$5,L79+L81,IF(AND($J77="是",L$209&gt;=$H77+$I77,MOD(L$209-$I77+1,$H77)=1),$F77*$G77,0))</f>
        <v>0</v>
      </c>
      <c r="M83" s="357">
        <f>=IF(M$209=辅助表1评估项目基础数据表!$C$3+辅助表1评估项目基础数据表!$C$5,M79+M81,IF(AND($J77="是",M$209&gt;=$H77+$I77,MOD(M$209-$I77+1,$H77)=1),$F77*$G77,0))</f>
        <v>0</v>
      </c>
      <c r="N83" s="357">
        <f>=IF(N$209=辅助表1评估项目基础数据表!$C$3+辅助表1评估项目基础数据表!$C$5,N79+N81,IF(AND($J77="是",N$209&gt;=$H77+$I77,MOD(N$209-$I77+1,$H77)=1),$F77*$G77,0))</f>
        <v>0</v>
      </c>
      <c r="O83" s="357">
        <f>=IF(O$209=辅助表1评估项目基础数据表!$C$3+辅助表1评估项目基础数据表!$C$5,O79+O81,IF(AND($J77="是",O$209&gt;=$H77+$I77,MOD(O$209-$I77+1,$H77)=1),$F77*$G77,0))</f>
        <v>0</v>
      </c>
      <c r="P83" s="357">
        <f>=IF(P$209=辅助表1评估项目基础数据表!$C$3+辅助表1评估项目基础数据表!$C$5,P79+P81,IF(AND($J77="是",P$209&gt;=$H77+$I77,MOD(P$209-$I77+1,$H77)=1),$F77*$G77,0))</f>
        <v>0</v>
      </c>
      <c r="Q83" s="357">
        <f>=IF(Q$209=辅助表1评估项目基础数据表!$C$3+辅助表1评估项目基础数据表!$C$5,Q79+Q81,IF(AND($J77="是",Q$209&gt;=$H77+$I77,MOD(Q$209-$I77+1,$H77)=1),$F77*$G77,0))</f>
        <v>0</v>
      </c>
      <c r="R83" s="357">
        <f>=IF(R$209=辅助表1评估项目基础数据表!$C$3+辅助表1评估项目基础数据表!$C$5,R79+R81,IF(AND($J77="是",R$209&gt;=$H77+$I77,MOD(R$209-$I77+1,$H77)=1),$F77*$G77,0))</f>
        <v>0</v>
      </c>
      <c r="S83" s="357">
        <f>=IF(S$209=辅助表1评估项目基础数据表!$C$3+辅助表1评估项目基础数据表!$C$5,S79+S81,IF(AND($J77="是",S$209&gt;=$H77+$I77,MOD(S$209-$I77+1,$H77)=1),$F77*$G77,0))</f>
        <v>0</v>
      </c>
      <c r="T83" s="357">
        <f>=IF(T$209=辅助表1评估项目基础数据表!$C$3+辅助表1评估项目基础数据表!$C$5,T79+T81,IF(AND($J77="是",T$209&gt;=$H77+$I77,MOD(T$209-$I77+1,$H77)=1),$F77*$G77,0))</f>
        <v>0</v>
      </c>
      <c r="U83" s="357">
        <f>=IF(U$209=辅助表1评估项目基础数据表!$C$3+辅助表1评估项目基础数据表!$C$5,U79+U81,IF(AND($J77="是",U$209&gt;=$H77+$I77,MOD(U$209-$I77+1,$H77)=1),$F77*$G77,0))</f>
        <v>0</v>
      </c>
      <c r="V83" s="357">
        <f>=IF(V$209=辅助表1评估项目基础数据表!$C$3+辅助表1评估项目基础数据表!$C$5,V79+V81,IF(AND($J77="是",V$209&gt;=$H77+$I77,MOD(V$209-$I77+1,$H77)=1),$F77*$G77,0))</f>
        <v>0</v>
      </c>
      <c r="W83" s="357">
        <f>=IF(W$209=辅助表1评估项目基础数据表!$C$3+辅助表1评估项目基础数据表!$C$5,W79+W81,IF(AND($J77="是",W$209&gt;=$H77+$I77,MOD(W$209-$I77+1,$H77)=1),$F77*$G77,0))</f>
        <v>0</v>
      </c>
      <c r="X83" s="357">
        <f>=IF(X$209=辅助表1评估项目基础数据表!$C$3+辅助表1评估项目基础数据表!$C$5,X79+X81,IF(AND($J77="是",X$209&gt;=$H77+$I77,MOD(X$209-$I77+1,$H77)=1),$F77*$G77,0))</f>
        <v>0</v>
      </c>
      <c r="Y83" s="357">
        <f>=IF(Y$209=辅助表1评估项目基础数据表!$C$3+辅助表1评估项目基础数据表!$C$5,Y79+Y81,IF(AND($J77="是",Y$209&gt;=$H77+$I77,MOD(Y$209-$I77+1,$H77)=1),$F77*$G77,0))</f>
        <v>0</v>
      </c>
      <c r="Z83" s="357">
        <f>=IF(Z$209=辅助表1评估项目基础数据表!$C$3+辅助表1评估项目基础数据表!$C$5,Z79+Z81,IF(AND($J77="是",Z$209&gt;=$H77+$I77,MOD(Z$209-$I77+1,$H77)=1),$F77*$G77,0))</f>
        <v>0</v>
      </c>
      <c r="AA83" s="357">
        <f>=IF(AA$209=辅助表1评估项目基础数据表!$C$3+辅助表1评估项目基础数据表!$C$5,AA79+AA81,IF(AND($J77="是",AA$209&gt;=$H77+$I77,MOD(AA$209-$I77+1,$H77)=1),$F77*$G77,0))</f>
        <v>0</v>
      </c>
      <c r="AB83" s="357">
        <f>=IF(AB$209=辅助表1评估项目基础数据表!$C$3+辅助表1评估项目基础数据表!$C$5,AB79+AB81,IF(AND($J77="是",AB$209&gt;=$H77+$I77,MOD(AB$209-$I77+1,$H77)=1),$F77*$G77,0))</f>
        <v>0</v>
      </c>
      <c r="AC83" s="357">
        <f>=IF(AC$209=辅助表1评估项目基础数据表!$C$3+辅助表1评估项目基础数据表!$C$5,AC79+AC81,IF(AND($J77="是",AC$209&gt;=$H77+$I77,MOD(AC$209-$I77+1,$H77)=1),$F77*$G77,0))</f>
        <v>0</v>
      </c>
      <c r="AD83" s="357">
        <f>=IF(AD$209=辅助表1评估项目基础数据表!$C$3+辅助表1评估项目基础数据表!$C$5,AD79+AD81,IF(AND($J77="是",AD$209&gt;=$H77+$I77,MOD(AD$209-$I77+1,$H77)=1),$F77*$G77,0))</f>
        <v>0</v>
      </c>
      <c r="AE83" s="357">
        <f>=IF(AE$209=辅助表1评估项目基础数据表!$C$3+辅助表1评估项目基础数据表!$C$5,AE79+AE81,IF(AND($J77="是",AE$209&gt;=$H77+$I77,MOD(AE$209-$I77+1,$H77)=1),$F77*$G77,0))</f>
        <v>0</v>
      </c>
      <c r="AF83" s="357">
        <f>=IF(AF$209=辅助表1评估项目基础数据表!$C$3+辅助表1评估项目基础数据表!$C$5,AF79+AF81,IF(AND($J77="是",AF$209&gt;=$H77+$I77,MOD(AF$209-$I77+1,$H77)=1),$F77*$G77,0))</f>
        <v>0</v>
      </c>
    </row>
    <row r="84" spans="1:32" ht="12" hidden="true" customHeight="true">
      <c r="A84" s="297" t="s"/>
      <c r="B84" s="358" t="s">
        <v>710</v>
      </c>
      <c r="C84" s="358" t="s"/>
      <c r="D84" s="358" t="s"/>
      <c r="E84" s="358" t="s"/>
      <c r="F84" s="357">
        <f>=IF($D77="是",$C77*$E77/(1+$E77),0)</f>
        <v>0</v>
      </c>
      <c r="G84" s="358" t="s"/>
      <c r="H84" s="358" t="s"/>
      <c r="I84" s="358" t="s"/>
      <c r="J84" s="358" t="s"/>
      <c r="K84" s="357">
        <f>=IF($J77="是",IF(AND(K$209-$I77+1&gt;0,MOD(K$209-$I77+1,$H77)=1),$F84,0),IF(K$209-$I77+1=1,$F84,0))</f>
        <v>0</v>
      </c>
      <c r="L84" s="357">
        <f>=IF($J77="是",IF(AND(L$209-$I77+1&gt;0,MOD(L$209-$I77+1,$H77)=1),$F84,0),IF(L$209-$I77+1=1,$F84,0))</f>
        <v>0</v>
      </c>
      <c r="M84" s="357">
        <f>=IF($J77="是",IF(AND(M$209-$I77+1&gt;0,MOD(M$209-$I77+1,$H77)=1),$F84,0),IF(M$209-$I77+1=1,$F84,0))</f>
        <v>0</v>
      </c>
      <c r="N84" s="357">
        <f>=IF($J77="是",IF(AND(N$209-$I77+1&gt;0,MOD(N$209-$I77+1,$H77)=1),$F84,0),IF(N$209-$I77+1=1,$F84,0))</f>
        <v>0</v>
      </c>
      <c r="O84" s="357">
        <f>=IF($J77="是",IF(AND(O$209-$I77+1&gt;0,MOD(O$209-$I77+1,$H77)=1),$F84,0),IF(O$209-$I77+1=1,$F84,0))</f>
        <v>0</v>
      </c>
      <c r="P84" s="357">
        <f>=IF($J77="是",IF(AND(P$209-$I77+1&gt;0,MOD(P$209-$I77+1,$H77)=1),$F84,0),IF(P$209-$I77+1=1,$F84,0))</f>
        <v>0</v>
      </c>
      <c r="Q84" s="357">
        <f>=IF($J77="是",IF(AND(Q$209-$I77+1&gt;0,MOD(Q$209-$I77+1,$H77)=1),$F84,0),IF(Q$209-$I77+1=1,$F84,0))</f>
        <v>0</v>
      </c>
      <c r="R84" s="357">
        <f>=IF($J77="是",IF(AND(R$209-$I77+1&gt;0,MOD(R$209-$I77+1,$H77)=1),$F84,0),IF(R$209-$I77+1=1,$F84,0))</f>
        <v>0</v>
      </c>
      <c r="S84" s="357">
        <f>=IF($J77="是",IF(AND(S$209-$I77+1&gt;0,MOD(S$209-$I77+1,$H77)=1),$F84,0),IF(S$209-$I77+1=1,$F84,0))</f>
        <v>0</v>
      </c>
      <c r="T84" s="357">
        <f>=IF($J77="是",IF(AND(T$209-$I77+1&gt;0,MOD(T$209-$I77+1,$H77)=1),$F84,0),IF(T$209-$I77+1=1,$F84,0))</f>
        <v>0</v>
      </c>
      <c r="U84" s="357">
        <f>=IF($J77="是",IF(AND(U$209-$I77+1&gt;0,MOD(U$209-$I77+1,$H77)=1),$F84,0),IF(U$209-$I77+1=1,$F84,0))</f>
        <v>0</v>
      </c>
      <c r="V84" s="357">
        <f>=IF($J77="是",IF(AND(V$209-$I77+1&gt;0,MOD(V$209-$I77+1,$H77)=1),$F84,0),IF(V$209-$I77+1=1,$F84,0))</f>
        <v>0</v>
      </c>
      <c r="W84" s="357">
        <f>=IF($J77="是",IF(AND(W$209-$I77+1&gt;0,MOD(W$209-$I77+1,$H77)=1),$F84,0),IF(W$209-$I77+1=1,$F84,0))</f>
        <v>0</v>
      </c>
      <c r="X84" s="357">
        <f>=IF($J77="是",IF(AND(X$209-$I77+1&gt;0,MOD(X$209-$I77+1,$H77)=1),$F84,0),IF(X$209-$I77+1=1,$F84,0))</f>
        <v>0</v>
      </c>
      <c r="Y84" s="357">
        <f>=IF($J77="是",IF(AND(Y$209-$I77+1&gt;0,MOD(Y$209-$I77+1,$H77)=1),$F84,0),IF(Y$209-$I77+1=1,$F84,0))</f>
        <v>0</v>
      </c>
      <c r="Z84" s="357">
        <f>=IF($J77="是",IF(AND(Z$209-$I77+1&gt;0,MOD(Z$209-$I77+1,$H77)=1),$F84,0),IF(Z$209-$I77+1=1,$F84,0))</f>
        <v>0</v>
      </c>
      <c r="AA84" s="357">
        <f>=IF($J77="是",IF(AND(AA$209-$I77+1&gt;0,MOD(AA$209-$I77+1,$H77)=1),$F84,0),IF(AA$209-$I77+1=1,$F84,0))</f>
        <v>0</v>
      </c>
      <c r="AB84" s="357">
        <f>=IF($J77="是",IF(AND(AB$209-$I77+1&gt;0,MOD(AB$209-$I77+1,$H77)=1),$F84,0),IF(AB$209-$I77+1=1,$F84,0))</f>
        <v>0</v>
      </c>
      <c r="AC84" s="357">
        <f>=IF($J77="是",IF(AND(AC$209-$I77+1&gt;0,MOD(AC$209-$I77+1,$H77)=1),$F84,0),IF(AC$209-$I77+1=1,$F84,0))</f>
        <v>0</v>
      </c>
      <c r="AD84" s="357">
        <f>=IF($J77="是",IF(AND(AD$209-$I77+1&gt;0,MOD(AD$209-$I77+1,$H77)=1),$F84,0),IF(AD$209-$I77+1=1,$F84,0))</f>
        <v>0</v>
      </c>
      <c r="AE84" s="357">
        <f>=IF($J77="是",IF(AND(AE$209-$I77+1&gt;0,MOD(AE$209-$I77+1,$H77)=1),$F84,0),IF(AE$209-$I77+1=1,$F84,0))</f>
        <v>0</v>
      </c>
      <c r="AF84" s="357">
        <f>=IF($J77="是",IF(AND(AF$209-$I77+1&gt;0,MOD(AF$209-$I77+1,$H77)=1),$F84,0),IF(AF$209-$I77+1=1,$F84,0))</f>
        <v>0</v>
      </c>
    </row>
    <row r="85" spans="1:32" ht="12" hidden="true" customHeight="true">
      <c r="A85" s="297">
        <v>9</v>
      </c>
      <c r="B85" s="358" t="s">
        <v>712</v>
      </c>
      <c r="C85" s="379" t="s"/>
      <c r="D85" s="380" t="s">
        <v>185</v>
      </c>
      <c r="E85" s="381">
        <v>0.13</v>
      </c>
      <c r="F85" s="357">
        <f>=IF($D85="是",$C85/(1+$E85),$C85)</f>
        <v>0</v>
      </c>
      <c r="G85" s="382">
        <v>0.05</v>
      </c>
      <c r="H85" s="378">
        <v>20</v>
      </c>
      <c r="I85" s="378">
        <f>=辅助表1评估项目基础数据表!$C$3+1</f>
        <v>3</v>
      </c>
      <c r="J85" s="380" t="s">
        <v>185</v>
      </c>
      <c r="K85" s="371" t="s"/>
      <c r="L85" s="371" t="s"/>
      <c r="M85" s="372" t="s"/>
      <c r="N85" s="372" t="s"/>
      <c r="O85" s="372" t="s"/>
      <c r="P85" s="372" t="s"/>
      <c r="Q85" s="372" t="s"/>
      <c r="R85" s="372" t="s"/>
      <c r="S85" s="372" t="s"/>
      <c r="T85" s="372" t="s"/>
      <c r="U85" s="372" t="s"/>
      <c r="V85" s="372" t="s"/>
      <c r="W85" s="372" t="s"/>
      <c r="X85" s="372" t="s"/>
      <c r="Y85" s="372" t="s"/>
      <c r="Z85" s="372" t="s"/>
      <c r="AA85" s="372" t="s"/>
      <c r="AB85" s="372" t="s"/>
      <c r="AC85" s="372" t="s"/>
      <c r="AD85" s="372" t="s"/>
      <c r="AE85" s="372" t="s"/>
      <c r="AF85" s="372" t="s"/>
    </row>
    <row r="86" spans="1:32" ht="12" hidden="true" customHeight="true">
      <c r="A86" s="297" t="s"/>
      <c r="B86" s="374" t="s">
        <v>704</v>
      </c>
      <c r="C86" s="383" t="s">
        <v>714</v>
      </c>
      <c r="D86" s="358" t="s"/>
      <c r="E86" s="358" t="s"/>
      <c r="F86" s="358" t="s"/>
      <c r="G86" s="358" t="s"/>
      <c r="H86" s="358" t="s"/>
      <c r="I86" s="358" t="s"/>
      <c r="J86" s="358" t="s"/>
      <c r="K86" s="376">
        <f>=IF(K$209&lt;$I85,0,IF($H85&gt;(K$209-$I85),(($F85-$F85*$G85)/$H85),0))</f>
        <v>0</v>
      </c>
      <c r="L86" s="376">
        <f>=IF(L$209&lt;$I85,0,IF($H85&gt;(L$209-$I$21),(($F85-$F85*$G85)/$H85),0))</f>
        <v>0</v>
      </c>
      <c r="M86" s="376">
        <f>=IF(M$209&lt;$I85,0,IF($H85&gt;(M$209-$I85),(($F85-$F85*$G85)/$H85),0))</f>
        <v>0</v>
      </c>
      <c r="N86" s="376">
        <f>=IF(N$209&lt;$I85,0,IF($H85&gt;(N$209-$I85),(($F85-$F85*$G85)/$H85),0))</f>
        <v>0</v>
      </c>
      <c r="O86" s="376">
        <f>=IF(O$209&lt;$I85,0,IF($H85&gt;(O$209-$I85),(($F85-$F85*$G85)/$H85),0))</f>
        <v>0</v>
      </c>
      <c r="P86" s="376">
        <f>=IF(P$209&lt;$I85,0,IF($H85&gt;(P$209-$I85),(($F85-$F85*$G85)/$H85),0))</f>
        <v>0</v>
      </c>
      <c r="Q86" s="376">
        <f>=IF(Q$209&lt;$I85,0,IF($H85&gt;(Q$209-$I85),(($F85-$F85*$G85)/$H85),0))</f>
        <v>0</v>
      </c>
      <c r="R86" s="376">
        <f>=IF(R$209&lt;$I85,0,IF($H85&gt;(R$209-$I85),(($F85-$F85*$G85)/$H85),0))</f>
        <v>0</v>
      </c>
      <c r="S86" s="376">
        <f>=IF(S$209&lt;$I85,0,IF($H85&gt;(S$209-$I85),(($F85-$F85*$G85)/$H85),0))</f>
        <v>0</v>
      </c>
      <c r="T86" s="376">
        <f>=IF(T$209&lt;$I85,0,IF($H85&gt;(T$209-$I85),(($F85-$F85*$G85)/$H85),0))</f>
        <v>0</v>
      </c>
      <c r="U86" s="376">
        <f>=IF(U$209&lt;$I85,0,IF($H85&gt;(U$209-$I85),(($F85-$F85*$G85)/$H85),0))</f>
        <v>0</v>
      </c>
      <c r="V86" s="376">
        <f>=IF(V$209&lt;$I85,0,IF($H85&gt;(V$209-$I85),(($F85-$F85*$G85)/$H85),0))</f>
        <v>0</v>
      </c>
      <c r="W86" s="376">
        <f>=IF(W$209&lt;$I85,0,IF($H85&gt;(W$209-$I85),(($F85-$F85*$G85)/$H85),0))</f>
        <v>0</v>
      </c>
      <c r="X86" s="376">
        <f>=IF(X$209&lt;$I85,0,IF($H85&gt;(X$209-$I85),(($F85-$F85*$G85)/$H85),0))</f>
        <v>0</v>
      </c>
      <c r="Y86" s="376">
        <f>=IF(Y$209&lt;$I85,0,IF($H85&gt;(Y$209-$I85),(($F85-$F85*$G85)/$H85),0))</f>
        <v>0</v>
      </c>
      <c r="Z86" s="376">
        <f>=IF(Z$209&lt;$I85,0,IF($H85&gt;(Z$209-$I85),(($F85-$F85*$G85)/$H85),0))</f>
        <v>0</v>
      </c>
      <c r="AA86" s="376">
        <f>=IF(AA$209&lt;$I85,0,IF($H85&gt;(AA$209-$I85),(($F85-$F85*$G85)/$H85),0))</f>
        <v>0</v>
      </c>
      <c r="AB86" s="376">
        <f>=IF(AB$209&lt;$I85,0,IF($H85&gt;(AB$209-$I85),(($F85-$F85*$G85)/$H85),0))</f>
        <v>0</v>
      </c>
      <c r="AC86" s="376">
        <f>=IF(AC$209&lt;$I85,0,IF($H85&gt;(AC$209-$I85),(($F85-$F85*$G85)/$H85),0))</f>
        <v>0</v>
      </c>
      <c r="AD86" s="376">
        <f>=IF(AD$209&lt;$I85,0,IF($H85&gt;(AD$209-$I85),(($F85-$F85*$G85)/$H85),0))</f>
        <v>0</v>
      </c>
      <c r="AE86" s="376">
        <f>=IF(AE$209&lt;$I85,0,IF($H85&gt;(AE$209-$I85),(($F85-$F85*$G85)/$H85),0))</f>
        <v>0</v>
      </c>
      <c r="AF86" s="376">
        <f>=IF(AF$209&lt;$I85,0,IF($H85&gt;(AF$209-$I85),(($F85-$F85*$G85)/$H85),0))</f>
        <v>0</v>
      </c>
    </row>
    <row r="87" spans="1:32" ht="12" hidden="true" customHeight="true">
      <c r="A87" s="297" t="s"/>
      <c r="B87" s="358" t="s">
        <v>705</v>
      </c>
      <c r="C87" s="358" t="s"/>
      <c r="D87" s="358" t="s"/>
      <c r="E87" s="358" t="s"/>
      <c r="F87" s="358" t="s"/>
      <c r="G87" s="358" t="s"/>
      <c r="H87" s="358" t="s"/>
      <c r="I87" s="358" t="s"/>
      <c r="J87" s="358" t="s"/>
      <c r="K87" s="357">
        <f>=IF(K$209=$I85,$F85-K86,0)</f>
        <v>0</v>
      </c>
      <c r="L87" s="357">
        <f>=IF(L$209=$I85,$F85-L86,IF(L$209&gt;$I85,IF(AND($J85="是",L$209&gt;=$I85+$H85),0,K87-L86),0))</f>
        <v>0</v>
      </c>
      <c r="M87" s="357">
        <f>=IF(M$209=$I85,$F85-M86,IF(M$209&gt;$I85,IF(AND($J85="是",M$209&gt;=$I85+$H85),0,L87-M86),0))</f>
        <v>0</v>
      </c>
      <c r="N87" s="357">
        <f>=IF(N$209=$I85,$F85-N86,IF(N$209&gt;$I85,IF(AND($J85="是",N$209&gt;=$I85+$H85),0,M87-N86),0))</f>
        <v>0</v>
      </c>
      <c r="O87" s="357">
        <f>=IF(O$209=$I85,$F85-O86,IF(O$209&gt;$I85,IF(AND($J85="是",O$209&gt;=$I85+$H85),0,N87-O86),0))</f>
        <v>0</v>
      </c>
      <c r="P87" s="357">
        <f>=IF(P$209=$I85,$F85-P86,IF(P$209&gt;$I85,IF(AND($J85="是",P$209&gt;=$I85+$H85),0,O87-P86),0))</f>
        <v>0</v>
      </c>
      <c r="Q87" s="357">
        <f>=IF(Q$209=$I85,$F85-Q86,IF(Q$209&gt;$I85,IF(AND($J85="是",Q$209&gt;=$I85+$H85),0,P87-Q86),0))</f>
        <v>0</v>
      </c>
      <c r="R87" s="357">
        <f>=IF(R$209=$I85,$F85-R86,IF(R$209&gt;$I85,IF(AND($J85="是",R$209&gt;=$I85+$H85),0,Q87-R86),0))</f>
        <v>0</v>
      </c>
      <c r="S87" s="357">
        <f>=IF(S$209=$I85,$F85-S86,IF(S$209&gt;$I85,IF(AND($J85="是",S$209&gt;=$I85+$H85),0,R87-S86),0))</f>
        <v>0</v>
      </c>
      <c r="T87" s="357">
        <f>=IF(T$209=$I85,$F85-T86,IF(T$209&gt;$I85,IF(AND($J85="是",T$209&gt;=$I85+$H85),0,S87-T86),0))</f>
        <v>0</v>
      </c>
      <c r="U87" s="357">
        <f>=IF(U$209=$I85,$F85-U86,IF(U$209&gt;$I85,IF(AND($J85="是",U$209&gt;=$I85+$H85),0,T87-U86),0))</f>
        <v>0</v>
      </c>
      <c r="V87" s="357">
        <f>=IF(V$209=$I85,$F85-V86,IF(V$209&gt;$I85,IF(AND($J85="是",V$209&gt;=$I85+$H85),0,U87-V86),0))</f>
        <v>0</v>
      </c>
      <c r="W87" s="357">
        <f>=IF(W$209=$I85,$F85-W86,IF(W$209&gt;$I85,IF(AND($J85="是",W$209&gt;=$I85+$H85),0,V87-W86),0))</f>
        <v>0</v>
      </c>
      <c r="X87" s="357">
        <f>=IF(X$209=$I85,$F85-X86,IF(X$209&gt;$I85,IF(AND($J85="是",X$209&gt;=$I85+$H85),0,W87-X86),0))</f>
        <v>0</v>
      </c>
      <c r="Y87" s="357">
        <f>=IF(Y$209=$I85,$F85-Y86,IF(Y$209&gt;$I85,IF(AND($J85="是",Y$209&gt;=$I85+$H85),0,X87-Y86),0))</f>
        <v>0</v>
      </c>
      <c r="Z87" s="357">
        <f>=IF(Z$209=$I85,$F85-Z86,IF(Z$209&gt;$I85,IF(AND($J85="是",Z$209&gt;=$I85+$H85),0,Y87-Z86),0))</f>
        <v>0</v>
      </c>
      <c r="AA87" s="357">
        <f>=IF(AA$209=$I85,$F85-AA86,IF(AA$209&gt;$I85,IF(AND($J85="是",AA$209&gt;=$I85+$H85),0,Z87-AA86),0))</f>
        <v>0</v>
      </c>
      <c r="AB87" s="357">
        <f>=IF(AB$209=$I85,$F85-AB86,IF(AB$209&gt;$I85,IF(AND($J85="是",AB$209&gt;=$I85+$H85),0,AA87-AB86),0))</f>
        <v>0</v>
      </c>
      <c r="AC87" s="357">
        <f>=IF(AC$209=$I85,$F85-AC86,IF(AC$209&gt;$I85,IF(AND($J85="是",AC$209&gt;=$I85+$H85),0,AB87-AC86),0))</f>
        <v>0</v>
      </c>
      <c r="AD87" s="357">
        <f>=IF(AD$209=$I85,$F85-AD86,IF(AD$209&gt;$I85,IF(AND($J85="是",AD$209&gt;=$I85+$H85),0,AC87-AD86),0))</f>
        <v>0</v>
      </c>
      <c r="AE87" s="357">
        <f>=IF(AE$209=$I85,$F85-AE86,IF(AE$209&gt;$I85,IF(AND($J85="是",AE$209&gt;=$I85+$H85),0,AD87-AE86),0))</f>
        <v>0</v>
      </c>
      <c r="AF87" s="357">
        <f>=IF(AF$209=$I85,$F85-AF86,IF(AF$209&gt;$I85,IF(AND($J85="是",AF$209&gt;=$I85+$H85),0,AE87-AF86),0))</f>
        <v>0</v>
      </c>
    </row>
    <row r="88" spans="1:32" ht="12" hidden="true" customHeight="true">
      <c r="A88" s="297" t="s"/>
      <c r="B88" s="358" t="s">
        <v>706</v>
      </c>
      <c r="C88" s="358" t="s"/>
      <c r="D88" s="358" t="s"/>
      <c r="E88" s="358" t="s"/>
      <c r="F88" s="358" t="s"/>
      <c r="G88" s="358" t="s"/>
      <c r="H88" s="358" t="s"/>
      <c r="I88" s="358" t="s"/>
      <c r="J88" s="358" t="s"/>
      <c r="K88" s="357">
        <f>=IF(AND($J85="是",K$209&gt;=$H85+$I85),(($F85-$F85*$G85)/$H85),0)</f>
        <v>0</v>
      </c>
      <c r="L88" s="357">
        <f>=IF(AND($J85="是",L$209&gt;=$H85+$I85),(($F85-$F85*$G85)/$H85),0)</f>
        <v>0</v>
      </c>
      <c r="M88" s="357">
        <f>=IF(AND($J85="是",M$209&gt;=$H85+$I85),(($F85-$F85*$G85)/$H85),0)</f>
        <v>0</v>
      </c>
      <c r="N88" s="357">
        <f>=IF(AND($J85="是",N$209&gt;=$H85+$I85),(($F85-$F85*$G85)/$H85),0)</f>
        <v>0</v>
      </c>
      <c r="O88" s="357">
        <f>=IF(AND($J85="是",O$209&gt;=$H85+$I85),(($F85-$F85*$G85)/$H85),0)</f>
        <v>0</v>
      </c>
      <c r="P88" s="357">
        <f>=IF(AND($J85="是",P$209&gt;=$H85+$I85),(($F85-$F85*$G85)/$H85),0)</f>
        <v>0</v>
      </c>
      <c r="Q88" s="357">
        <f>=IF(AND($J85="是",Q$209&gt;=$H85+$I85),(($F85-$F85*$G85)/$H85),0)</f>
        <v>0</v>
      </c>
      <c r="R88" s="357">
        <f>=IF(AND($J85="是",R$209&gt;=$H85+$I85),(($F85-$F85*$G85)/$H85),0)</f>
        <v>0</v>
      </c>
      <c r="S88" s="357">
        <f>=IF(AND($J85="是",S$209&gt;=$H85+$I85),(($F85-$F85*$G85)/$H85),0)</f>
        <v>0</v>
      </c>
      <c r="T88" s="357">
        <f>=IF(AND($J85="是",T$209&gt;=$H85+$I85),(($F85-$F85*$G85)/$H85),0)</f>
        <v>0</v>
      </c>
      <c r="U88" s="357">
        <f>=IF(AND($J85="是",U$209&gt;=$H85+$I85),(($F85-$F85*$G85)/$H85),0)</f>
        <v>0</v>
      </c>
      <c r="V88" s="357">
        <f>=IF(AND($J85="是",V$209&gt;=$H85+$I85),(($F85-$F85*$G85)/$H85),0)</f>
        <v>0</v>
      </c>
      <c r="W88" s="357">
        <f>=IF(AND($J85="是",W$209&gt;=$H85+$I85),(($F85-$F85*$G85)/$H85),0)</f>
        <v>0</v>
      </c>
      <c r="X88" s="357">
        <f>=IF(AND($J85="是",X$209&gt;=$H85+$I85),(($F85-$F85*$G85)/$H85),0)</f>
        <v>0</v>
      </c>
      <c r="Y88" s="357">
        <f>=IF(AND($J85="是",Y$209&gt;=$H85+$I85),(($F85-$F85*$G85)/$H85),0)</f>
        <v>0</v>
      </c>
      <c r="Z88" s="357">
        <f>=IF(AND($J85="是",Z$209&gt;=$H85+$I85),(($F85-$F85*$G85)/$H85),0)</f>
        <v>0</v>
      </c>
      <c r="AA88" s="357">
        <f>=IF(AND($J85="是",AA$209&gt;=$H85+$I85),(($F85-$F85*$G85)/$H85),0)</f>
        <v>0</v>
      </c>
      <c r="AB88" s="357">
        <f>=IF(AND($J85="是",AB$209&gt;=$H85+$I85),(($F85-$F85*$G85)/$H85),0)</f>
        <v>0</v>
      </c>
      <c r="AC88" s="357">
        <f>=IF(AND($J85="是",AC$209&gt;=$H85+$I85),(($F85-$F85*$G85)/$H85),0)</f>
        <v>0</v>
      </c>
      <c r="AD88" s="357">
        <f>=IF(AND($J85="是",AD$209&gt;=$H85+$I85),(($F85-$F85*$G85)/$H85),0)</f>
        <v>0</v>
      </c>
      <c r="AE88" s="357">
        <f>=IF(AND($J85="是",AE$209&gt;=$H85+$I85),(($F85-$F85*$G85)/$H85),0)</f>
        <v>0</v>
      </c>
      <c r="AF88" s="357">
        <f>=IF(AND($J85="是",AF$209&gt;=$H85+$I85),(($F85-$F85*$G85)/$H85),0)</f>
        <v>0</v>
      </c>
    </row>
    <row r="89" spans="1:32" ht="12" hidden="true" customHeight="true">
      <c r="A89" s="297" t="s"/>
      <c r="B89" s="358" t="s">
        <v>707</v>
      </c>
      <c r="C89" s="358" t="s"/>
      <c r="D89" s="358" t="s"/>
      <c r="E89" s="358" t="s"/>
      <c r="F89" s="358" t="s"/>
      <c r="G89" s="358" t="s"/>
      <c r="H89" s="358" t="s"/>
      <c r="I89" s="358" t="s"/>
      <c r="J89" s="358" t="s"/>
      <c r="K89" s="357">
        <f>=IF(K$209&lt;$I85+$H85,0,IF($J85="是",IF(OR($H85=1,MOD(K$209-$I85+1,$H85)=1),$F85-K88,J89-K88),0))</f>
        <v>0</v>
      </c>
      <c r="L89" s="357">
        <f>=IF(L$209&lt;$I85+$H85,0,IF($J85="是",IF(OR($H85=1,MOD(L$209-$I85+1,$H85)=1),$F85-L88,K89-L88),0))</f>
        <v>0</v>
      </c>
      <c r="M89" s="357">
        <f>=IF(M$209&lt;$I85+$H85,0,IF($J85="是",IF(OR($H85=1,MOD(M$209-$I85+1,$H85)=1),$F85-M88,L89-M88),0))</f>
        <v>0</v>
      </c>
      <c r="N89" s="357">
        <f>=IF(N$209&lt;$I85+$H85,0,IF($J85="是",IF(OR($H85=1,MOD(N$209-$I85+1,$H85)=1),$F85-N88,M89-N88),0))</f>
        <v>0</v>
      </c>
      <c r="O89" s="357">
        <f>=IF(O$209&lt;$I85+$H85,0,IF($J85="是",IF(OR($H85=1,MOD(O$209-$I85+1,$H85)=1),$F85-O88,N89-O88),0))</f>
        <v>0</v>
      </c>
      <c r="P89" s="357">
        <f>=IF(P$209&lt;$I85+$H85,0,IF($J85="是",IF(OR($H85=1,MOD(P$209-$I85+1,$H85)=1),$F85-P88,O89-P88),0))</f>
        <v>0</v>
      </c>
      <c r="Q89" s="357">
        <f>=IF(Q$209&lt;$I85+$H85,0,IF($J85="是",IF(OR($H85=1,MOD(Q$209-$I85+1,$H85)=1),$F85-Q88,P89-Q88),0))</f>
        <v>0</v>
      </c>
      <c r="R89" s="357">
        <f>=IF(R$209&lt;$I85+$H85,0,IF($J85="是",IF(OR($H85=1,MOD(R$209-$I85+1,$H85)=1),$F85-R88,Q89-R88),0))</f>
        <v>0</v>
      </c>
      <c r="S89" s="357">
        <f>=IF(S$209&lt;$I85+$H85,0,IF($J85="是",IF(OR($H85=1,MOD(S$209-$I85+1,$H85)=1),$F85-S88,R89-S88),0))</f>
        <v>0</v>
      </c>
      <c r="T89" s="357">
        <f>=IF(T$209&lt;$I85+$H85,0,IF($J85="是",IF(OR($H85=1,MOD(T$209-$I85+1,$H85)=1),$F85-T88,S89-T88),0))</f>
        <v>0</v>
      </c>
      <c r="U89" s="357">
        <f>=IF(U$209&lt;$I85+$H85,0,IF($J85="是",IF(OR($H85=1,MOD(U$209-$I85+1,$H85)=1),$F85-U88,T89-U88),0))</f>
        <v>0</v>
      </c>
      <c r="V89" s="357">
        <f>=IF(V$209&lt;$I85+$H85,0,IF($J85="是",IF(OR($H85=1,MOD(V$209-$I85+1,$H85)=1),$F85-V88,U89-V88),0))</f>
        <v>0</v>
      </c>
      <c r="W89" s="357">
        <f>=IF(W$209&lt;$I85+$H85,0,IF($J85="是",IF(OR($H85=1,MOD(W$209-$I85+1,$H85)=1),$F85-W88,V89-W88),0))</f>
        <v>0</v>
      </c>
      <c r="X89" s="357">
        <f>=IF(X$209&lt;$I85+$H85,0,IF($J85="是",IF(OR($H85=1,MOD(X$209-$I85+1,$H85)=1),$F85-X88,W89-X88),0))</f>
        <v>0</v>
      </c>
      <c r="Y89" s="357">
        <f>=IF(Y$209&lt;$I85+$H85,0,IF($J85="是",IF(OR($H85=1,MOD(Y$209-$I85+1,$H85)=1),$F85-Y88,X89-Y88),0))</f>
        <v>0</v>
      </c>
      <c r="Z89" s="357">
        <f>=IF(Z$209&lt;$I85+$H85,0,IF($J85="是",IF(OR($H85=1,MOD(Z$209-$I85+1,$H85)=1),$F85-Z88,Y89-Z88),0))</f>
        <v>0</v>
      </c>
      <c r="AA89" s="357">
        <f>=IF(AA$209&lt;$I85+$H85,0,IF($J85="是",IF(OR($H85=1,MOD(AA$209-$I85+1,$H85)=1),$F85-AA88,Z89-AA88),0))</f>
        <v>0</v>
      </c>
      <c r="AB89" s="357">
        <f>=IF(AB$209&lt;$I85+$H85,0,IF($J85="是",IF(OR($H85=1,MOD(AB$209-$I85+1,$H85)=1),$F85-AB88,AA89-AB88),0))</f>
        <v>0</v>
      </c>
      <c r="AC89" s="357">
        <f>=IF(AC$209&lt;$I85+$H85,0,IF($J85="是",IF(OR($H85=1,MOD(AC$209-$I85+1,$H85)=1),$F85-AC88,AB89-AC88),0))</f>
        <v>0</v>
      </c>
      <c r="AD89" s="357">
        <f>=IF(AD$209&lt;$I85+$H85,0,IF($J85="是",IF(OR($H85=1,MOD(AD$209-$I85+1,$H85)=1),$F85-AD88,AC89-AD88),0))</f>
        <v>0</v>
      </c>
      <c r="AE89" s="357">
        <f>=IF(AE$209&lt;$I85+$H85,0,IF($J85="是",IF(OR($H85=1,MOD(AE$209-$I85+1,$H85)=1),$F85-AE88,AD89-AE88),0))</f>
        <v>0</v>
      </c>
      <c r="AF89" s="357">
        <f>=IF(AF$209&lt;$I85+$H85,0,IF($J85="是",IF(OR($H85=1,MOD(AF$209-$I85+1,$H85)=1),$F85-AF88,AE89-AF88),0))</f>
        <v>0</v>
      </c>
    </row>
    <row r="90" spans="1:32" ht="12" hidden="true" customHeight="true">
      <c r="A90" s="297" t="s"/>
      <c r="B90" s="358" t="s">
        <v>708</v>
      </c>
      <c r="C90" s="358" t="s"/>
      <c r="D90" s="358" t="s"/>
      <c r="E90" s="358" t="s"/>
      <c r="F90" s="358" t="s"/>
      <c r="G90" s="358" t="s"/>
      <c r="H90" s="358" t="s"/>
      <c r="I90" s="358" t="s"/>
      <c r="J90" s="358" t="s"/>
      <c r="K90" s="357">
        <f>=IF(AND($J85="是",K$209&gt;=$H85+$I85,MOD(K$209-$I85+1,$H85)=1),$F85,0)</f>
        <v>0</v>
      </c>
      <c r="L90" s="357">
        <f>=IF(AND($J85="是",L$209&gt;=$H85+$I85,MOD(L$209-$I85+1,$H85)=1),$F85,0)</f>
        <v>0</v>
      </c>
      <c r="M90" s="357">
        <f>=IF(AND($J85="是",M$209&gt;=$H85+$I85,MOD(M$209-$I85+1,$H85)=1),$F85,0)</f>
        <v>0</v>
      </c>
      <c r="N90" s="357">
        <f>=IF(AND($J85="是",N$209&gt;=$H85+$I85,MOD(N$209-$I85+1,$H85)=1),$F85,0)</f>
        <v>0</v>
      </c>
      <c r="O90" s="357">
        <f>=IF(AND($J85="是",O$209&gt;=$H85+$I85,MOD(O$209-$I85+1,$H85)=1),$F85,0)</f>
        <v>0</v>
      </c>
      <c r="P90" s="357">
        <f>=IF(AND($J85="是",P$209&gt;=$H85+$I85,MOD(P$209-$I85+1,$H85)=1),$F85,0)</f>
        <v>0</v>
      </c>
      <c r="Q90" s="357">
        <f>=IF(AND($J85="是",Q$209&gt;=$H85+$I85,MOD(Q$209-$I85+1,$H85)=1),$F85,0)</f>
        <v>0</v>
      </c>
      <c r="R90" s="357">
        <f>=IF(AND($J85="是",R$209&gt;=$H85+$I85,MOD(R$209-$I85+1,$H85)=1),$F85,0)</f>
        <v>0</v>
      </c>
      <c r="S90" s="357">
        <f>=IF(AND($J85="是",S$209&gt;=$H85+$I85,MOD(S$209-$I85+1,$H85)=1),$F85,0)</f>
        <v>0</v>
      </c>
      <c r="T90" s="357">
        <f>=IF(AND($J85="是",T$209&gt;=$H85+$I85,MOD(T$209-$I85+1,$H85)=1),$F85,0)</f>
        <v>0</v>
      </c>
      <c r="U90" s="357">
        <f>=IF(AND($J85="是",U$209&gt;=$H85+$I85,MOD(U$209-$I85+1,$H85)=1),$F85,0)</f>
        <v>0</v>
      </c>
      <c r="V90" s="357">
        <f>=IF(AND($J85="是",V$209&gt;=$H85+$I85,MOD(V$209-$I85+1,$H85)=1),$F85,0)</f>
        <v>0</v>
      </c>
      <c r="W90" s="357">
        <f>=IF(AND($J85="是",W$209&gt;=$H85+$I85,MOD(W$209-$I85+1,$H85)=1),$F85,0)</f>
        <v>0</v>
      </c>
      <c r="X90" s="357">
        <f>=IF(AND($J85="是",X$209&gt;=$H85+$I85,MOD(X$209-$I85+1,$H85)=1),$F85,0)</f>
        <v>0</v>
      </c>
      <c r="Y90" s="357">
        <f>=IF(AND($J85="是",Y$209&gt;=$H85+$I85,MOD(Y$209-$I85+1,$H85)=1),$F85,0)</f>
        <v>0</v>
      </c>
      <c r="Z90" s="357">
        <f>=IF(AND($J85="是",Z$209&gt;=$H85+$I85,MOD(Z$209-$I85+1,$H85)=1),$F85,0)</f>
        <v>0</v>
      </c>
      <c r="AA90" s="357">
        <f>=IF(AND($J85="是",AA$209&gt;=$H85+$I85,MOD(AA$209-$I85+1,$H85)=1),$F85,0)</f>
        <v>0</v>
      </c>
      <c r="AB90" s="357">
        <f>=IF(AND($J85="是",AB$209&gt;=$H85+$I85,MOD(AB$209-$I85+1,$H85)=1),$F85,0)</f>
        <v>0</v>
      </c>
      <c r="AC90" s="357">
        <f>=IF(AND($J85="是",AC$209&gt;=$H85+$I85,MOD(AC$209-$I85+1,$H85)=1),$F85,0)</f>
        <v>0</v>
      </c>
      <c r="AD90" s="357">
        <f>=IF(AND($J85="是",AD$209&gt;=$H85+$I85,MOD(AD$209-$I85+1,$H85)=1),$F85,0)</f>
        <v>0</v>
      </c>
      <c r="AE90" s="357">
        <f>=IF(AND($J85="是",AE$209&gt;=$H85+$I85,MOD(AE$209-$I85+1,$H85)=1),$F85,0)</f>
        <v>0</v>
      </c>
      <c r="AF90" s="357">
        <f>=IF(AND($J85="是",AF$209&gt;=$H85+$I85,MOD(AF$209-$I85+1,$H85)=1),$F85,0)</f>
        <v>0</v>
      </c>
    </row>
    <row r="91" spans="1:32" ht="12" hidden="true" customHeight="true">
      <c r="A91" s="297" t="s"/>
      <c r="B91" s="358" t="s">
        <v>709</v>
      </c>
      <c r="C91" s="358" t="s"/>
      <c r="D91" s="358" t="s"/>
      <c r="E91" s="358" t="s"/>
      <c r="F91" s="358" t="s"/>
      <c r="G91" s="358" t="s"/>
      <c r="H91" s="358" t="s"/>
      <c r="I91" s="358" t="s"/>
      <c r="J91" s="358" t="s"/>
      <c r="K91" s="357">
        <f>=IF(K$209=辅助表1评估项目基础数据表!$C$3+辅助表1评估项目基础数据表!$C$5,K87+K89,IF(AND($J85="是",K$209&gt;=$H85+$I85,MOD(K$209-$I85+1,$H85)=1),$F85*$G85,0))</f>
        <v>0</v>
      </c>
      <c r="L91" s="357">
        <f>=IF(L$209=辅助表1评估项目基础数据表!$C$3+辅助表1评估项目基础数据表!$C$5,L87+L89,IF(AND($J85="是",L$209&gt;=$H85+$I85,MOD(L$209-$I85+1,$H85)=1),$F85*$G85,0))</f>
        <v>0</v>
      </c>
      <c r="M91" s="357">
        <f>=IF(M$209=辅助表1评估项目基础数据表!$C$3+辅助表1评估项目基础数据表!$C$5,M87+M89,IF(AND($J85="是",M$209&gt;=$H85+$I85,MOD(M$209-$I85+1,$H85)=1),$F85*$G85,0))</f>
        <v>0</v>
      </c>
      <c r="N91" s="357">
        <f>=IF(N$209=辅助表1评估项目基础数据表!$C$3+辅助表1评估项目基础数据表!$C$5,N87+N89,IF(AND($J85="是",N$209&gt;=$H85+$I85,MOD(N$209-$I85+1,$H85)=1),$F85*$G85,0))</f>
        <v>0</v>
      </c>
      <c r="O91" s="357">
        <f>=IF(O$209=辅助表1评估项目基础数据表!$C$3+辅助表1评估项目基础数据表!$C$5,O87+O89,IF(AND($J85="是",O$209&gt;=$H85+$I85,MOD(O$209-$I85+1,$H85)=1),$F85*$G85,0))</f>
        <v>0</v>
      </c>
      <c r="P91" s="357">
        <f>=IF(P$209=辅助表1评估项目基础数据表!$C$3+辅助表1评估项目基础数据表!$C$5,P87+P89,IF(AND($J85="是",P$209&gt;=$H85+$I85,MOD(P$209-$I85+1,$H85)=1),$F85*$G85,0))</f>
        <v>0</v>
      </c>
      <c r="Q91" s="357">
        <f>=IF(Q$209=辅助表1评估项目基础数据表!$C$3+辅助表1评估项目基础数据表!$C$5,Q87+Q89,IF(AND($J85="是",Q$209&gt;=$H85+$I85,MOD(Q$209-$I85+1,$H85)=1),$F85*$G85,0))</f>
        <v>0</v>
      </c>
      <c r="R91" s="357">
        <f>=IF(R$209=辅助表1评估项目基础数据表!$C$3+辅助表1评估项目基础数据表!$C$5,R87+R89,IF(AND($J85="是",R$209&gt;=$H85+$I85,MOD(R$209-$I85+1,$H85)=1),$F85*$G85,0))</f>
        <v>0</v>
      </c>
      <c r="S91" s="357">
        <f>=IF(S$209=辅助表1评估项目基础数据表!$C$3+辅助表1评估项目基础数据表!$C$5,S87+S89,IF(AND($J85="是",S$209&gt;=$H85+$I85,MOD(S$209-$I85+1,$H85)=1),$F85*$G85,0))</f>
        <v>0</v>
      </c>
      <c r="T91" s="357">
        <f>=IF(T$209=辅助表1评估项目基础数据表!$C$3+辅助表1评估项目基础数据表!$C$5,T87+T89,IF(AND($J85="是",T$209&gt;=$H85+$I85,MOD(T$209-$I85+1,$H85)=1),$F85*$G85,0))</f>
        <v>0</v>
      </c>
      <c r="U91" s="357">
        <f>=IF(U$209=辅助表1评估项目基础数据表!$C$3+辅助表1评估项目基础数据表!$C$5,U87+U89,IF(AND($J85="是",U$209&gt;=$H85+$I85,MOD(U$209-$I85+1,$H85)=1),$F85*$G85,0))</f>
        <v>0</v>
      </c>
      <c r="V91" s="357">
        <f>=IF(V$209=辅助表1评估项目基础数据表!$C$3+辅助表1评估项目基础数据表!$C$5,V87+V89,IF(AND($J85="是",V$209&gt;=$H85+$I85,MOD(V$209-$I85+1,$H85)=1),$F85*$G85,0))</f>
        <v>0</v>
      </c>
      <c r="W91" s="357">
        <f>=IF(W$209=辅助表1评估项目基础数据表!$C$3+辅助表1评估项目基础数据表!$C$5,W87+W89,IF(AND($J85="是",W$209&gt;=$H85+$I85,MOD(W$209-$I85+1,$H85)=1),$F85*$G85,0))</f>
        <v>0</v>
      </c>
      <c r="X91" s="357">
        <f>=IF(X$209=辅助表1评估项目基础数据表!$C$3+辅助表1评估项目基础数据表!$C$5,X87+X89,IF(AND($J85="是",X$209&gt;=$H85+$I85,MOD(X$209-$I85+1,$H85)=1),$F85*$G85,0))</f>
        <v>0</v>
      </c>
      <c r="Y91" s="357">
        <f>=IF(Y$209=辅助表1评估项目基础数据表!$C$3+辅助表1评估项目基础数据表!$C$5,Y87+Y89,IF(AND($J85="是",Y$209&gt;=$H85+$I85,MOD(Y$209-$I85+1,$H85)=1),$F85*$G85,0))</f>
        <v>0</v>
      </c>
      <c r="Z91" s="357">
        <f>=IF(Z$209=辅助表1评估项目基础数据表!$C$3+辅助表1评估项目基础数据表!$C$5,Z87+Z89,IF(AND($J85="是",Z$209&gt;=$H85+$I85,MOD(Z$209-$I85+1,$H85)=1),$F85*$G85,0))</f>
        <v>0</v>
      </c>
      <c r="AA91" s="357">
        <f>=IF(AA$209=辅助表1评估项目基础数据表!$C$3+辅助表1评估项目基础数据表!$C$5,AA87+AA89,IF(AND($J85="是",AA$209&gt;=$H85+$I85,MOD(AA$209-$I85+1,$H85)=1),$F85*$G85,0))</f>
        <v>0</v>
      </c>
      <c r="AB91" s="357">
        <f>=IF(AB$209=辅助表1评估项目基础数据表!$C$3+辅助表1评估项目基础数据表!$C$5,AB87+AB89,IF(AND($J85="是",AB$209&gt;=$H85+$I85,MOD(AB$209-$I85+1,$H85)=1),$F85*$G85,0))</f>
        <v>0</v>
      </c>
      <c r="AC91" s="357">
        <f>=IF(AC$209=辅助表1评估项目基础数据表!$C$3+辅助表1评估项目基础数据表!$C$5,AC87+AC89,IF(AND($J85="是",AC$209&gt;=$H85+$I85,MOD(AC$209-$I85+1,$H85)=1),$F85*$G85,0))</f>
        <v>0</v>
      </c>
      <c r="AD91" s="357">
        <f>=IF(AD$209=辅助表1评估项目基础数据表!$C$3+辅助表1评估项目基础数据表!$C$5,AD87+AD89,IF(AND($J85="是",AD$209&gt;=$H85+$I85,MOD(AD$209-$I85+1,$H85)=1),$F85*$G85,0))</f>
        <v>0</v>
      </c>
      <c r="AE91" s="357">
        <f>=IF(AE$209=辅助表1评估项目基础数据表!$C$3+辅助表1评估项目基础数据表!$C$5,AE87+AE89,IF(AND($J85="是",AE$209&gt;=$H85+$I85,MOD(AE$209-$I85+1,$H85)=1),$F85*$G85,0))</f>
        <v>0</v>
      </c>
      <c r="AF91" s="357">
        <f>=IF(AF$209=辅助表1评估项目基础数据表!$C$3+辅助表1评估项目基础数据表!$C$5,AF87+AF89,IF(AND($J85="是",AF$209&gt;=$H85+$I85,MOD(AF$209-$I85+1,$H85)=1),$F85*$G85,0))</f>
        <v>0</v>
      </c>
    </row>
    <row r="92" spans="1:32" ht="12" hidden="true" customHeight="true">
      <c r="A92" s="297" t="s"/>
      <c r="B92" s="358" t="s">
        <v>710</v>
      </c>
      <c r="C92" s="358" t="s"/>
      <c r="D92" s="358" t="s"/>
      <c r="E92" s="358" t="s"/>
      <c r="F92" s="357">
        <f>=IF($D85="是",$C85*$E85/(1+$E85),0)</f>
        <v>0</v>
      </c>
      <c r="G92" s="358" t="s"/>
      <c r="H92" s="358" t="s"/>
      <c r="I92" s="358" t="s"/>
      <c r="J92" s="358" t="s"/>
      <c r="K92" s="357">
        <f>=IF($J85="是",IF(AND(K$209-$I85+1&gt;0,MOD(K$209-$I85+1,$H85)=1),$F92,0),IF(K$209-$I85+1=1,$F92,0))</f>
        <v>0</v>
      </c>
      <c r="L92" s="357">
        <f>=IF($J85="是",IF(AND(L$209-$I85+1&gt;0,MOD(L$209-$I85+1,$H85)=1),$F92,0),IF(L$209-$I85+1=1,$F92,0))</f>
        <v>0</v>
      </c>
      <c r="M92" s="357">
        <f>=IF($J85="是",IF(AND(M$209-$I85+1&gt;0,MOD(M$209-$I85+1,$H85)=1),$F92,0),IF(M$209-$I85+1=1,$F92,0))</f>
        <v>0</v>
      </c>
      <c r="N92" s="357">
        <f>=IF($J85="是",IF(AND(N$209-$I85+1&gt;0,MOD(N$209-$I85+1,$H85)=1),$F92,0),IF(N$209-$I85+1=1,$F92,0))</f>
        <v>0</v>
      </c>
      <c r="O92" s="357">
        <f>=IF($J85="是",IF(AND(O$209-$I85+1&gt;0,MOD(O$209-$I85+1,$H85)=1),$F92,0),IF(O$209-$I85+1=1,$F92,0))</f>
        <v>0</v>
      </c>
      <c r="P92" s="357">
        <f>=IF($J85="是",IF(AND(P$209-$I85+1&gt;0,MOD(P$209-$I85+1,$H85)=1),$F92,0),IF(P$209-$I85+1=1,$F92,0))</f>
        <v>0</v>
      </c>
      <c r="Q92" s="357">
        <f>=IF($J85="是",IF(AND(Q$209-$I85+1&gt;0,MOD(Q$209-$I85+1,$H85)=1),$F92,0),IF(Q$209-$I85+1=1,$F92,0))</f>
        <v>0</v>
      </c>
      <c r="R92" s="357">
        <f>=IF($J85="是",IF(AND(R$209-$I85+1&gt;0,MOD(R$209-$I85+1,$H85)=1),$F92,0),IF(R$209-$I85+1=1,$F92,0))</f>
        <v>0</v>
      </c>
      <c r="S92" s="357">
        <f>=IF($J85="是",IF(AND(S$209-$I85+1&gt;0,MOD(S$209-$I85+1,$H85)=1),$F92,0),IF(S$209-$I85+1=1,$F92,0))</f>
        <v>0</v>
      </c>
      <c r="T92" s="357">
        <f>=IF($J85="是",IF(AND(T$209-$I85+1&gt;0,MOD(T$209-$I85+1,$H85)=1),$F92,0),IF(T$209-$I85+1=1,$F92,0))</f>
        <v>0</v>
      </c>
      <c r="U92" s="357">
        <f>=IF($J85="是",IF(AND(U$209-$I85+1&gt;0,MOD(U$209-$I85+1,$H85)=1),$F92,0),IF(U$209-$I85+1=1,$F92,0))</f>
        <v>0</v>
      </c>
      <c r="V92" s="357">
        <f>=IF($J85="是",IF(AND(V$209-$I85+1&gt;0,MOD(V$209-$I85+1,$H85)=1),$F92,0),IF(V$209-$I85+1=1,$F92,0))</f>
        <v>0</v>
      </c>
      <c r="W92" s="357">
        <f>=IF($J85="是",IF(AND(W$209-$I85+1&gt;0,MOD(W$209-$I85+1,$H85)=1),$F92,0),IF(W$209-$I85+1=1,$F92,0))</f>
        <v>0</v>
      </c>
      <c r="X92" s="357">
        <f>=IF($J85="是",IF(AND(X$209-$I85+1&gt;0,MOD(X$209-$I85+1,$H85)=1),$F92,0),IF(X$209-$I85+1=1,$F92,0))</f>
        <v>0</v>
      </c>
      <c r="Y92" s="357">
        <f>=IF($J85="是",IF(AND(Y$209-$I85+1&gt;0,MOD(Y$209-$I85+1,$H85)=1),$F92,0),IF(Y$209-$I85+1=1,$F92,0))</f>
        <v>0</v>
      </c>
      <c r="Z92" s="357">
        <f>=IF($J85="是",IF(AND(Z$209-$I85+1&gt;0,MOD(Z$209-$I85+1,$H85)=1),$F92,0),IF(Z$209-$I85+1=1,$F92,0))</f>
        <v>0</v>
      </c>
      <c r="AA92" s="357">
        <f>=IF($J85="是",IF(AND(AA$209-$I85+1&gt;0,MOD(AA$209-$I85+1,$H85)=1),$F92,0),IF(AA$209-$I85+1=1,$F92,0))</f>
        <v>0</v>
      </c>
      <c r="AB92" s="357">
        <f>=IF($J85="是",IF(AND(AB$209-$I85+1&gt;0,MOD(AB$209-$I85+1,$H85)=1),$F92,0),IF(AB$209-$I85+1=1,$F92,0))</f>
        <v>0</v>
      </c>
      <c r="AC92" s="357">
        <f>=IF($J85="是",IF(AND(AC$209-$I85+1&gt;0,MOD(AC$209-$I85+1,$H85)=1),$F92,0),IF(AC$209-$I85+1=1,$F92,0))</f>
        <v>0</v>
      </c>
      <c r="AD92" s="357">
        <f>=IF($J85="是",IF(AND(AD$209-$I85+1&gt;0,MOD(AD$209-$I85+1,$H85)=1),$F92,0),IF(AD$209-$I85+1=1,$F92,0))</f>
        <v>0</v>
      </c>
      <c r="AE92" s="357">
        <f>=IF($J85="是",IF(AND(AE$209-$I85+1&gt;0,MOD(AE$209-$I85+1,$H85)=1),$F92,0),IF(AE$209-$I85+1=1,$F92,0))</f>
        <v>0</v>
      </c>
      <c r="AF92" s="357">
        <f>=IF($J85="是",IF(AND(AF$209-$I85+1&gt;0,MOD(AF$209-$I85+1,$H85)=1),$F92,0),IF(AF$209-$I85+1=1,$F92,0))</f>
        <v>0</v>
      </c>
    </row>
    <row r="93" spans="1:32" ht="12" hidden="true" customHeight="true">
      <c r="A93" s="297">
        <v>10</v>
      </c>
      <c r="B93" s="358" t="s">
        <v>712</v>
      </c>
      <c r="C93" s="379" t="s"/>
      <c r="D93" s="380" t="s">
        <v>185</v>
      </c>
      <c r="E93" s="381">
        <v>0.13</v>
      </c>
      <c r="F93" s="357">
        <f>=IF($D93="是",$C93/(1+$E93),$C93)</f>
        <v>0</v>
      </c>
      <c r="G93" s="382">
        <v>0.05</v>
      </c>
      <c r="H93" s="378">
        <v>20</v>
      </c>
      <c r="I93" s="378">
        <f>=辅助表1评估项目基础数据表!$C$3+1</f>
        <v>3</v>
      </c>
      <c r="J93" s="380" t="s">
        <v>185</v>
      </c>
      <c r="K93" s="371" t="s"/>
      <c r="L93" s="371" t="s"/>
      <c r="M93" s="372" t="s"/>
      <c r="N93" s="372" t="s"/>
      <c r="O93" s="372" t="s"/>
      <c r="P93" s="372" t="s"/>
      <c r="Q93" s="372" t="s"/>
      <c r="R93" s="372" t="s"/>
      <c r="S93" s="372" t="s"/>
      <c r="T93" s="372" t="s"/>
      <c r="U93" s="372" t="s"/>
      <c r="V93" s="372" t="s"/>
      <c r="W93" s="372" t="s"/>
      <c r="X93" s="372" t="s"/>
      <c r="Y93" s="372" t="s"/>
      <c r="Z93" s="372" t="s"/>
      <c r="AA93" s="372" t="s"/>
      <c r="AB93" s="372" t="s"/>
      <c r="AC93" s="372" t="s"/>
      <c r="AD93" s="372" t="s"/>
      <c r="AE93" s="372" t="s"/>
      <c r="AF93" s="372" t="s"/>
    </row>
    <row r="94" spans="1:32" ht="12" hidden="true" customHeight="true">
      <c r="A94" s="297" t="s"/>
      <c r="B94" s="374" t="s">
        <v>704</v>
      </c>
      <c r="C94" s="383" t="s">
        <v>714</v>
      </c>
      <c r="D94" s="358" t="s"/>
      <c r="E94" s="358" t="s"/>
      <c r="F94" s="358" t="s"/>
      <c r="G94" s="358" t="s"/>
      <c r="H94" s="358" t="s"/>
      <c r="I94" s="358" t="s"/>
      <c r="J94" s="358" t="s"/>
      <c r="K94" s="376">
        <f>=IF(K$209&lt;$I93,0,IF($H93&gt;(K$209-$I93),(($F93-$F93*$G93)/$H93),0))</f>
        <v>0</v>
      </c>
      <c r="L94" s="376">
        <f>=IF(L$209&lt;$I93,0,IF($H93&gt;(L$209-$I$21),(($F93-$F93*$G93)/$H93),0))</f>
        <v>0</v>
      </c>
      <c r="M94" s="376">
        <f>=IF(M$209&lt;$I93,0,IF($H93&gt;(M$209-$I93),(($F93-$F93*$G93)/$H93),0))</f>
        <v>0</v>
      </c>
      <c r="N94" s="376">
        <f>=IF(N$209&lt;$I93,0,IF($H93&gt;(N$209-$I93),(($F93-$F93*$G93)/$H93),0))</f>
        <v>0</v>
      </c>
      <c r="O94" s="376">
        <f>=IF(O$209&lt;$I93,0,IF($H93&gt;(O$209-$I93),(($F93-$F93*$G93)/$H93),0))</f>
        <v>0</v>
      </c>
      <c r="P94" s="376">
        <f>=IF(P$209&lt;$I93,0,IF($H93&gt;(P$209-$I93),(($F93-$F93*$G93)/$H93),0))</f>
        <v>0</v>
      </c>
      <c r="Q94" s="376">
        <f>=IF(Q$209&lt;$I93,0,IF($H93&gt;(Q$209-$I93),(($F93-$F93*$G93)/$H93),0))</f>
        <v>0</v>
      </c>
      <c r="R94" s="376">
        <f>=IF(R$209&lt;$I93,0,IF($H93&gt;(R$209-$I93),(($F93-$F93*$G93)/$H93),0))</f>
        <v>0</v>
      </c>
      <c r="S94" s="376">
        <f>=IF(S$209&lt;$I93,0,IF($H93&gt;(S$209-$I93),(($F93-$F93*$G93)/$H93),0))</f>
        <v>0</v>
      </c>
      <c r="T94" s="376">
        <f>=IF(T$209&lt;$I93,0,IF($H93&gt;(T$209-$I93),(($F93-$F93*$G93)/$H93),0))</f>
        <v>0</v>
      </c>
      <c r="U94" s="376">
        <f>=IF(U$209&lt;$I93,0,IF($H93&gt;(U$209-$I93),(($F93-$F93*$G93)/$H93),0))</f>
        <v>0</v>
      </c>
      <c r="V94" s="376">
        <f>=IF(V$209&lt;$I93,0,IF($H93&gt;(V$209-$I93),(($F93-$F93*$G93)/$H93),0))</f>
        <v>0</v>
      </c>
      <c r="W94" s="376">
        <f>=IF(W$209&lt;$I93,0,IF($H93&gt;(W$209-$I93),(($F93-$F93*$G93)/$H93),0))</f>
        <v>0</v>
      </c>
      <c r="X94" s="376">
        <f>=IF(X$209&lt;$I93,0,IF($H93&gt;(X$209-$I93),(($F93-$F93*$G93)/$H93),0))</f>
        <v>0</v>
      </c>
      <c r="Y94" s="376">
        <f>=IF(Y$209&lt;$I93,0,IF($H93&gt;(Y$209-$I93),(($F93-$F93*$G93)/$H93),0))</f>
        <v>0</v>
      </c>
      <c r="Z94" s="376">
        <f>=IF(Z$209&lt;$I93,0,IF($H93&gt;(Z$209-$I93),(($F93-$F93*$G93)/$H93),0))</f>
        <v>0</v>
      </c>
      <c r="AA94" s="376">
        <f>=IF(AA$209&lt;$I93,0,IF($H93&gt;(AA$209-$I93),(($F93-$F93*$G93)/$H93),0))</f>
        <v>0</v>
      </c>
      <c r="AB94" s="376">
        <f>=IF(AB$209&lt;$I93,0,IF($H93&gt;(AB$209-$I93),(($F93-$F93*$G93)/$H93),0))</f>
        <v>0</v>
      </c>
      <c r="AC94" s="376">
        <f>=IF(AC$209&lt;$I93,0,IF($H93&gt;(AC$209-$I93),(($F93-$F93*$G93)/$H93),0))</f>
        <v>0</v>
      </c>
      <c r="AD94" s="376">
        <f>=IF(AD$209&lt;$I93,0,IF($H93&gt;(AD$209-$I93),(($F93-$F93*$G93)/$H93),0))</f>
        <v>0</v>
      </c>
      <c r="AE94" s="376">
        <f>=IF(AE$209&lt;$I93,0,IF($H93&gt;(AE$209-$I93),(($F93-$F93*$G93)/$H93),0))</f>
        <v>0</v>
      </c>
      <c r="AF94" s="376">
        <f>=IF(AF$209&lt;$I93,0,IF($H93&gt;(AF$209-$I93),(($F93-$F93*$G93)/$H93),0))</f>
        <v>0</v>
      </c>
    </row>
    <row r="95" spans="1:32" ht="12" hidden="true" customHeight="true">
      <c r="A95" s="297" t="s"/>
      <c r="B95" s="358" t="s">
        <v>705</v>
      </c>
      <c r="C95" s="358" t="s"/>
      <c r="D95" s="358" t="s"/>
      <c r="E95" s="358" t="s"/>
      <c r="F95" s="358" t="s"/>
      <c r="G95" s="358" t="s"/>
      <c r="H95" s="358" t="s"/>
      <c r="I95" s="358" t="s"/>
      <c r="J95" s="358" t="s"/>
      <c r="K95" s="357">
        <f>=IF(K$209=$I93,$F93-K94,0)</f>
        <v>0</v>
      </c>
      <c r="L95" s="357">
        <f>=IF(L$209=$I93,$F93-L94,IF(L$209&gt;$I93,IF(AND($J93="是",L$209&gt;=$I93+$H93),0,K95-L94),0))</f>
        <v>0</v>
      </c>
      <c r="M95" s="357">
        <f>=IF(M$209=$I93,$F93-M94,IF(M$209&gt;$I93,IF(AND($J93="是",M$209&gt;=$I93+$H93),0,L95-M94),0))</f>
        <v>0</v>
      </c>
      <c r="N95" s="357">
        <f>=IF(N$209=$I93,$F93-N94,IF(N$209&gt;$I93,IF(AND($J93="是",N$209&gt;=$I93+$H93),0,M95-N94),0))</f>
        <v>0</v>
      </c>
      <c r="O95" s="357">
        <f>=IF(O$209=$I93,$F93-O94,IF(O$209&gt;$I93,IF(AND($J93="是",O$209&gt;=$I93+$H93),0,N95-O94),0))</f>
        <v>0</v>
      </c>
      <c r="P95" s="357">
        <f>=IF(P$209=$I93,$F93-P94,IF(P$209&gt;$I93,IF(AND($J93="是",P$209&gt;=$I93+$H93),0,O95-P94),0))</f>
        <v>0</v>
      </c>
      <c r="Q95" s="357">
        <f>=IF(Q$209=$I93,$F93-Q94,IF(Q$209&gt;$I93,IF(AND($J93="是",Q$209&gt;=$I93+$H93),0,P95-Q94),0))</f>
        <v>0</v>
      </c>
      <c r="R95" s="357">
        <f>=IF(R$209=$I93,$F93-R94,IF(R$209&gt;$I93,IF(AND($J93="是",R$209&gt;=$I93+$H93),0,Q95-R94),0))</f>
        <v>0</v>
      </c>
      <c r="S95" s="357">
        <f>=IF(S$209=$I93,$F93-S94,IF(S$209&gt;$I93,IF(AND($J93="是",S$209&gt;=$I93+$H93),0,R95-S94),0))</f>
        <v>0</v>
      </c>
      <c r="T95" s="357">
        <f>=IF(T$209=$I93,$F93-T94,IF(T$209&gt;$I93,IF(AND($J93="是",T$209&gt;=$I93+$H93),0,S95-T94),0))</f>
        <v>0</v>
      </c>
      <c r="U95" s="357">
        <f>=IF(U$209=$I93,$F93-U94,IF(U$209&gt;$I93,IF(AND($J93="是",U$209&gt;=$I93+$H93),0,T95-U94),0))</f>
        <v>0</v>
      </c>
      <c r="V95" s="357">
        <f>=IF(V$209=$I93,$F93-V94,IF(V$209&gt;$I93,IF(AND($J93="是",V$209&gt;=$I93+$H93),0,U95-V94),0))</f>
        <v>0</v>
      </c>
      <c r="W95" s="357">
        <f>=IF(W$209=$I93,$F93-W94,IF(W$209&gt;$I93,IF(AND($J93="是",W$209&gt;=$I93+$H93),0,V95-W94),0))</f>
        <v>0</v>
      </c>
      <c r="X95" s="357">
        <f>=IF(X$209=$I93,$F93-X94,IF(X$209&gt;$I93,IF(AND($J93="是",X$209&gt;=$I93+$H93),0,W95-X94),0))</f>
        <v>0</v>
      </c>
      <c r="Y95" s="357">
        <f>=IF(Y$209=$I93,$F93-Y94,IF(Y$209&gt;$I93,IF(AND($J93="是",Y$209&gt;=$I93+$H93),0,X95-Y94),0))</f>
        <v>0</v>
      </c>
      <c r="Z95" s="357">
        <f>=IF(Z$209=$I93,$F93-Z94,IF(Z$209&gt;$I93,IF(AND($J93="是",Z$209&gt;=$I93+$H93),0,Y95-Z94),0))</f>
        <v>0</v>
      </c>
      <c r="AA95" s="357">
        <f>=IF(AA$209=$I93,$F93-AA94,IF(AA$209&gt;$I93,IF(AND($J93="是",AA$209&gt;=$I93+$H93),0,Z95-AA94),0))</f>
        <v>0</v>
      </c>
      <c r="AB95" s="357">
        <f>=IF(AB$209=$I93,$F93-AB94,IF(AB$209&gt;$I93,IF(AND($J93="是",AB$209&gt;=$I93+$H93),0,AA95-AB94),0))</f>
        <v>0</v>
      </c>
      <c r="AC95" s="357">
        <f>=IF(AC$209=$I93,$F93-AC94,IF(AC$209&gt;$I93,IF(AND($J93="是",AC$209&gt;=$I93+$H93),0,AB95-AC94),0))</f>
        <v>0</v>
      </c>
      <c r="AD95" s="357">
        <f>=IF(AD$209=$I93,$F93-AD94,IF(AD$209&gt;$I93,IF(AND($J93="是",AD$209&gt;=$I93+$H93),0,AC95-AD94),0))</f>
        <v>0</v>
      </c>
      <c r="AE95" s="357">
        <f>=IF(AE$209=$I93,$F93-AE94,IF(AE$209&gt;$I93,IF(AND($J93="是",AE$209&gt;=$I93+$H93),0,AD95-AE94),0))</f>
        <v>0</v>
      </c>
      <c r="AF95" s="357">
        <f>=IF(AF$209=$I93,$F93-AF94,IF(AF$209&gt;$I93,IF(AND($J93="是",AF$209&gt;=$I93+$H93),0,AE95-AF94),0))</f>
        <v>0</v>
      </c>
    </row>
    <row r="96" spans="1:32" ht="12" hidden="true" customHeight="true">
      <c r="A96" s="297" t="s"/>
      <c r="B96" s="358" t="s">
        <v>706</v>
      </c>
      <c r="C96" s="358" t="s"/>
      <c r="D96" s="358" t="s"/>
      <c r="E96" s="358" t="s"/>
      <c r="F96" s="358" t="s"/>
      <c r="G96" s="358" t="s"/>
      <c r="H96" s="358" t="s"/>
      <c r="I96" s="358" t="s"/>
      <c r="J96" s="358" t="s"/>
      <c r="K96" s="357">
        <f>=IF(AND($J93="是",K$209&gt;=$H93+$I93),(($F93-$F93*$G93)/$H93),0)</f>
        <v>0</v>
      </c>
      <c r="L96" s="357">
        <f>=IF(AND($J93="是",L$209&gt;=$H93+$I93),(($F93-$F93*$G93)/$H93),0)</f>
        <v>0</v>
      </c>
      <c r="M96" s="357">
        <f>=IF(AND($J93="是",M$209&gt;=$H93+$I93),(($F93-$F93*$G93)/$H93),0)</f>
        <v>0</v>
      </c>
      <c r="N96" s="357">
        <f>=IF(AND($J93="是",N$209&gt;=$H93+$I93),(($F93-$F93*$G93)/$H93),0)</f>
        <v>0</v>
      </c>
      <c r="O96" s="357">
        <f>=IF(AND($J93="是",O$209&gt;=$H93+$I93),(($F93-$F93*$G93)/$H93),0)</f>
        <v>0</v>
      </c>
      <c r="P96" s="357">
        <f>=IF(AND($J93="是",P$209&gt;=$H93+$I93),(($F93-$F93*$G93)/$H93),0)</f>
        <v>0</v>
      </c>
      <c r="Q96" s="357">
        <f>=IF(AND($J93="是",Q$209&gt;=$H93+$I93),(($F93-$F93*$G93)/$H93),0)</f>
        <v>0</v>
      </c>
      <c r="R96" s="357">
        <f>=IF(AND($J93="是",R$209&gt;=$H93+$I93),(($F93-$F93*$G93)/$H93),0)</f>
        <v>0</v>
      </c>
      <c r="S96" s="357">
        <f>=IF(AND($J93="是",S$209&gt;=$H93+$I93),(($F93-$F93*$G93)/$H93),0)</f>
        <v>0</v>
      </c>
      <c r="T96" s="357">
        <f>=IF(AND($J93="是",T$209&gt;=$H93+$I93),(($F93-$F93*$G93)/$H93),0)</f>
        <v>0</v>
      </c>
      <c r="U96" s="357">
        <f>=IF(AND($J93="是",U$209&gt;=$H93+$I93),(($F93-$F93*$G93)/$H93),0)</f>
        <v>0</v>
      </c>
      <c r="V96" s="357">
        <f>=IF(AND($J93="是",V$209&gt;=$H93+$I93),(($F93-$F93*$G93)/$H93),0)</f>
        <v>0</v>
      </c>
      <c r="W96" s="357">
        <f>=IF(AND($J93="是",W$209&gt;=$H93+$I93),(($F93-$F93*$G93)/$H93),0)</f>
        <v>0</v>
      </c>
      <c r="X96" s="357">
        <f>=IF(AND($J93="是",X$209&gt;=$H93+$I93),(($F93-$F93*$G93)/$H93),0)</f>
        <v>0</v>
      </c>
      <c r="Y96" s="357">
        <f>=IF(AND($J93="是",Y$209&gt;=$H93+$I93),(($F93-$F93*$G93)/$H93),0)</f>
        <v>0</v>
      </c>
      <c r="Z96" s="357">
        <f>=IF(AND($J93="是",Z$209&gt;=$H93+$I93),(($F93-$F93*$G93)/$H93),0)</f>
        <v>0</v>
      </c>
      <c r="AA96" s="357">
        <f>=IF(AND($J93="是",AA$209&gt;=$H93+$I93),(($F93-$F93*$G93)/$H93),0)</f>
        <v>0</v>
      </c>
      <c r="AB96" s="357">
        <f>=IF(AND($J93="是",AB$209&gt;=$H93+$I93),(($F93-$F93*$G93)/$H93),0)</f>
        <v>0</v>
      </c>
      <c r="AC96" s="357">
        <f>=IF(AND($J93="是",AC$209&gt;=$H93+$I93),(($F93-$F93*$G93)/$H93),0)</f>
        <v>0</v>
      </c>
      <c r="AD96" s="357">
        <f>=IF(AND($J93="是",AD$209&gt;=$H93+$I93),(($F93-$F93*$G93)/$H93),0)</f>
        <v>0</v>
      </c>
      <c r="AE96" s="357">
        <f>=IF(AND($J93="是",AE$209&gt;=$H93+$I93),(($F93-$F93*$G93)/$H93),0)</f>
        <v>0</v>
      </c>
      <c r="AF96" s="357">
        <f>=IF(AND($J93="是",AF$209&gt;=$H93+$I93),(($F93-$F93*$G93)/$H93),0)</f>
        <v>0</v>
      </c>
    </row>
    <row r="97" spans="1:32" ht="12" hidden="true" customHeight="true">
      <c r="A97" s="297" t="s"/>
      <c r="B97" s="358" t="s">
        <v>707</v>
      </c>
      <c r="C97" s="358" t="s"/>
      <c r="D97" s="358" t="s"/>
      <c r="E97" s="358" t="s"/>
      <c r="F97" s="358" t="s"/>
      <c r="G97" s="358" t="s"/>
      <c r="H97" s="358" t="s"/>
      <c r="I97" s="358" t="s"/>
      <c r="J97" s="358" t="s"/>
      <c r="K97" s="357">
        <f>=IF(K$209&lt;$I93+$H93,0,IF($J93="是",IF(OR($H93=1,MOD(K$209-$I93+1,$H93)=1),$F93-K96,J97-K96),0))</f>
        <v>0</v>
      </c>
      <c r="L97" s="357">
        <f>=IF(L$209&lt;$I93+$H93,0,IF($J93="是",IF(OR($H93=1,MOD(L$209-$I93+1,$H93)=1),$F93-L96,K97-L96),0))</f>
        <v>0</v>
      </c>
      <c r="M97" s="357">
        <f>=IF(M$209&lt;$I93+$H93,0,IF($J93="是",IF(OR($H93=1,MOD(M$209-$I93+1,$H93)=1),$F93-M96,L97-M96),0))</f>
        <v>0</v>
      </c>
      <c r="N97" s="357">
        <f>=IF(N$209&lt;$I93+$H93,0,IF($J93="是",IF(OR($H93=1,MOD(N$209-$I93+1,$H93)=1),$F93-N96,M97-N96),0))</f>
        <v>0</v>
      </c>
      <c r="O97" s="357">
        <f>=IF(O$209&lt;$I93+$H93,0,IF($J93="是",IF(OR($H93=1,MOD(O$209-$I93+1,$H93)=1),$F93-O96,N97-O96),0))</f>
        <v>0</v>
      </c>
      <c r="P97" s="357">
        <f>=IF(P$209&lt;$I93+$H93,0,IF($J93="是",IF(OR($H93=1,MOD(P$209-$I93+1,$H93)=1),$F93-P96,O97-P96),0))</f>
        <v>0</v>
      </c>
      <c r="Q97" s="357">
        <f>=IF(Q$209&lt;$I93+$H93,0,IF($J93="是",IF(OR($H93=1,MOD(Q$209-$I93+1,$H93)=1),$F93-Q96,P97-Q96),0))</f>
        <v>0</v>
      </c>
      <c r="R97" s="357">
        <f>=IF(R$209&lt;$I93+$H93,0,IF($J93="是",IF(OR($H93=1,MOD(R$209-$I93+1,$H93)=1),$F93-R96,Q97-R96),0))</f>
        <v>0</v>
      </c>
      <c r="S97" s="357">
        <f>=IF(S$209&lt;$I93+$H93,0,IF($J93="是",IF(OR($H93=1,MOD(S$209-$I93+1,$H93)=1),$F93-S96,R97-S96),0))</f>
        <v>0</v>
      </c>
      <c r="T97" s="357">
        <f>=IF(T$209&lt;$I93+$H93,0,IF($J93="是",IF(OR($H93=1,MOD(T$209-$I93+1,$H93)=1),$F93-T96,S97-T96),0))</f>
        <v>0</v>
      </c>
      <c r="U97" s="357">
        <f>=IF(U$209&lt;$I93+$H93,0,IF($J93="是",IF(OR($H93=1,MOD(U$209-$I93+1,$H93)=1),$F93-U96,T97-U96),0))</f>
        <v>0</v>
      </c>
      <c r="V97" s="357">
        <f>=IF(V$209&lt;$I93+$H93,0,IF($J93="是",IF(OR($H93=1,MOD(V$209-$I93+1,$H93)=1),$F93-V96,U97-V96),0))</f>
        <v>0</v>
      </c>
      <c r="W97" s="357">
        <f>=IF(W$209&lt;$I93+$H93,0,IF($J93="是",IF(OR($H93=1,MOD(W$209-$I93+1,$H93)=1),$F93-W96,V97-W96),0))</f>
        <v>0</v>
      </c>
      <c r="X97" s="357">
        <f>=IF(X$209&lt;$I93+$H93,0,IF($J93="是",IF(OR($H93=1,MOD(X$209-$I93+1,$H93)=1),$F93-X96,W97-X96),0))</f>
        <v>0</v>
      </c>
      <c r="Y97" s="357">
        <f>=IF(Y$209&lt;$I93+$H93,0,IF($J93="是",IF(OR($H93=1,MOD(Y$209-$I93+1,$H93)=1),$F93-Y96,X97-Y96),0))</f>
        <v>0</v>
      </c>
      <c r="Z97" s="357">
        <f>=IF(Z$209&lt;$I93+$H93,0,IF($J93="是",IF(OR($H93=1,MOD(Z$209-$I93+1,$H93)=1),$F93-Z96,Y97-Z96),0))</f>
        <v>0</v>
      </c>
      <c r="AA97" s="357">
        <f>=IF(AA$209&lt;$I93+$H93,0,IF($J93="是",IF(OR($H93=1,MOD(AA$209-$I93+1,$H93)=1),$F93-AA96,Z97-AA96),0))</f>
        <v>0</v>
      </c>
      <c r="AB97" s="357">
        <f>=IF(AB$209&lt;$I93+$H93,0,IF($J93="是",IF(OR($H93=1,MOD(AB$209-$I93+1,$H93)=1),$F93-AB96,AA97-AB96),0))</f>
        <v>0</v>
      </c>
      <c r="AC97" s="357">
        <f>=IF(AC$209&lt;$I93+$H93,0,IF($J93="是",IF(OR($H93=1,MOD(AC$209-$I93+1,$H93)=1),$F93-AC96,AB97-AC96),0))</f>
        <v>0</v>
      </c>
      <c r="AD97" s="357">
        <f>=IF(AD$209&lt;$I93+$H93,0,IF($J93="是",IF(OR($H93=1,MOD(AD$209-$I93+1,$H93)=1),$F93-AD96,AC97-AD96),0))</f>
        <v>0</v>
      </c>
      <c r="AE97" s="357">
        <f>=IF(AE$209&lt;$I93+$H93,0,IF($J93="是",IF(OR($H93=1,MOD(AE$209-$I93+1,$H93)=1),$F93-AE96,AD97-AE96),0))</f>
        <v>0</v>
      </c>
      <c r="AF97" s="357">
        <f>=IF(AF$209&lt;$I93+$H93,0,IF($J93="是",IF(OR($H93=1,MOD(AF$209-$I93+1,$H93)=1),$F93-AF96,AE97-AF96),0))</f>
        <v>0</v>
      </c>
    </row>
    <row r="98" spans="1:32" ht="12" hidden="true" customHeight="true">
      <c r="A98" s="297" t="s"/>
      <c r="B98" s="358" t="s">
        <v>708</v>
      </c>
      <c r="C98" s="358" t="s"/>
      <c r="D98" s="358" t="s"/>
      <c r="E98" s="358" t="s"/>
      <c r="F98" s="358" t="s"/>
      <c r="G98" s="358" t="s"/>
      <c r="H98" s="358" t="s"/>
      <c r="I98" s="358" t="s"/>
      <c r="J98" s="358" t="s"/>
      <c r="K98" s="357">
        <f>=IF(AND($J93="是",K$209&gt;=$H93+$I93,MOD(K$209-$I93+1,$H93)=1),$F93,0)</f>
        <v>0</v>
      </c>
      <c r="L98" s="357">
        <f>=IF(AND($J93="是",L$209&gt;=$H93+$I93,MOD(L$209-$I93+1,$H93)=1),$F93,0)</f>
        <v>0</v>
      </c>
      <c r="M98" s="357">
        <f>=IF(AND($J93="是",M$209&gt;=$H93+$I93,MOD(M$209-$I93+1,$H93)=1),$F93,0)</f>
        <v>0</v>
      </c>
      <c r="N98" s="357">
        <f>=IF(AND($J93="是",N$209&gt;=$H93+$I93,MOD(N$209-$I93+1,$H93)=1),$F93,0)</f>
        <v>0</v>
      </c>
      <c r="O98" s="357">
        <f>=IF(AND($J93="是",O$209&gt;=$H93+$I93,MOD(O$209-$I93+1,$H93)=1),$F93,0)</f>
        <v>0</v>
      </c>
      <c r="P98" s="357">
        <f>=IF(AND($J93="是",P$209&gt;=$H93+$I93,MOD(P$209-$I93+1,$H93)=1),$F93,0)</f>
        <v>0</v>
      </c>
      <c r="Q98" s="357">
        <f>=IF(AND($J93="是",Q$209&gt;=$H93+$I93,MOD(Q$209-$I93+1,$H93)=1),$F93,0)</f>
        <v>0</v>
      </c>
      <c r="R98" s="357">
        <f>=IF(AND($J93="是",R$209&gt;=$H93+$I93,MOD(R$209-$I93+1,$H93)=1),$F93,0)</f>
        <v>0</v>
      </c>
      <c r="S98" s="357">
        <f>=IF(AND($J93="是",S$209&gt;=$H93+$I93,MOD(S$209-$I93+1,$H93)=1),$F93,0)</f>
        <v>0</v>
      </c>
      <c r="T98" s="357">
        <f>=IF(AND($J93="是",T$209&gt;=$H93+$I93,MOD(T$209-$I93+1,$H93)=1),$F93,0)</f>
        <v>0</v>
      </c>
      <c r="U98" s="357">
        <f>=IF(AND($J93="是",U$209&gt;=$H93+$I93,MOD(U$209-$I93+1,$H93)=1),$F93,0)</f>
        <v>0</v>
      </c>
      <c r="V98" s="357">
        <f>=IF(AND($J93="是",V$209&gt;=$H93+$I93,MOD(V$209-$I93+1,$H93)=1),$F93,0)</f>
        <v>0</v>
      </c>
      <c r="W98" s="357">
        <f>=IF(AND($J93="是",W$209&gt;=$H93+$I93,MOD(W$209-$I93+1,$H93)=1),$F93,0)</f>
        <v>0</v>
      </c>
      <c r="X98" s="357">
        <f>=IF(AND($J93="是",X$209&gt;=$H93+$I93,MOD(X$209-$I93+1,$H93)=1),$F93,0)</f>
        <v>0</v>
      </c>
      <c r="Y98" s="357">
        <f>=IF(AND($J93="是",Y$209&gt;=$H93+$I93,MOD(Y$209-$I93+1,$H93)=1),$F93,0)</f>
        <v>0</v>
      </c>
      <c r="Z98" s="357">
        <f>=IF(AND($J93="是",Z$209&gt;=$H93+$I93,MOD(Z$209-$I93+1,$H93)=1),$F93,0)</f>
        <v>0</v>
      </c>
      <c r="AA98" s="357">
        <f>=IF(AND($J93="是",AA$209&gt;=$H93+$I93,MOD(AA$209-$I93+1,$H93)=1),$F93,0)</f>
        <v>0</v>
      </c>
      <c r="AB98" s="357">
        <f>=IF(AND($J93="是",AB$209&gt;=$H93+$I93,MOD(AB$209-$I93+1,$H93)=1),$F93,0)</f>
        <v>0</v>
      </c>
      <c r="AC98" s="357">
        <f>=IF(AND($J93="是",AC$209&gt;=$H93+$I93,MOD(AC$209-$I93+1,$H93)=1),$F93,0)</f>
        <v>0</v>
      </c>
      <c r="AD98" s="357">
        <f>=IF(AND($J93="是",AD$209&gt;=$H93+$I93,MOD(AD$209-$I93+1,$H93)=1),$F93,0)</f>
        <v>0</v>
      </c>
      <c r="AE98" s="357">
        <f>=IF(AND($J93="是",AE$209&gt;=$H93+$I93,MOD(AE$209-$I93+1,$H93)=1),$F93,0)</f>
        <v>0</v>
      </c>
      <c r="AF98" s="357">
        <f>=IF(AND($J93="是",AF$209&gt;=$H93+$I93,MOD(AF$209-$I93+1,$H93)=1),$F93,0)</f>
        <v>0</v>
      </c>
    </row>
    <row r="99" spans="1:32" ht="12" hidden="true" customHeight="true">
      <c r="A99" s="297" t="s"/>
      <c r="B99" s="358" t="s">
        <v>709</v>
      </c>
      <c r="C99" s="358" t="s"/>
      <c r="D99" s="358" t="s"/>
      <c r="E99" s="358" t="s"/>
      <c r="F99" s="358" t="s"/>
      <c r="G99" s="358" t="s"/>
      <c r="H99" s="358" t="s"/>
      <c r="I99" s="358" t="s"/>
      <c r="J99" s="358" t="s"/>
      <c r="K99" s="357">
        <f>=IF(K$209=辅助表1评估项目基础数据表!$C$3+辅助表1评估项目基础数据表!$C$5,K95+K97,IF(AND($J93="是",K$209&gt;=$H93+$I93,MOD(K$209-$I93+1,$H93)=1),$F93*$G93,0))</f>
        <v>0</v>
      </c>
      <c r="L99" s="357">
        <f>=IF(L$209=辅助表1评估项目基础数据表!$C$3+辅助表1评估项目基础数据表!$C$5,L95+L97,IF(AND($J93="是",L$209&gt;=$H93+$I93,MOD(L$209-$I93+1,$H93)=1),$F93*$G93,0))</f>
        <v>0</v>
      </c>
      <c r="M99" s="357">
        <f>=IF(M$209=辅助表1评估项目基础数据表!$C$3+辅助表1评估项目基础数据表!$C$5,M95+M97,IF(AND($J93="是",M$209&gt;=$H93+$I93,MOD(M$209-$I93+1,$H93)=1),$F93*$G93,0))</f>
        <v>0</v>
      </c>
      <c r="N99" s="357">
        <f>=IF(N$209=辅助表1评估项目基础数据表!$C$3+辅助表1评估项目基础数据表!$C$5,N95+N97,IF(AND($J93="是",N$209&gt;=$H93+$I93,MOD(N$209-$I93+1,$H93)=1),$F93*$G93,0))</f>
        <v>0</v>
      </c>
      <c r="O99" s="357">
        <f>=IF(O$209=辅助表1评估项目基础数据表!$C$3+辅助表1评估项目基础数据表!$C$5,O95+O97,IF(AND($J93="是",O$209&gt;=$H93+$I93,MOD(O$209-$I93+1,$H93)=1),$F93*$G93,0))</f>
        <v>0</v>
      </c>
      <c r="P99" s="357">
        <f>=IF(P$209=辅助表1评估项目基础数据表!$C$3+辅助表1评估项目基础数据表!$C$5,P95+P97,IF(AND($J93="是",P$209&gt;=$H93+$I93,MOD(P$209-$I93+1,$H93)=1),$F93*$G93,0))</f>
        <v>0</v>
      </c>
      <c r="Q99" s="357">
        <f>=IF(Q$209=辅助表1评估项目基础数据表!$C$3+辅助表1评估项目基础数据表!$C$5,Q95+Q97,IF(AND($J93="是",Q$209&gt;=$H93+$I93,MOD(Q$209-$I93+1,$H93)=1),$F93*$G93,0))</f>
        <v>0</v>
      </c>
      <c r="R99" s="357">
        <f>=IF(R$209=辅助表1评估项目基础数据表!$C$3+辅助表1评估项目基础数据表!$C$5,R95+R97,IF(AND($J93="是",R$209&gt;=$H93+$I93,MOD(R$209-$I93+1,$H93)=1),$F93*$G93,0))</f>
        <v>0</v>
      </c>
      <c r="S99" s="357">
        <f>=IF(S$209=辅助表1评估项目基础数据表!$C$3+辅助表1评估项目基础数据表!$C$5,S95+S97,IF(AND($J93="是",S$209&gt;=$H93+$I93,MOD(S$209-$I93+1,$H93)=1),$F93*$G93,0))</f>
        <v>0</v>
      </c>
      <c r="T99" s="357">
        <f>=IF(T$209=辅助表1评估项目基础数据表!$C$3+辅助表1评估项目基础数据表!$C$5,T95+T97,IF(AND($J93="是",T$209&gt;=$H93+$I93,MOD(T$209-$I93+1,$H93)=1),$F93*$G93,0))</f>
        <v>0</v>
      </c>
      <c r="U99" s="357">
        <f>=IF(U$209=辅助表1评估项目基础数据表!$C$3+辅助表1评估项目基础数据表!$C$5,U95+U97,IF(AND($J93="是",U$209&gt;=$H93+$I93,MOD(U$209-$I93+1,$H93)=1),$F93*$G93,0))</f>
        <v>0</v>
      </c>
      <c r="V99" s="357">
        <f>=IF(V$209=辅助表1评估项目基础数据表!$C$3+辅助表1评估项目基础数据表!$C$5,V95+V97,IF(AND($J93="是",V$209&gt;=$H93+$I93,MOD(V$209-$I93+1,$H93)=1),$F93*$G93,0))</f>
        <v>0</v>
      </c>
      <c r="W99" s="357">
        <f>=IF(W$209=辅助表1评估项目基础数据表!$C$3+辅助表1评估项目基础数据表!$C$5,W95+W97,IF(AND($J93="是",W$209&gt;=$H93+$I93,MOD(W$209-$I93+1,$H93)=1),$F93*$G93,0))</f>
        <v>0</v>
      </c>
      <c r="X99" s="357">
        <f>=IF(X$209=辅助表1评估项目基础数据表!$C$3+辅助表1评估项目基础数据表!$C$5,X95+X97,IF(AND($J93="是",X$209&gt;=$H93+$I93,MOD(X$209-$I93+1,$H93)=1),$F93*$G93,0))</f>
        <v>0</v>
      </c>
      <c r="Y99" s="357">
        <f>=IF(Y$209=辅助表1评估项目基础数据表!$C$3+辅助表1评估项目基础数据表!$C$5,Y95+Y97,IF(AND($J93="是",Y$209&gt;=$H93+$I93,MOD(Y$209-$I93+1,$H93)=1),$F93*$G93,0))</f>
        <v>0</v>
      </c>
      <c r="Z99" s="357">
        <f>=IF(Z$209=辅助表1评估项目基础数据表!$C$3+辅助表1评估项目基础数据表!$C$5,Z95+Z97,IF(AND($J93="是",Z$209&gt;=$H93+$I93,MOD(Z$209-$I93+1,$H93)=1),$F93*$G93,0))</f>
        <v>0</v>
      </c>
      <c r="AA99" s="357">
        <f>=IF(AA$209=辅助表1评估项目基础数据表!$C$3+辅助表1评估项目基础数据表!$C$5,AA95+AA97,IF(AND($J93="是",AA$209&gt;=$H93+$I93,MOD(AA$209-$I93+1,$H93)=1),$F93*$G93,0))</f>
        <v>0</v>
      </c>
      <c r="AB99" s="357">
        <f>=IF(AB$209=辅助表1评估项目基础数据表!$C$3+辅助表1评估项目基础数据表!$C$5,AB95+AB97,IF(AND($J93="是",AB$209&gt;=$H93+$I93,MOD(AB$209-$I93+1,$H93)=1),$F93*$G93,0))</f>
        <v>0</v>
      </c>
      <c r="AC99" s="357">
        <f>=IF(AC$209=辅助表1评估项目基础数据表!$C$3+辅助表1评估项目基础数据表!$C$5,AC95+AC97,IF(AND($J93="是",AC$209&gt;=$H93+$I93,MOD(AC$209-$I93+1,$H93)=1),$F93*$G93,0))</f>
        <v>0</v>
      </c>
      <c r="AD99" s="357">
        <f>=IF(AD$209=辅助表1评估项目基础数据表!$C$3+辅助表1评估项目基础数据表!$C$5,AD95+AD97,IF(AND($J93="是",AD$209&gt;=$H93+$I93,MOD(AD$209-$I93+1,$H93)=1),$F93*$G93,0))</f>
        <v>0</v>
      </c>
      <c r="AE99" s="357">
        <f>=IF(AE$209=辅助表1评估项目基础数据表!$C$3+辅助表1评估项目基础数据表!$C$5,AE95+AE97,IF(AND($J93="是",AE$209&gt;=$H93+$I93,MOD(AE$209-$I93+1,$H93)=1),$F93*$G93,0))</f>
        <v>0</v>
      </c>
      <c r="AF99" s="357">
        <f>=IF(AF$209=辅助表1评估项目基础数据表!$C$3+辅助表1评估项目基础数据表!$C$5,AF95+AF97,IF(AND($J93="是",AF$209&gt;=$H93+$I93,MOD(AF$209-$I93+1,$H93)=1),$F93*$G93,0))</f>
        <v>0</v>
      </c>
    </row>
    <row r="100" spans="1:32" ht="12" hidden="true" customHeight="true">
      <c r="A100" s="297" t="s"/>
      <c r="B100" s="358" t="s">
        <v>710</v>
      </c>
      <c r="C100" s="358" t="s"/>
      <c r="D100" s="358" t="s"/>
      <c r="E100" s="358" t="s"/>
      <c r="F100" s="357">
        <f>=IF($D93="是",$C93*$E93/(1+$E93),0)</f>
        <v>0</v>
      </c>
      <c r="G100" s="358" t="s"/>
      <c r="H100" s="358" t="s"/>
      <c r="I100" s="358" t="s"/>
      <c r="J100" s="358" t="s"/>
      <c r="K100" s="357">
        <f>=IF($J93="是",IF(AND(K$209-$I93+1&gt;0,MOD(K$209-$I93+1,$H93)=1),$F100,0),IF(K$209-$I93+1=1,$F100,0))</f>
        <v>0</v>
      </c>
      <c r="L100" s="357">
        <f>=IF($J93="是",IF(AND(L$209-$I93+1&gt;0,MOD(L$209-$I93+1,$H93)=1),$F100,0),IF(L$209-$I93+1=1,$F100,0))</f>
        <v>0</v>
      </c>
      <c r="M100" s="357">
        <f>=IF($J93="是",IF(AND(M$209-$I93+1&gt;0,MOD(M$209-$I93+1,$H93)=1),$F100,0),IF(M$209-$I93+1=1,$F100,0))</f>
        <v>0</v>
      </c>
      <c r="N100" s="357">
        <f>=IF($J93="是",IF(AND(N$209-$I93+1&gt;0,MOD(N$209-$I93+1,$H93)=1),$F100,0),IF(N$209-$I93+1=1,$F100,0))</f>
        <v>0</v>
      </c>
      <c r="O100" s="357">
        <f>=IF($J93="是",IF(AND(O$209-$I93+1&gt;0,MOD(O$209-$I93+1,$H93)=1),$F100,0),IF(O$209-$I93+1=1,$F100,0))</f>
        <v>0</v>
      </c>
      <c r="P100" s="357">
        <f>=IF($J93="是",IF(AND(P$209-$I93+1&gt;0,MOD(P$209-$I93+1,$H93)=1),$F100,0),IF(P$209-$I93+1=1,$F100,0))</f>
        <v>0</v>
      </c>
      <c r="Q100" s="357">
        <f>=IF($J93="是",IF(AND(Q$209-$I93+1&gt;0,MOD(Q$209-$I93+1,$H93)=1),$F100,0),IF(Q$209-$I93+1=1,$F100,0))</f>
        <v>0</v>
      </c>
      <c r="R100" s="357">
        <f>=IF($J93="是",IF(AND(R$209-$I93+1&gt;0,MOD(R$209-$I93+1,$H93)=1),$F100,0),IF(R$209-$I93+1=1,$F100,0))</f>
        <v>0</v>
      </c>
      <c r="S100" s="357">
        <f>=IF($J93="是",IF(AND(S$209-$I93+1&gt;0,MOD(S$209-$I93+1,$H93)=1),$F100,0),IF(S$209-$I93+1=1,$F100,0))</f>
        <v>0</v>
      </c>
      <c r="T100" s="357">
        <f>=IF($J93="是",IF(AND(T$209-$I93+1&gt;0,MOD(T$209-$I93+1,$H93)=1),$F100,0),IF(T$209-$I93+1=1,$F100,0))</f>
        <v>0</v>
      </c>
      <c r="U100" s="357">
        <f>=IF($J93="是",IF(AND(U$209-$I93+1&gt;0,MOD(U$209-$I93+1,$H93)=1),$F100,0),IF(U$209-$I93+1=1,$F100,0))</f>
        <v>0</v>
      </c>
      <c r="V100" s="357">
        <f>=IF($J93="是",IF(AND(V$209-$I93+1&gt;0,MOD(V$209-$I93+1,$H93)=1),$F100,0),IF(V$209-$I93+1=1,$F100,0))</f>
        <v>0</v>
      </c>
      <c r="W100" s="357">
        <f>=IF($J93="是",IF(AND(W$209-$I93+1&gt;0,MOD(W$209-$I93+1,$H93)=1),$F100,0),IF(W$209-$I93+1=1,$F100,0))</f>
        <v>0</v>
      </c>
      <c r="X100" s="357">
        <f>=IF($J93="是",IF(AND(X$209-$I93+1&gt;0,MOD(X$209-$I93+1,$H93)=1),$F100,0),IF(X$209-$I93+1=1,$F100,0))</f>
        <v>0</v>
      </c>
      <c r="Y100" s="357">
        <f>=IF($J93="是",IF(AND(Y$209-$I93+1&gt;0,MOD(Y$209-$I93+1,$H93)=1),$F100,0),IF(Y$209-$I93+1=1,$F100,0))</f>
        <v>0</v>
      </c>
      <c r="Z100" s="357">
        <f>=IF($J93="是",IF(AND(Z$209-$I93+1&gt;0,MOD(Z$209-$I93+1,$H93)=1),$F100,0),IF(Z$209-$I93+1=1,$F100,0))</f>
        <v>0</v>
      </c>
      <c r="AA100" s="357">
        <f>=IF($J93="是",IF(AND(AA$209-$I93+1&gt;0,MOD(AA$209-$I93+1,$H93)=1),$F100,0),IF(AA$209-$I93+1=1,$F100,0))</f>
        <v>0</v>
      </c>
      <c r="AB100" s="357">
        <f>=IF($J93="是",IF(AND(AB$209-$I93+1&gt;0,MOD(AB$209-$I93+1,$H93)=1),$F100,0),IF(AB$209-$I93+1=1,$F100,0))</f>
        <v>0</v>
      </c>
      <c r="AC100" s="357">
        <f>=IF($J93="是",IF(AND(AC$209-$I93+1&gt;0,MOD(AC$209-$I93+1,$H93)=1),$F100,0),IF(AC$209-$I93+1=1,$F100,0))</f>
        <v>0</v>
      </c>
      <c r="AD100" s="357">
        <f>=IF($J93="是",IF(AND(AD$209-$I93+1&gt;0,MOD(AD$209-$I93+1,$H93)=1),$F100,0),IF(AD$209-$I93+1=1,$F100,0))</f>
        <v>0</v>
      </c>
      <c r="AE100" s="357">
        <f>=IF($J93="是",IF(AND(AE$209-$I93+1&gt;0,MOD(AE$209-$I93+1,$H93)=1),$F100,0),IF(AE$209-$I93+1=1,$F100,0))</f>
        <v>0</v>
      </c>
      <c r="AF100" s="357">
        <f>=IF($J93="是",IF(AND(AF$209-$I93+1&gt;0,MOD(AF$209-$I93+1,$H93)=1),$F100,0),IF(AF$209-$I93+1=1,$F100,0))</f>
        <v>0</v>
      </c>
    </row>
    <row r="101" spans="1:32" ht="12" hidden="true" customHeight="true">
      <c r="A101" s="297">
        <v>11</v>
      </c>
      <c r="B101" s="358" t="s">
        <v>712</v>
      </c>
      <c r="C101" s="379" t="s"/>
      <c r="D101" s="380" t="s">
        <v>185</v>
      </c>
      <c r="E101" s="381">
        <v>0.13</v>
      </c>
      <c r="F101" s="357">
        <f>=IF($D101="是",$C101/(1+$E101),$C101)</f>
        <v>0</v>
      </c>
      <c r="G101" s="382">
        <v>0.05</v>
      </c>
      <c r="H101" s="378">
        <v>5</v>
      </c>
      <c r="I101" s="378">
        <f>=辅助表1评估项目基础数据表!$C$3+1</f>
        <v>3</v>
      </c>
      <c r="J101" s="380" t="s">
        <v>185</v>
      </c>
      <c r="K101" s="371" t="s"/>
      <c r="L101" s="371" t="s"/>
      <c r="M101" s="372" t="s"/>
      <c r="N101" s="372" t="s"/>
      <c r="O101" s="372" t="s"/>
      <c r="P101" s="372" t="s"/>
      <c r="Q101" s="372" t="s"/>
      <c r="R101" s="372" t="s"/>
      <c r="S101" s="372" t="s"/>
      <c r="T101" s="372" t="s"/>
      <c r="U101" s="372" t="s"/>
      <c r="V101" s="372" t="s"/>
      <c r="W101" s="372" t="s"/>
      <c r="X101" s="372" t="s"/>
      <c r="Y101" s="372" t="s"/>
      <c r="Z101" s="372" t="s"/>
      <c r="AA101" s="372" t="s"/>
      <c r="AB101" s="372" t="s"/>
      <c r="AC101" s="372" t="s"/>
      <c r="AD101" s="372" t="s"/>
      <c r="AE101" s="372" t="s"/>
      <c r="AF101" s="372" t="s"/>
    </row>
    <row r="102" spans="1:32" ht="12" hidden="true" customHeight="true">
      <c r="A102" s="297" t="s"/>
      <c r="B102" s="358" t="s">
        <v>704</v>
      </c>
      <c r="C102" s="297" t="s">
        <v>717</v>
      </c>
      <c r="D102" s="358" t="s"/>
      <c r="E102" s="358" t="s"/>
      <c r="F102" s="358" t="s"/>
      <c r="G102" s="358" t="s"/>
      <c r="H102" s="358" t="s"/>
      <c r="I102" s="358" t="s"/>
      <c r="J102" s="358" t="s"/>
      <c r="K102" s="357">
        <f>=IF(K$209&lt;$I101,0,IF($H101&gt;2,IF(K$209-$I101+1&lt;=$H101-2,(($F101-$F101*$G101)*($H101-(K$209-$I101+1)+1)*2/($H101*($H101+1))),IF(K$209-$I101+1=$H101,J102,IF(K$209-$I101+1=$H101-1,(J103-$F101*$G101)/2,0))),IF($H101&gt;1,IF(OR($H101=K$209-$I101+1,$H101=K$209-$I101+2),($F101-$F101*$G101)/2,0),IF($H101=1,IF($H101=K$209-$I101+1,$F101-$F101*$G101,0),0))))</f>
        <v>0</v>
      </c>
      <c r="L102" s="357">
        <f>=IF(L$209&lt;$I101,0,IF($H101&gt;2,IF(L$209-$I101+1&lt;=$H101-2,(($F101-$F101*$G101)*($H101-(L$209-$I101+1)+1)*2/($H101*($H101+1))),IF(L$209-$I101+1=$H101,K102,IF(L$209-$I101+1=$H101-1,(K103-$F101*$G101)/2,0))),IF($H101&gt;1,IF(OR($H101=L$209-$I101+1,$H101=L$209-$I101+2),($F101-$F101*$G101)/2,0),IF($H101=1,IF($H101=L$209-$I101+1,$F101-$F101*$G101,0),0))))</f>
        <v>0</v>
      </c>
      <c r="M102" s="357">
        <f>=IF(M$209&lt;$I101,0,IF($H101&gt;2,IF(M$209-$I101+1&lt;=$H101-2,(($F101-$F101*$G101)*($H101-(M$209-$I101+1)+1)*2/($H101*($H101+1))),IF(M$209-$I101+1=$H101,L102,IF(M$209-$I101+1=$H101-1,(L103-$F101*$G101)/2,0))),IF($H101&gt;1,IF(OR($H101=M$209-$I101+1,$H101=M$209-$I101+2),($F101-$F101*$G101)/2,0),IF($H101=1,IF($H101=M$209-$I101+1,$F101-$F101*$G101,0),0))))</f>
        <v>0</v>
      </c>
      <c r="N102" s="357">
        <f>=IF(N$209&lt;$I101,0,IF($H101&gt;2,IF(N$209-$I101+1&lt;=$H101-2,(($F101-$F101*$G101)*($H101-(N$209-$I101+1)+1)*2/($H101*($H101+1))),IF(N$209-$I101+1=$H101,M102,IF(N$209-$I101+1=$H101-1,(M103-$F101*$G101)/2,0))),IF($H101&gt;1,IF(OR($H101=N$209-$I101+1,$H101=N$209-$I101+2),($F101-$F101*$G101)/2,0),IF($H101=1,IF($H101=N$209-$I101+1,$F101-$F101*$G101,0),0))))</f>
        <v>0</v>
      </c>
      <c r="O102" s="357">
        <f>=IF(O$209&lt;$I101,0,IF($H101&gt;2,IF(O$209-$I101+1&lt;=$H101-2,(($F101-$F101*$G101)*($H101-(O$209-$I101+1)+1)*2/($H101*($H101+1))),IF(O$209-$I101+1=$H101,N102,IF(O$209-$I101+1=$H101-1,(N103-$F101*$G101)/2,0))),IF($H101&gt;1,IF(OR($H101=O$209-$I101+1,$H101=O$209-$I101+2),($F101-$F101*$G101)/2,0),IF($H101=1,IF($H101=O$209-$I101+1,$F101-$F101*$G101,0),0))))</f>
        <v>0</v>
      </c>
      <c r="P102" s="357">
        <f>=IF(P$209&lt;$I101,0,IF($H101&gt;2,IF(P$209-$I101+1&lt;=$H101-2,(($F101-$F101*$G101)*($H101-(P$209-$I101+1)+1)*2/($H101*($H101+1))),IF(P$209-$I101+1=$H101,O102,IF(P$209-$I101+1=$H101-1,(O103-$F101*$G101)/2,0))),IF($H101&gt;1,IF(OR($H101=P$209-$I101+1,$H101=P$209-$I101+2),($F101-$F101*$G101)/2,0),IF($H101=1,IF($H101=P$209-$I101+1,$F101-$F101*$G101,0),0))))</f>
        <v>0</v>
      </c>
      <c r="Q102" s="357">
        <f>=IF(Q$209&lt;$I101,0,IF($H101&gt;2,IF(Q$209-$I101+1&lt;=$H101-2,(($F101-$F101*$G101)*($H101-(Q$209-$I101+1)+1)*2/($H101*($H101+1))),IF(Q$209-$I101+1=$H101,P102,IF(Q$209-$I101+1=$H101-1,(P103-$F101*$G101)/2,0))),IF($H101&gt;1,IF(OR($H101=Q$209-$I101+1,$H101=Q$209-$I101+2),($F101-$F101*$G101)/2,0),IF($H101=1,IF($H101=Q$209-$I101+1,$F101-$F101*$G101,0),0))))</f>
        <v>0</v>
      </c>
      <c r="R102" s="357">
        <f>=IF(R$209&lt;$I101,0,IF($H101&gt;2,IF(R$209-$I101+1&lt;=$H101-2,(($F101-$F101*$G101)*($H101-(R$209-$I101+1)+1)*2/($H101*($H101+1))),IF(R$209-$I101+1=$H101,Q102,IF(R$209-$I101+1=$H101-1,(Q103-$F101*$G101)/2,0))),IF($H101&gt;1,IF(OR($H101=R$209-$I101+1,$H101=R$209-$I101+2),($F101-$F101*$G101)/2,0),IF($H101=1,IF($H101=R$209-$I101+1,$F101-$F101*$G101,0),0))))</f>
        <v>0</v>
      </c>
      <c r="S102" s="357">
        <f>=IF(S$209&lt;$I101,0,IF($H101&gt;2,IF(S$209-$I101+1&lt;=$H101-2,(($F101-$F101*$G101)*($H101-(S$209-$I101+1)+1)*2/($H101*($H101+1))),IF(S$209-$I101+1=$H101,R102,IF(S$209-$I101+1=$H101-1,(R103-$F101*$G101)/2,0))),IF($H101&gt;1,IF(OR($H101=S$209-$I101+1,$H101=S$209-$I101+2),($F101-$F101*$G101)/2,0),IF($H101=1,IF($H101=S$209-$I101+1,$F101-$F101*$G101,0),0))))</f>
        <v>0</v>
      </c>
      <c r="T102" s="357">
        <f>=IF(T$209&lt;$I101,0,IF($H101&gt;2,IF(T$209-$I101+1&lt;=$H101-2,(($F101-$F101*$G101)*($H101-(T$209-$I101+1)+1)*2/($H101*($H101+1))),IF(T$209-$I101+1=$H101,S102,IF(T$209-$I101+1=$H101-1,(S103-$F101*$G101)/2,0))),IF($H101&gt;1,IF(OR($H101=T$209-$I101+1,$H101=T$209-$I101+2),($F101-$F101*$G101)/2,0),IF($H101=1,IF($H101=T$209-$I101+1,$F101-$F101*$G101,0),0))))</f>
        <v>0</v>
      </c>
      <c r="U102" s="357">
        <f>=IF(U$209&lt;$I101,0,IF($H101&gt;2,IF(U$209-$I101+1&lt;=$H101-2,(($F101-$F101*$G101)*($H101-(U$209-$I101+1)+1)*2/($H101*($H101+1))),IF(U$209-$I101+1=$H101,T102,IF(U$209-$I101+1=$H101-1,(T103-$F101*$G101)/2,0))),IF($H101&gt;1,IF(OR($H101=U$209-$I101+1,$H101=U$209-$I101+2),($F101-$F101*$G101)/2,0),IF($H101=1,IF($H101=U$209-$I101+1,$F101-$F101*$G101,0),0))))</f>
        <v>0</v>
      </c>
      <c r="V102" s="357">
        <f>=IF(V$209&lt;$I101,0,IF($H101&gt;2,IF(V$209-$I101+1&lt;=$H101-2,(($F101-$F101*$G101)*($H101-(V$209-$I101+1)+1)*2/($H101*($H101+1))),IF(V$209-$I101+1=$H101,U102,IF(V$209-$I101+1=$H101-1,(U103-$F101*$G101)/2,0))),IF($H101&gt;1,IF(OR($H101=V$209-$I101+1,$H101=V$209-$I101+2),($F101-$F101*$G101)/2,0),IF($H101=1,IF($H101=V$209-$I101+1,$F101-$F101*$G101,0),0))))</f>
        <v>0</v>
      </c>
      <c r="W102" s="357">
        <f>=IF(W$209&lt;$I101,0,IF($H101&gt;2,IF(W$209-$I101+1&lt;=$H101-2,(($F101-$F101*$G101)*($H101-(W$209-$I101+1)+1)*2/($H101*($H101+1))),IF(W$209-$I101+1=$H101,V102,IF(W$209-$I101+1=$H101-1,(V103-$F101*$G101)/2,0))),IF($H101&gt;1,IF(OR($H101=W$209-$I101+1,$H101=W$209-$I101+2),($F101-$F101*$G101)/2,0),IF($H101=1,IF($H101=W$209-$I101+1,$F101-$F101*$G101,0),0))))</f>
        <v>0</v>
      </c>
      <c r="X102" s="357">
        <f>=IF(X$209&lt;$I101,0,IF($H101&gt;2,IF(X$209-$I101+1&lt;=$H101-2,(($F101-$F101*$G101)*($H101-(X$209-$I101+1)+1)*2/($H101*($H101+1))),IF(X$209-$I101+1=$H101,W102,IF(X$209-$I101+1=$H101-1,(W103-$F101*$G101)/2,0))),IF($H101&gt;1,IF(OR($H101=X$209-$I101+1,$H101=X$209-$I101+2),($F101-$F101*$G101)/2,0),IF($H101=1,IF($H101=X$209-$I101+1,$F101-$F101*$G101,0),0))))</f>
        <v>0</v>
      </c>
      <c r="Y102" s="357">
        <f>=IF(Y$209&lt;$I101,0,IF($H101&gt;2,IF(Y$209-$I101+1&lt;=$H101-2,(($F101-$F101*$G101)*($H101-(Y$209-$I101+1)+1)*2/($H101*($H101+1))),IF(Y$209-$I101+1=$H101,X102,IF(Y$209-$I101+1=$H101-1,(X103-$F101*$G101)/2,0))),IF($H101&gt;1,IF(OR($H101=Y$209-$I101+1,$H101=Y$209-$I101+2),($F101-$F101*$G101)/2,0),IF($H101=1,IF($H101=Y$209-$I101+1,$F101-$F101*$G101,0),0))))</f>
        <v>0</v>
      </c>
      <c r="Z102" s="357">
        <f>=IF(Z$209&lt;$I101,0,IF($H101&gt;2,IF(Z$209-$I101+1&lt;=$H101-2,(($F101-$F101*$G101)*($H101-(Z$209-$I101+1)+1)*2/($H101*($H101+1))),IF(Z$209-$I101+1=$H101,Y102,IF(Z$209-$I101+1=$H101-1,(Y103-$F101*$G101)/2,0))),IF($H101&gt;1,IF(OR($H101=Z$209-$I101+1,$H101=Z$209-$I101+2),($F101-$F101*$G101)/2,0),IF($H101=1,IF($H101=Z$209-$I101+1,$F101-$F101*$G101,0),0))))</f>
        <v>0</v>
      </c>
      <c r="AA102" s="357">
        <f>=IF(AA$209&lt;$I101,0,IF($H101&gt;2,IF(AA$209-$I101+1&lt;=$H101-2,(($F101-$F101*$G101)*($H101-(AA$209-$I101+1)+1)*2/($H101*($H101+1))),IF(AA$209-$I101+1=$H101,Z102,IF(AA$209-$I101+1=$H101-1,(Z103-$F101*$G101)/2,0))),IF($H101&gt;1,IF(OR($H101=AA$209-$I101+1,$H101=AA$209-$I101+2),($F101-$F101*$G101)/2,0),IF($H101=1,IF($H101=AA$209-$I101+1,$F101-$F101*$G101,0),0))))</f>
        <v>0</v>
      </c>
      <c r="AB102" s="357">
        <f>=IF(AB$209&lt;$I101,0,IF($H101&gt;2,IF(AB$209-$I101+1&lt;=$H101-2,(($F101-$F101*$G101)*($H101-(AB$209-$I101+1)+1)*2/($H101*($H101+1))),IF(AB$209-$I101+1=$H101,AA102,IF(AB$209-$I101+1=$H101-1,(AA103-$F101*$G101)/2,0))),IF($H101&gt;1,IF(OR($H101=AB$209-$I101+1,$H101=AB$209-$I101+2),($F101-$F101*$G101)/2,0),IF($H101=1,IF($H101=AB$209-$I101+1,$F101-$F101*$G101,0),0))))</f>
        <v>0</v>
      </c>
      <c r="AC102" s="357">
        <f>=IF(AC$209&lt;$I101,0,IF($H101&gt;2,IF(AC$209-$I101+1&lt;=$H101-2,(($F101-$F101*$G101)*($H101-(AC$209-$I101+1)+1)*2/($H101*($H101+1))),IF(AC$209-$I101+1=$H101,AB102,IF(AC$209-$I101+1=$H101-1,(AB103-$F101*$G101)/2,0))),IF($H101&gt;1,IF(OR($H101=AC$209-$I101+1,$H101=AC$209-$I101+2),($F101-$F101*$G101)/2,0),IF($H101=1,IF($H101=AC$209-$I101+1,$F101-$F101*$G101,0),0))))</f>
        <v>0</v>
      </c>
      <c r="AD102" s="357">
        <f>=IF(AD$209&lt;$I101,0,IF($H101&gt;2,IF(AD$209-$I101+1&lt;=$H101-2,(($F101-$F101*$G101)*($H101-(AD$209-$I101+1)+1)*2/($H101*($H101+1))),IF(AD$209-$I101+1=$H101,AC102,IF(AD$209-$I101+1=$H101-1,(AC103-$F101*$G101)/2,0))),IF($H101&gt;1,IF(OR($H101=AD$209-$I101+1,$H101=AD$209-$I101+2),($F101-$F101*$G101)/2,0),IF($H101=1,IF($H101=AD$209-$I101+1,$F101-$F101*$G101,0),0))))</f>
        <v>0</v>
      </c>
      <c r="AE102" s="357">
        <f>=IF(AE$209&lt;$I101,0,IF($H101&gt;2,IF(AE$209-$I101+1&lt;=$H101-2,(($F101-$F101*$G101)*($H101-(AE$209-$I101+1)+1)*2/($H101*($H101+1))),IF(AE$209-$I101+1=$H101,AD102,IF(AE$209-$I101+1=$H101-1,(AD103-$F101*$G101)/2,0))),IF($H101&gt;1,IF(OR($H101=AE$209-$I101+1,$H101=AE$209-$I101+2),($F101-$F101*$G101)/2,0),IF($H101=1,IF($H101=AE$209-$I101+1,$F101-$F101*$G101,0),0))))</f>
        <v>0</v>
      </c>
      <c r="AF102" s="357">
        <f>=IF(AF$209&lt;$I101,0,IF($H101&gt;2,IF(AF$209-$I101+1&lt;=$H101-2,(($F101-$F101*$G101)*($H101-(AF$209-$I101+1)+1)*2/($H101*($H101+1))),IF(AF$209-$I101+1=$H101,AE102,IF(AF$209-$I101+1=$H101-1,(AE103-$F101*$G101)/2,0))),IF($H101&gt;1,IF(OR($H101=AF$209-$I101+1,$H101=AF$209-$I101+2),($F101-$F101*$G101)/2,0),IF($H101=1,IF($H101=AF$209-$I101+1,$F101-$F101*$G101,0),0))))</f>
        <v>0</v>
      </c>
    </row>
    <row r="103" spans="1:32" ht="12" hidden="true" customHeight="true">
      <c r="A103" s="297" t="s"/>
      <c r="B103" s="358" t="s">
        <v>705</v>
      </c>
      <c r="C103" s="358" t="s"/>
      <c r="D103" s="358" t="s"/>
      <c r="E103" s="358" t="s"/>
      <c r="F103" s="358" t="s"/>
      <c r="G103" s="358" t="s"/>
      <c r="H103" s="358" t="s"/>
      <c r="I103" s="358" t="s"/>
      <c r="J103" s="358" t="s"/>
      <c r="K103" s="357">
        <f>=IF(K$209=$I101,$F101-K102,0)</f>
        <v>0</v>
      </c>
      <c r="L103" s="357">
        <f>=IF(L$209=$I101,$F101-L102,IF(L$209&gt;$I101,IF(AND($J101="是",L$209&gt;=$I101+$H101),0,K103-L102),0))</f>
        <v>0</v>
      </c>
      <c r="M103" s="357">
        <f>=IF(M$209=$I101,$F101-M102,IF(M$209&gt;$I101,IF(AND($J101="是",M$209&gt;=$I101+$H101),0,L103-M102),0))</f>
        <v>0</v>
      </c>
      <c r="N103" s="357">
        <f>=IF(N$209=$I101,$F101-N102,IF(N$209&gt;$I101,IF(AND($J101="是",N$209&gt;=$I101+$H101),0,M103-N102),0))</f>
        <v>0</v>
      </c>
      <c r="O103" s="357">
        <f>=IF(O$209=$I101,$F101-O102,IF(O$209&gt;$I101,IF(AND($J101="是",O$209&gt;=$I101+$H101),0,N103-O102),0))</f>
        <v>0</v>
      </c>
      <c r="P103" s="357">
        <f>=IF(P$209=$I101,$F101-P102,IF(P$209&gt;$I101,IF(AND($J101="是",P$209&gt;=$I101+$H101),0,O103-P102),0))</f>
        <v>0</v>
      </c>
      <c r="Q103" s="357">
        <f>=IF(Q$209=$I101,$F101-Q102,IF(Q$209&gt;$I101,IF(AND($J101="是",Q$209&gt;=$I101+$H101),0,P103-Q102),0))</f>
        <v>0</v>
      </c>
      <c r="R103" s="357">
        <f>=IF(R$209=$I101,$F101-R102,IF(R$209&gt;$I101,IF(AND($J101="是",R$209&gt;=$I101+$H101),0,Q103-R102),0))</f>
        <v>0</v>
      </c>
      <c r="S103" s="357">
        <f>=IF(S$209=$I101,$F101-S102,IF(S$209&gt;$I101,IF(AND($J101="是",S$209&gt;=$I101+$H101),0,R103-S102),0))</f>
        <v>0</v>
      </c>
      <c r="T103" s="357">
        <f>=IF(T$209=$I101,$F101-T102,IF(T$209&gt;$I101,IF(AND($J101="是",T$209&gt;=$I101+$H101),0,S103-T102),0))</f>
        <v>0</v>
      </c>
      <c r="U103" s="357">
        <f>=IF(U$209=$I101,$F101-U102,IF(U$209&gt;$I101,IF(AND($J101="是",U$209&gt;=$I101+$H101),0,T103-U102),0))</f>
        <v>0</v>
      </c>
      <c r="V103" s="357">
        <f>=IF(V$209=$I101,$F101-V102,IF(V$209&gt;$I101,IF(AND($J101="是",V$209&gt;=$I101+$H101),0,U103-V102),0))</f>
        <v>0</v>
      </c>
      <c r="W103" s="357">
        <f>=IF(W$209=$I101,$F101-W102,IF(W$209&gt;$I101,IF(AND($J101="是",W$209&gt;=$I101+$H101),0,V103-W102),0))</f>
        <v>0</v>
      </c>
      <c r="X103" s="357">
        <f>=IF(X$209=$I101,$F101-X102,IF(X$209&gt;$I101,IF(AND($J101="是",X$209&gt;=$I101+$H101),0,W103-X102),0))</f>
        <v>0</v>
      </c>
      <c r="Y103" s="357">
        <f>=IF(Y$209=$I101,$F101-Y102,IF(Y$209&gt;$I101,IF(AND($J101="是",Y$209&gt;=$I101+$H101),0,X103-Y102),0))</f>
        <v>0</v>
      </c>
      <c r="Z103" s="357">
        <f>=IF(Z$209=$I101,$F101-Z102,IF(Z$209&gt;$I101,IF(AND($J101="是",Z$209&gt;=$I101+$H101),0,Y103-Z102),0))</f>
        <v>0</v>
      </c>
      <c r="AA103" s="357">
        <f>=IF(AA$209=$I101,$F101-AA102,IF(AA$209&gt;$I101,IF(AND($J101="是",AA$209&gt;=$I101+$H101),0,Z103-AA102),0))</f>
        <v>0</v>
      </c>
      <c r="AB103" s="357">
        <f>=IF(AB$209=$I101,$F101-AB102,IF(AB$209&gt;$I101,IF(AND($J101="是",AB$209&gt;=$I101+$H101),0,AA103-AB102),0))</f>
        <v>0</v>
      </c>
      <c r="AC103" s="357">
        <f>=IF(AC$209=$I101,$F101-AC102,IF(AC$209&gt;$I101,IF(AND($J101="是",AC$209&gt;=$I101+$H101),0,AB103-AC102),0))</f>
        <v>0</v>
      </c>
      <c r="AD103" s="357">
        <f>=IF(AD$209=$I101,$F101-AD102,IF(AD$209&gt;$I101,IF(AND($J101="是",AD$209&gt;=$I101+$H101),0,AC103-AD102),0))</f>
        <v>0</v>
      </c>
      <c r="AE103" s="357">
        <f>=IF(AE$209=$I101,$F101-AE102,IF(AE$209&gt;$I101,IF(AND($J101="是",AE$209&gt;=$I101+$H101),0,AD103-AE102),0))</f>
        <v>0</v>
      </c>
      <c r="AF103" s="357">
        <f>=IF(AF$209=$I101,$F101-AF102,IF(AF$209&gt;$I101,IF(AND($J101="是",AF$209&gt;=$I101+$H101),0,AE103-AF102),0))</f>
        <v>0</v>
      </c>
    </row>
    <row r="104" spans="1:32" ht="12" hidden="true" customHeight="true">
      <c r="A104" s="297" t="s"/>
      <c r="B104" s="358" t="s">
        <v>706</v>
      </c>
      <c r="C104" s="358" t="s"/>
      <c r="D104" s="358" t="s"/>
      <c r="E104" s="358" t="s"/>
      <c r="F104" s="358" t="s"/>
      <c r="G104" s="358" t="s"/>
      <c r="H104" s="358" t="s"/>
      <c r="I104" s="358" t="s"/>
      <c r="J104" s="358" t="s"/>
      <c r="K104" s="357">
        <f>=IF(AND($J101="是",K$209&gt;=$H101+$I101),IF($H101&gt;2,IF(AND(MOD(K$209-$I101+1,$H101)&lt;=$H101-2,MOD(K$209-$I101+1,$H101)&gt;0),DDB($F101,$F101*$G101,$H101,MOD(K$209-$I101+1,$H101)),IF(MOD(K$209-$I101+1,$H101)=0,J104,(J105-$F101*$G101)/2)),IF($H101&gt;1,($F101-$F101*$G101)/2,IF($H101=1,$F101-$F101*$G101,0))),0)</f>
        <v>0</v>
      </c>
      <c r="L104" s="357">
        <f>=IF(AND($J101="是",L$209&gt;=$H101+$I101),IF($H101&gt;2,IF(AND(MOD(L$209-$I101+1,$H101)&lt;=$H101-2,MOD(L$209-$I101+1,$H101)&gt;0),DDB($F101,$F101*$G101,$H101,MOD(L$209-$I101+1,$H101)),IF(MOD(L$209-$I101+1,$H101)=0,K104,(K105-$F101*$G101)/2)),IF($H101&gt;1,($F101-$F101*$G101)/2,IF($H101=1,$F101-$F101*$G101,0))),0)</f>
        <v>0</v>
      </c>
      <c r="M104" s="357">
        <f>=IF(AND($J101="是",M$209&gt;=$H101+$I101),IF($H101&gt;2,IF(AND(MOD(M$209-$I101+1,$H101)&lt;=$H101-2,MOD(M$209-$I101+1,$H101)&gt;0),DDB($F101,$F101*$G101,$H101,MOD(M$209-$I101+1,$H101)),IF(MOD(M$209-$I101+1,$H101)=0,L104,(L105-$F101*$G101)/2)),IF($H101&gt;1,($F101-$F101*$G101)/2,IF($H101=1,$F101-$F101*$G101,0))),0)</f>
        <v>0</v>
      </c>
      <c r="N104" s="357">
        <f>=IF(AND($J101="是",N$209&gt;=$H101+$I101),IF($H101&gt;2,IF(AND(MOD(N$209-$I101+1,$H101)&lt;=$H101-2,MOD(N$209-$I101+1,$H101)&gt;0),DDB($F101,$F101*$G101,$H101,MOD(N$209-$I101+1,$H101)),IF(MOD(N$209-$I101+1,$H101)=0,M104,(M105-$F101*$G101)/2)),IF($H101&gt;1,($F101-$F101*$G101)/2,IF($H101=1,$F101-$F101*$G101,0))),0)</f>
        <v>0</v>
      </c>
      <c r="O104" s="357">
        <f>=IF(AND($J101="是",O$209&gt;=$H101+$I101),IF($H101&gt;2,IF(AND(MOD(O$209-$I101+1,$H101)&lt;=$H101-2,MOD(O$209-$I101+1,$H101)&gt;0),DDB($F101,$F101*$G101,$H101,MOD(O$209-$I101+1,$H101)),IF(MOD(O$209-$I101+1,$H101)=0,N104,(N105-$F101*$G101)/2)),IF($H101&gt;1,($F101-$F101*$G101)/2,IF($H101=1,$F101-$F101*$G101,0))),0)</f>
        <v>0</v>
      </c>
      <c r="P104" s="357">
        <f>=IF(AND($J101="是",P$209&gt;=$H101+$I101),IF($H101&gt;2,IF(AND(MOD(P$209-$I101+1,$H101)&lt;=$H101-2,MOD(P$209-$I101+1,$H101)&gt;0),DDB($F101,$F101*$G101,$H101,MOD(P$209-$I101+1,$H101)),IF(MOD(P$209-$I101+1,$H101)=0,O104,(O105-$F101*$G101)/2)),IF($H101&gt;1,($F101-$F101*$G101)/2,IF($H101=1,$F101-$F101*$G101,0))),0)</f>
        <v>0</v>
      </c>
      <c r="Q104" s="357">
        <f>=IF(AND($J101="是",Q$209&gt;=$H101+$I101),IF($H101&gt;2,IF(AND(MOD(Q$209-$I101+1,$H101)&lt;=$H101-2,MOD(Q$209-$I101+1,$H101)&gt;0),DDB($F101,$F101*$G101,$H101,MOD(Q$209-$I101+1,$H101)),IF(MOD(Q$209-$I101+1,$H101)=0,P104,(P105-$F101*$G101)/2)),IF($H101&gt;1,($F101-$F101*$G101)/2,IF($H101=1,$F101-$F101*$G101,0))),0)</f>
        <v>0</v>
      </c>
      <c r="R104" s="357">
        <f>=IF(AND($J101="是",R$209&gt;=$H101+$I101),IF($H101&gt;2,IF(AND(MOD(R$209-$I101+1,$H101)&lt;=$H101-2,MOD(R$209-$I101+1,$H101)&gt;0),DDB($F101,$F101*$G101,$H101,MOD(R$209-$I101+1,$H101)),IF(MOD(R$209-$I101+1,$H101)=0,Q104,(Q105-$F101*$G101)/2)),IF($H101&gt;1,($F101-$F101*$G101)/2,IF($H101=1,$F101-$F101*$G101,0))),0)</f>
        <v>0</v>
      </c>
      <c r="S104" s="357">
        <f>=IF(AND($J101="是",S$209&gt;=$H101+$I101),IF($H101&gt;2,IF(AND(MOD(S$209-$I101+1,$H101)&lt;=$H101-2,MOD(S$209-$I101+1,$H101)&gt;0),DDB($F101,$F101*$G101,$H101,MOD(S$209-$I101+1,$H101)),IF(MOD(S$209-$I101+1,$H101)=0,R104,(R105-$F101*$G101)/2)),IF($H101&gt;1,($F101-$F101*$G101)/2,IF($H101=1,$F101-$F101*$G101,0))),0)</f>
        <v>0</v>
      </c>
      <c r="T104" s="357">
        <f>=IF(AND($J101="是",T$209&gt;=$H101+$I101),IF($H101&gt;2,IF(AND(MOD(T$209-$I101+1,$H101)&lt;=$H101-2,MOD(T$209-$I101+1,$H101)&gt;0),DDB($F101,$F101*$G101,$H101,MOD(T$209-$I101+1,$H101)),IF(MOD(T$209-$I101+1,$H101)=0,S104,(S105-$F101*$G101)/2)),IF($H101&gt;1,($F101-$F101*$G101)/2,IF($H101=1,$F101-$F101*$G101,0))),0)</f>
        <v>0</v>
      </c>
      <c r="U104" s="357">
        <f>=IF(AND($J101="是",U$209&gt;=$H101+$I101),IF($H101&gt;2,IF(AND(MOD(U$209-$I101+1,$H101)&lt;=$H101-2,MOD(U$209-$I101+1,$H101)&gt;0),DDB($F101,$F101*$G101,$H101,MOD(U$209-$I101+1,$H101)),IF(MOD(U$209-$I101+1,$H101)=0,T104,(T105-$F101*$G101)/2)),IF($H101&gt;1,($F101-$F101*$G101)/2,IF($H101=1,$F101-$F101*$G101,0))),0)</f>
        <v>0</v>
      </c>
      <c r="V104" s="357">
        <f>=IF(AND($J101="是",V$209&gt;=$H101+$I101),IF($H101&gt;2,IF(AND(MOD(V$209-$I101+1,$H101)&lt;=$H101-2,MOD(V$209-$I101+1,$H101)&gt;0),DDB($F101,$F101*$G101,$H101,MOD(V$209-$I101+1,$H101)),IF(MOD(V$209-$I101+1,$H101)=0,U104,(U105-$F101*$G101)/2)),IF($H101&gt;1,($F101-$F101*$G101)/2,IF($H101=1,$F101-$F101*$G101,0))),0)</f>
        <v>0</v>
      </c>
      <c r="W104" s="357">
        <f>=IF(AND($J101="是",W$209&gt;=$H101+$I101),IF($H101&gt;2,IF(AND(MOD(W$209-$I101+1,$H101)&lt;=$H101-2,MOD(W$209-$I101+1,$H101)&gt;0),DDB($F101,$F101*$G101,$H101,MOD(W$209-$I101+1,$H101)),IF(MOD(W$209-$I101+1,$H101)=0,V104,(V105-$F101*$G101)/2)),IF($H101&gt;1,($F101-$F101*$G101)/2,IF($H101=1,$F101-$F101*$G101,0))),0)</f>
        <v>0</v>
      </c>
      <c r="X104" s="357">
        <f>=IF(AND($J101="是",X$209&gt;=$H101+$I101),IF($H101&gt;2,IF(AND(MOD(X$209-$I101+1,$H101)&lt;=$H101-2,MOD(X$209-$I101+1,$H101)&gt;0),DDB($F101,$F101*$G101,$H101,MOD(X$209-$I101+1,$H101)),IF(MOD(X$209-$I101+1,$H101)=0,W104,(W105-$F101*$G101)/2)),IF($H101&gt;1,($F101-$F101*$G101)/2,IF($H101=1,$F101-$F101*$G101,0))),0)</f>
        <v>0</v>
      </c>
      <c r="Y104" s="357">
        <f>=IF(AND($J101="是",Y$209&gt;=$H101+$I101),IF($H101&gt;2,IF(AND(MOD(Y$209-$I101+1,$H101)&lt;=$H101-2,MOD(Y$209-$I101+1,$H101)&gt;0),DDB($F101,$F101*$G101,$H101,MOD(Y$209-$I101+1,$H101)),IF(MOD(Y$209-$I101+1,$H101)=0,X104,(X105-$F101*$G101)/2)),IF($H101&gt;1,($F101-$F101*$G101)/2,IF($H101=1,$F101-$F101*$G101,0))),0)</f>
        <v>0</v>
      </c>
      <c r="Z104" s="357">
        <f>=IF(AND($J101="是",Z$209&gt;=$H101+$I101),IF($H101&gt;2,IF(AND(MOD(Z$209-$I101+1,$H101)&lt;=$H101-2,MOD(Z$209-$I101+1,$H101)&gt;0),DDB($F101,$F101*$G101,$H101,MOD(Z$209-$I101+1,$H101)),IF(MOD(Z$209-$I101+1,$H101)=0,Y104,(Y105-$F101*$G101)/2)),IF($H101&gt;1,($F101-$F101*$G101)/2,IF($H101=1,$F101-$F101*$G101,0))),0)</f>
        <v>0</v>
      </c>
      <c r="AA104" s="357">
        <f>=IF(AND($J101="是",AA$209&gt;=$H101+$I101),IF($H101&gt;2,IF(AND(MOD(AA$209-$I101+1,$H101)&lt;=$H101-2,MOD(AA$209-$I101+1,$H101)&gt;0),DDB($F101,$F101*$G101,$H101,MOD(AA$209-$I101+1,$H101)),IF(MOD(AA$209-$I101+1,$H101)=0,Z104,(Z105-$F101*$G101)/2)),IF($H101&gt;1,($F101-$F101*$G101)/2,IF($H101=1,$F101-$F101*$G101,0))),0)</f>
        <v>0</v>
      </c>
      <c r="AB104" s="357">
        <f>=IF(AND($J101="是",AB$209&gt;=$H101+$I101),IF($H101&gt;2,IF(AND(MOD(AB$209-$I101+1,$H101)&lt;=$H101-2,MOD(AB$209-$I101+1,$H101)&gt;0),DDB($F101,$F101*$G101,$H101,MOD(AB$209-$I101+1,$H101)),IF(MOD(AB$209-$I101+1,$H101)=0,AA104,(AA105-$F101*$G101)/2)),IF($H101&gt;1,($F101-$F101*$G101)/2,IF($H101=1,$F101-$F101*$G101,0))),0)</f>
        <v>0</v>
      </c>
      <c r="AC104" s="357">
        <f>=IF(AND($J101="是",AC$209&gt;=$H101+$I101),IF($H101&gt;2,IF(AND(MOD(AC$209-$I101+1,$H101)&lt;=$H101-2,MOD(AC$209-$I101+1,$H101)&gt;0),DDB($F101,$F101*$G101,$H101,MOD(AC$209-$I101+1,$H101)),IF(MOD(AC$209-$I101+1,$H101)=0,AB104,(AB105-$F101*$G101)/2)),IF($H101&gt;1,($F101-$F101*$G101)/2,IF($H101=1,$F101-$F101*$G101,0))),0)</f>
        <v>0</v>
      </c>
      <c r="AD104" s="357">
        <f>=IF(AND($J101="是",AD$209&gt;=$H101+$I101),IF($H101&gt;2,IF(AND(MOD(AD$209-$I101+1,$H101)&lt;=$H101-2,MOD(AD$209-$I101+1,$H101)&gt;0),DDB($F101,$F101*$G101,$H101,MOD(AD$209-$I101+1,$H101)),IF(MOD(AD$209-$I101+1,$H101)=0,AC104,(AC105-$F101*$G101)/2)),IF($H101&gt;1,($F101-$F101*$G101)/2,IF($H101=1,$F101-$F101*$G101,0))),0)</f>
        <v>0</v>
      </c>
      <c r="AE104" s="357">
        <f>=IF(AND($J101="是",AE$209&gt;=$H101+$I101),IF($H101&gt;2,IF(AND(MOD(AE$209-$I101+1,$H101)&lt;=$H101-2,MOD(AE$209-$I101+1,$H101)&gt;0),DDB($F101,$F101*$G101,$H101,MOD(AE$209-$I101+1,$H101)),IF(MOD(AE$209-$I101+1,$H101)=0,AD104,(AD105-$F101*$G101)/2)),IF($H101&gt;1,($F101-$F101*$G101)/2,IF($H101=1,$F101-$F101*$G101,0))),0)</f>
        <v>0</v>
      </c>
      <c r="AF104" s="357">
        <f>=IF(AND($J101="是",AF$209&gt;=$H101+$I101),IF($H101&gt;2,IF(AND(MOD(AF$209-$I101+1,$H101)&lt;=$H101-2,MOD(AF$209-$I101+1,$H101)&gt;0),DDB($F101,$F101*$G101,$H101,MOD(AF$209-$I101+1,$H101)),IF(MOD(AF$209-$I101+1,$H101)=0,AE104,(AE105-$F101*$G101)/2)),IF($H101&gt;1,($F101-$F101*$G101)/2,IF($H101=1,$F101-$F101*$G101,0))),0)</f>
        <v>0</v>
      </c>
    </row>
    <row r="105" spans="1:32" ht="12" hidden="true" customHeight="true">
      <c r="A105" s="297" t="s"/>
      <c r="B105" s="358" t="s">
        <v>707</v>
      </c>
      <c r="C105" s="358" t="s"/>
      <c r="D105" s="358" t="s"/>
      <c r="E105" s="358" t="s"/>
      <c r="F105" s="358" t="s"/>
      <c r="G105" s="358" t="s"/>
      <c r="H105" s="358" t="s"/>
      <c r="I105" s="358" t="s"/>
      <c r="J105" s="358" t="s"/>
      <c r="K105" s="357">
        <f>=IF(K$209&lt;$I101+$H101,0,IF($J101="是",IF(OR($H101=1,MOD(K$209-$I101+1,$H101)=1),$F101-K104,J105-K104),0))</f>
        <v>0</v>
      </c>
      <c r="L105" s="357">
        <f>=IF(L$209&lt;$I101+$H101,0,IF($J101="是",IF(OR($H101=1,MOD(L$209-$I101+1,$H101)=1),$F101-L104,K105-L104),0))</f>
        <v>0</v>
      </c>
      <c r="M105" s="357">
        <f>=IF(M$209&lt;$I101+$H101,0,IF($J101="是",IF(OR($H101=1,MOD(M$209-$I101+1,$H101)=1),$F101-M104,L105-M104),0))</f>
        <v>0</v>
      </c>
      <c r="N105" s="357">
        <f>=IF(N$209&lt;$I101+$H101,0,IF($J101="是",IF(OR($H101=1,MOD(N$209-$I101+1,$H101)=1),$F101-N104,M105-N104),0))</f>
        <v>0</v>
      </c>
      <c r="O105" s="357">
        <f>=IF(O$209&lt;$I101+$H101,0,IF($J101="是",IF(OR($H101=1,MOD(O$209-$I101+1,$H101)=1),$F101-O104,N105-O104),0))</f>
        <v>0</v>
      </c>
      <c r="P105" s="357">
        <f>=IF(P$209&lt;$I101+$H101,0,IF($J101="是",IF(OR($H101=1,MOD(P$209-$I101+1,$H101)=1),$F101-P104,O105-P104),0))</f>
        <v>0</v>
      </c>
      <c r="Q105" s="357">
        <f>=IF(Q$209&lt;$I101+$H101,0,IF($J101="是",IF(OR($H101=1,MOD(Q$209-$I101+1,$H101)=1),$F101-Q104,P105-Q104),0))</f>
        <v>0</v>
      </c>
      <c r="R105" s="357">
        <f>=IF(R$209&lt;$I101+$H101,0,IF($J101="是",IF(OR($H101=1,MOD(R$209-$I101+1,$H101)=1),$F101-R104,Q105-R104),0))</f>
        <v>0</v>
      </c>
      <c r="S105" s="357">
        <f>=IF(S$209&lt;$I101+$H101,0,IF($J101="是",IF(OR($H101=1,MOD(S$209-$I101+1,$H101)=1),$F101-S104,R105-S104),0))</f>
        <v>0</v>
      </c>
      <c r="T105" s="357">
        <f>=IF(T$209&lt;$I101+$H101,0,IF($J101="是",IF(OR($H101=1,MOD(T$209-$I101+1,$H101)=1),$F101-T104,S105-T104),0))</f>
        <v>0</v>
      </c>
      <c r="U105" s="357">
        <f>=IF(U$209&lt;$I101+$H101,0,IF($J101="是",IF(OR($H101=1,MOD(U$209-$I101+1,$H101)=1),$F101-U104,T105-U104),0))</f>
        <v>0</v>
      </c>
      <c r="V105" s="357">
        <f>=IF(V$209&lt;$I101+$H101,0,IF($J101="是",IF(OR($H101=1,MOD(V$209-$I101+1,$H101)=1),$F101-V104,U105-V104),0))</f>
        <v>0</v>
      </c>
      <c r="W105" s="357">
        <f>=IF(W$209&lt;$I101+$H101,0,IF($J101="是",IF(OR($H101=1,MOD(W$209-$I101+1,$H101)=1),$F101-W104,V105-W104),0))</f>
        <v>0</v>
      </c>
      <c r="X105" s="357">
        <f>=IF(X$209&lt;$I101+$H101,0,IF($J101="是",IF(OR($H101=1,MOD(X$209-$I101+1,$H101)=1),$F101-X104,W105-X104),0))</f>
        <v>0</v>
      </c>
      <c r="Y105" s="357">
        <f>=IF(Y$209&lt;$I101+$H101,0,IF($J101="是",IF(OR($H101=1,MOD(Y$209-$I101+1,$H101)=1),$F101-Y104,X105-Y104),0))</f>
        <v>0</v>
      </c>
      <c r="Z105" s="357">
        <f>=IF(Z$209&lt;$I101+$H101,0,IF($J101="是",IF(OR($H101=1,MOD(Z$209-$I101+1,$H101)=1),$F101-Z104,Y105-Z104),0))</f>
        <v>0</v>
      </c>
      <c r="AA105" s="357">
        <f>=IF(AA$209&lt;$I101+$H101,0,IF($J101="是",IF(OR($H101=1,MOD(AA$209-$I101+1,$H101)=1),$F101-AA104,Z105-AA104),0))</f>
        <v>0</v>
      </c>
      <c r="AB105" s="357">
        <f>=IF(AB$209&lt;$I101+$H101,0,IF($J101="是",IF(OR($H101=1,MOD(AB$209-$I101+1,$H101)=1),$F101-AB104,AA105-AB104),0))</f>
        <v>0</v>
      </c>
      <c r="AC105" s="357">
        <f>=IF(AC$209&lt;$I101+$H101,0,IF($J101="是",IF(OR($H101=1,MOD(AC$209-$I101+1,$H101)=1),$F101-AC104,AB105-AC104),0))</f>
        <v>0</v>
      </c>
      <c r="AD105" s="357">
        <f>=IF(AD$209&lt;$I101+$H101,0,IF($J101="是",IF(OR($H101=1,MOD(AD$209-$I101+1,$H101)=1),$F101-AD104,AC105-AD104),0))</f>
        <v>0</v>
      </c>
      <c r="AE105" s="357">
        <f>=IF(AE$209&lt;$I101+$H101,0,IF($J101="是",IF(OR($H101=1,MOD(AE$209-$I101+1,$H101)=1),$F101-AE104,AD105-AE104),0))</f>
        <v>0</v>
      </c>
      <c r="AF105" s="357">
        <f>=IF(AF$209&lt;$I101+$H101,0,IF($J101="是",IF(OR($H101=1,MOD(AF$209-$I101+1,$H101)=1),$F101-AF104,AE105-AF104),0))</f>
        <v>0</v>
      </c>
    </row>
    <row r="106" spans="1:32" ht="12" hidden="true" customHeight="true">
      <c r="A106" s="297" t="s"/>
      <c r="B106" s="358" t="s">
        <v>708</v>
      </c>
      <c r="C106" s="358" t="s"/>
      <c r="D106" s="358" t="s"/>
      <c r="E106" s="358" t="s"/>
      <c r="F106" s="358" t="s"/>
      <c r="G106" s="358" t="s"/>
      <c r="H106" s="358" t="s"/>
      <c r="I106" s="358" t="s"/>
      <c r="J106" s="358" t="s"/>
      <c r="K106" s="357">
        <f>=IF(AND($J101="是",K$209&gt;=$H101+$I101,MOD(K$209-$I101+1,$H101)=1),$F101,0)</f>
        <v>0</v>
      </c>
      <c r="L106" s="357">
        <f>=IF(AND($J101="是",L$209&gt;=$H101+$I101,MOD(L$209-$I101+1,$H101)=1),$F101,0)</f>
        <v>0</v>
      </c>
      <c r="M106" s="357">
        <f>=IF(AND($J101="是",M$209&gt;=$H101+$I101,MOD(M$209-$I101+1,$H101)=1),$F101,0)</f>
        <v>0</v>
      </c>
      <c r="N106" s="357">
        <f>=IF(AND($J101="是",N$209&gt;=$H101+$I101,MOD(N$209-$I101+1,$H101)=1),$F101,0)</f>
        <v>0</v>
      </c>
      <c r="O106" s="357">
        <f>=IF(AND($J101="是",O$209&gt;=$H101+$I101,MOD(O$209-$I101+1,$H101)=1),$F101,0)</f>
        <v>0</v>
      </c>
      <c r="P106" s="357">
        <f>=IF(AND($J101="是",P$209&gt;=$H101+$I101,MOD(P$209-$I101+1,$H101)=1),$F101,0)</f>
        <v>0</v>
      </c>
      <c r="Q106" s="357">
        <f>=IF(AND($J101="是",Q$209&gt;=$H101+$I101,MOD(Q$209-$I101+1,$H101)=1),$F101,0)</f>
        <v>0</v>
      </c>
      <c r="R106" s="357">
        <f>=IF(AND($J101="是",R$209&gt;=$H101+$I101,MOD(R$209-$I101+1,$H101)=1),$F101,0)</f>
        <v>0</v>
      </c>
      <c r="S106" s="357">
        <f>=IF(AND($J101="是",S$209&gt;=$H101+$I101,MOD(S$209-$I101+1,$H101)=1),$F101,0)</f>
        <v>0</v>
      </c>
      <c r="T106" s="357">
        <f>=IF(AND($J101="是",T$209&gt;=$H101+$I101,MOD(T$209-$I101+1,$H101)=1),$F101,0)</f>
        <v>0</v>
      </c>
      <c r="U106" s="357">
        <f>=IF(AND($J101="是",U$209&gt;=$H101+$I101,MOD(U$209-$I101+1,$H101)=1),$F101,0)</f>
        <v>0</v>
      </c>
      <c r="V106" s="357">
        <f>=IF(AND($J101="是",V$209&gt;=$H101+$I101,MOD(V$209-$I101+1,$H101)=1),$F101,0)</f>
        <v>0</v>
      </c>
      <c r="W106" s="357">
        <f>=IF(AND($J101="是",W$209&gt;=$H101+$I101,MOD(W$209-$I101+1,$H101)=1),$F101,0)</f>
        <v>0</v>
      </c>
      <c r="X106" s="357">
        <f>=IF(AND($J101="是",X$209&gt;=$H101+$I101,MOD(X$209-$I101+1,$H101)=1),$F101,0)</f>
        <v>0</v>
      </c>
      <c r="Y106" s="357">
        <f>=IF(AND($J101="是",Y$209&gt;=$H101+$I101,MOD(Y$209-$I101+1,$H101)=1),$F101,0)</f>
        <v>0</v>
      </c>
      <c r="Z106" s="357">
        <f>=IF(AND($J101="是",Z$209&gt;=$H101+$I101,MOD(Z$209-$I101+1,$H101)=1),$F101,0)</f>
        <v>0</v>
      </c>
      <c r="AA106" s="357">
        <f>=IF(AND($J101="是",AA$209&gt;=$H101+$I101,MOD(AA$209-$I101+1,$H101)=1),$F101,0)</f>
        <v>0</v>
      </c>
      <c r="AB106" s="357">
        <f>=IF(AND($J101="是",AB$209&gt;=$H101+$I101,MOD(AB$209-$I101+1,$H101)=1),$F101,0)</f>
        <v>0</v>
      </c>
      <c r="AC106" s="357">
        <f>=IF(AND($J101="是",AC$209&gt;=$H101+$I101,MOD(AC$209-$I101+1,$H101)=1),$F101,0)</f>
        <v>0</v>
      </c>
      <c r="AD106" s="357">
        <f>=IF(AND($J101="是",AD$209&gt;=$H101+$I101,MOD(AD$209-$I101+1,$H101)=1),$F101,0)</f>
        <v>0</v>
      </c>
      <c r="AE106" s="357">
        <f>=IF(AND($J101="是",AE$209&gt;=$H101+$I101,MOD(AE$209-$I101+1,$H101)=1),$F101,0)</f>
        <v>0</v>
      </c>
      <c r="AF106" s="357">
        <f>=IF(AND($J101="是",AF$209&gt;=$H101+$I101,MOD(AF$209-$I101+1,$H101)=1),$F101,0)</f>
        <v>0</v>
      </c>
    </row>
    <row r="107" spans="1:32" ht="12" hidden="true" customHeight="true">
      <c r="A107" s="297" t="s"/>
      <c r="B107" s="358" t="s">
        <v>709</v>
      </c>
      <c r="C107" s="358" t="s"/>
      <c r="D107" s="358" t="s"/>
      <c r="E107" s="358" t="s"/>
      <c r="F107" s="358" t="s"/>
      <c r="G107" s="358" t="s"/>
      <c r="H107" s="358" t="s"/>
      <c r="I107" s="358" t="s"/>
      <c r="J107" s="358" t="s"/>
      <c r="K107" s="357">
        <f>=IF(K$209=辅助表1评估项目基础数据表!$C$3+辅助表1评估项目基础数据表!$C$5,K103+K105,IF(AND($J101="是",K$209&gt;=$H101+$I101,MOD(K$209-$I101+1,$H101)=1),$F101*$G101,0))</f>
        <v>0</v>
      </c>
      <c r="L107" s="357">
        <f>=IF(L$209=辅助表1评估项目基础数据表!$C$3+辅助表1评估项目基础数据表!$C$5,L103+L105,IF(AND($J101="是",L$209&gt;=$H101+$I101,MOD(L$209-$I101+1,$H101)=1),$F101*$G101,0))</f>
        <v>0</v>
      </c>
      <c r="M107" s="357">
        <f>=IF(M$209=辅助表1评估项目基础数据表!$C$3+辅助表1评估项目基础数据表!$C$5,M103+M105,IF(AND($J101="是",M$209&gt;=$H101+$I101,MOD(M$209-$I101+1,$H101)=1),$F101*$G101,0))</f>
        <v>0</v>
      </c>
      <c r="N107" s="357">
        <f>=IF(N$209=辅助表1评估项目基础数据表!$C$3+辅助表1评估项目基础数据表!$C$5,N103+N105,IF(AND($J101="是",N$209&gt;=$H101+$I101,MOD(N$209-$I101+1,$H101)=1),$F101*$G101,0))</f>
        <v>0</v>
      </c>
      <c r="O107" s="357">
        <f>=IF(O$209=辅助表1评估项目基础数据表!$C$3+辅助表1评估项目基础数据表!$C$5,O103+O105,IF(AND($J101="是",O$209&gt;=$H101+$I101,MOD(O$209-$I101+1,$H101)=1),$F101*$G101,0))</f>
        <v>0</v>
      </c>
      <c r="P107" s="357">
        <f>=IF(P$209=辅助表1评估项目基础数据表!$C$3+辅助表1评估项目基础数据表!$C$5,P103+P105,IF(AND($J101="是",P$209&gt;=$H101+$I101,MOD(P$209-$I101+1,$H101)=1),$F101*$G101,0))</f>
        <v>0</v>
      </c>
      <c r="Q107" s="357">
        <f>=IF(Q$209=辅助表1评估项目基础数据表!$C$3+辅助表1评估项目基础数据表!$C$5,Q103+Q105,IF(AND($J101="是",Q$209&gt;=$H101+$I101,MOD(Q$209-$I101+1,$H101)=1),$F101*$G101,0))</f>
        <v>0</v>
      </c>
      <c r="R107" s="357">
        <f>=IF(R$209=辅助表1评估项目基础数据表!$C$3+辅助表1评估项目基础数据表!$C$5,R103+R105,IF(AND($J101="是",R$209&gt;=$H101+$I101,MOD(R$209-$I101+1,$H101)=1),$F101*$G101,0))</f>
        <v>0</v>
      </c>
      <c r="S107" s="357">
        <f>=IF(S$209=辅助表1评估项目基础数据表!$C$3+辅助表1评估项目基础数据表!$C$5,S103+S105,IF(AND($J101="是",S$209&gt;=$H101+$I101,MOD(S$209-$I101+1,$H101)=1),$F101*$G101,0))</f>
        <v>0</v>
      </c>
      <c r="T107" s="357">
        <f>=IF(T$209=辅助表1评估项目基础数据表!$C$3+辅助表1评估项目基础数据表!$C$5,T103+T105,IF(AND($J101="是",T$209&gt;=$H101+$I101,MOD(T$209-$I101+1,$H101)=1),$F101*$G101,0))</f>
        <v>0</v>
      </c>
      <c r="U107" s="357">
        <f>=IF(U$209=辅助表1评估项目基础数据表!$C$3+辅助表1评估项目基础数据表!$C$5,U103+U105,IF(AND($J101="是",U$209&gt;=$H101+$I101,MOD(U$209-$I101+1,$H101)=1),$F101*$G101,0))</f>
        <v>0</v>
      </c>
      <c r="V107" s="357">
        <f>=IF(V$209=辅助表1评估项目基础数据表!$C$3+辅助表1评估项目基础数据表!$C$5,V103+V105,IF(AND($J101="是",V$209&gt;=$H101+$I101,MOD(V$209-$I101+1,$H101)=1),$F101*$G101,0))</f>
        <v>0</v>
      </c>
      <c r="W107" s="357">
        <f>=IF(W$209=辅助表1评估项目基础数据表!$C$3+辅助表1评估项目基础数据表!$C$5,W103+W105,IF(AND($J101="是",W$209&gt;=$H101+$I101,MOD(W$209-$I101+1,$H101)=1),$F101*$G101,0))</f>
        <v>0</v>
      </c>
      <c r="X107" s="357">
        <f>=IF(X$209=辅助表1评估项目基础数据表!$C$3+辅助表1评估项目基础数据表!$C$5,X103+X105,IF(AND($J101="是",X$209&gt;=$H101+$I101,MOD(X$209-$I101+1,$H101)=1),$F101*$G101,0))</f>
        <v>0</v>
      </c>
      <c r="Y107" s="357">
        <f>=IF(Y$209=辅助表1评估项目基础数据表!$C$3+辅助表1评估项目基础数据表!$C$5,Y103+Y105,IF(AND($J101="是",Y$209&gt;=$H101+$I101,MOD(Y$209-$I101+1,$H101)=1),$F101*$G101,0))</f>
        <v>0</v>
      </c>
      <c r="Z107" s="357">
        <f>=IF(Z$209=辅助表1评估项目基础数据表!$C$3+辅助表1评估项目基础数据表!$C$5,Z103+Z105,IF(AND($J101="是",Z$209&gt;=$H101+$I101,MOD(Z$209-$I101+1,$H101)=1),$F101*$G101,0))</f>
        <v>0</v>
      </c>
      <c r="AA107" s="357">
        <f>=IF(AA$209=辅助表1评估项目基础数据表!$C$3+辅助表1评估项目基础数据表!$C$5,AA103+AA105,IF(AND($J101="是",AA$209&gt;=$H101+$I101,MOD(AA$209-$I101+1,$H101)=1),$F101*$G101,0))</f>
        <v>0</v>
      </c>
      <c r="AB107" s="357">
        <f>=IF(AB$209=辅助表1评估项目基础数据表!$C$3+辅助表1评估项目基础数据表!$C$5,AB103+AB105,IF(AND($J101="是",AB$209&gt;=$H101+$I101,MOD(AB$209-$I101+1,$H101)=1),$F101*$G101,0))</f>
        <v>0</v>
      </c>
      <c r="AC107" s="357">
        <f>=IF(AC$209=辅助表1评估项目基础数据表!$C$3+辅助表1评估项目基础数据表!$C$5,AC103+AC105,IF(AND($J101="是",AC$209&gt;=$H101+$I101,MOD(AC$209-$I101+1,$H101)=1),$F101*$G101,0))</f>
        <v>0</v>
      </c>
      <c r="AD107" s="357">
        <f>=IF(AD$209=辅助表1评估项目基础数据表!$C$3+辅助表1评估项目基础数据表!$C$5,AD103+AD105,IF(AND($J101="是",AD$209&gt;=$H101+$I101,MOD(AD$209-$I101+1,$H101)=1),$F101*$G101,0))</f>
        <v>0</v>
      </c>
      <c r="AE107" s="357">
        <f>=IF(AE$209=辅助表1评估项目基础数据表!$C$3+辅助表1评估项目基础数据表!$C$5,AE103+AE105,IF(AND($J101="是",AE$209&gt;=$H101+$I101,MOD(AE$209-$I101+1,$H101)=1),$F101*$G101,0))</f>
        <v>0</v>
      </c>
      <c r="AF107" s="357">
        <f>=IF(AF$209=辅助表1评估项目基础数据表!$C$3+辅助表1评估项目基础数据表!$C$5,AF103+AF105,IF(AND($J101="是",AF$209&gt;=$H101+$I101,MOD(AF$209-$I101+1,$H101)=1),$F101*$G101,0))</f>
        <v>0</v>
      </c>
    </row>
    <row r="108" spans="1:32" ht="12" hidden="true" customHeight="true">
      <c r="A108" s="297" t="s"/>
      <c r="B108" s="358" t="s">
        <v>710</v>
      </c>
      <c r="C108" s="358" t="s"/>
      <c r="D108" s="358" t="s"/>
      <c r="E108" s="358" t="s"/>
      <c r="F108" s="357">
        <f>=IF($D101="是",$C101*$E101/(1+$E101),0)</f>
        <v>0</v>
      </c>
      <c r="G108" s="358" t="s"/>
      <c r="H108" s="358" t="s"/>
      <c r="I108" s="358" t="s"/>
      <c r="J108" s="358" t="s"/>
      <c r="K108" s="357">
        <f>=IF($J101="是",IF(AND(K$209-$I101+1&gt;0,MOD(K$209-$I101+1,$H101)=1),$F108,0),IF(K$209-$I101+1=1,$F108,0))</f>
        <v>0</v>
      </c>
      <c r="L108" s="357">
        <f>=IF($J101="是",IF(AND(L$209-$I101+1&gt;0,MOD(L$209-$I101+1,$H101)=1),$F108,0),IF(L$209-$I101+1=1,$F108,0))</f>
        <v>0</v>
      </c>
      <c r="M108" s="357">
        <f>=IF($J101="是",IF(AND(M$209-$I101+1&gt;0,MOD(M$209-$I101+1,$H101)=1),$F108,0),IF(M$209-$I101+1=1,$F108,0))</f>
        <v>0</v>
      </c>
      <c r="N108" s="357">
        <f>=IF($J101="是",IF(AND(N$209-$I101+1&gt;0,MOD(N$209-$I101+1,$H101)=1),$F108,0),IF(N$209-$I101+1=1,$F108,0))</f>
        <v>0</v>
      </c>
      <c r="O108" s="357">
        <f>=IF($J101="是",IF(AND(O$209-$I101+1&gt;0,MOD(O$209-$I101+1,$H101)=1),$F108,0),IF(O$209-$I101+1=1,$F108,0))</f>
        <v>0</v>
      </c>
      <c r="P108" s="357">
        <f>=IF($J101="是",IF(AND(P$209-$I101+1&gt;0,MOD(P$209-$I101+1,$H101)=1),$F108,0),IF(P$209-$I101+1=1,$F108,0))</f>
        <v>0</v>
      </c>
      <c r="Q108" s="357">
        <f>=IF($J101="是",IF(AND(Q$209-$I101+1&gt;0,MOD(Q$209-$I101+1,$H101)=1),$F108,0),IF(Q$209-$I101+1=1,$F108,0))</f>
        <v>0</v>
      </c>
      <c r="R108" s="357">
        <f>=IF($J101="是",IF(AND(R$209-$I101+1&gt;0,MOD(R$209-$I101+1,$H101)=1),$F108,0),IF(R$209-$I101+1=1,$F108,0))</f>
        <v>0</v>
      </c>
      <c r="S108" s="357">
        <f>=IF($J101="是",IF(AND(S$209-$I101+1&gt;0,MOD(S$209-$I101+1,$H101)=1),$F108,0),IF(S$209-$I101+1=1,$F108,0))</f>
        <v>0</v>
      </c>
      <c r="T108" s="357">
        <f>=IF($J101="是",IF(AND(T$209-$I101+1&gt;0,MOD(T$209-$I101+1,$H101)=1),$F108,0),IF(T$209-$I101+1=1,$F108,0))</f>
        <v>0</v>
      </c>
      <c r="U108" s="357">
        <f>=IF($J101="是",IF(AND(U$209-$I101+1&gt;0,MOD(U$209-$I101+1,$H101)=1),$F108,0),IF(U$209-$I101+1=1,$F108,0))</f>
        <v>0</v>
      </c>
      <c r="V108" s="357">
        <f>=IF($J101="是",IF(AND(V$209-$I101+1&gt;0,MOD(V$209-$I101+1,$H101)=1),$F108,0),IF(V$209-$I101+1=1,$F108,0))</f>
        <v>0</v>
      </c>
      <c r="W108" s="357">
        <f>=IF($J101="是",IF(AND(W$209-$I101+1&gt;0,MOD(W$209-$I101+1,$H101)=1),$F108,0),IF(W$209-$I101+1=1,$F108,0))</f>
        <v>0</v>
      </c>
      <c r="X108" s="357">
        <f>=IF($J101="是",IF(AND(X$209-$I101+1&gt;0,MOD(X$209-$I101+1,$H101)=1),$F108,0),IF(X$209-$I101+1=1,$F108,0))</f>
        <v>0</v>
      </c>
      <c r="Y108" s="357">
        <f>=IF($J101="是",IF(AND(Y$209-$I101+1&gt;0,MOD(Y$209-$I101+1,$H101)=1),$F108,0),IF(Y$209-$I101+1=1,$F108,0))</f>
        <v>0</v>
      </c>
      <c r="Z108" s="357">
        <f>=IF($J101="是",IF(AND(Z$209-$I101+1&gt;0,MOD(Z$209-$I101+1,$H101)=1),$F108,0),IF(Z$209-$I101+1=1,$F108,0))</f>
        <v>0</v>
      </c>
      <c r="AA108" s="357">
        <f>=IF($J101="是",IF(AND(AA$209-$I101+1&gt;0,MOD(AA$209-$I101+1,$H101)=1),$F108,0),IF(AA$209-$I101+1=1,$F108,0))</f>
        <v>0</v>
      </c>
      <c r="AB108" s="357">
        <f>=IF($J101="是",IF(AND(AB$209-$I101+1&gt;0,MOD(AB$209-$I101+1,$H101)=1),$F108,0),IF(AB$209-$I101+1=1,$F108,0))</f>
        <v>0</v>
      </c>
      <c r="AC108" s="357">
        <f>=IF($J101="是",IF(AND(AC$209-$I101+1&gt;0,MOD(AC$209-$I101+1,$H101)=1),$F108,0),IF(AC$209-$I101+1=1,$F108,0))</f>
        <v>0</v>
      </c>
      <c r="AD108" s="357">
        <f>=IF($J101="是",IF(AND(AD$209-$I101+1&gt;0,MOD(AD$209-$I101+1,$H101)=1),$F108,0),IF(AD$209-$I101+1=1,$F108,0))</f>
        <v>0</v>
      </c>
      <c r="AE108" s="357">
        <f>=IF($J101="是",IF(AND(AE$209-$I101+1&gt;0,MOD(AE$209-$I101+1,$H101)=1),$F108,0),IF(AE$209-$I101+1=1,$F108,0))</f>
        <v>0</v>
      </c>
      <c r="AF108" s="357">
        <f>=IF($J101="是",IF(AND(AF$209-$I101+1&gt;0,MOD(AF$209-$I101+1,$H101)=1),$F108,0),IF(AF$209-$I101+1=1,$F108,0))</f>
        <v>0</v>
      </c>
    </row>
    <row r="109" spans="1:32" ht="12" hidden="true" customHeight="true">
      <c r="A109" s="297">
        <v>12</v>
      </c>
      <c r="B109" s="358" t="s">
        <v>712</v>
      </c>
      <c r="C109" s="379" t="s"/>
      <c r="D109" s="380" t="s">
        <v>185</v>
      </c>
      <c r="E109" s="381">
        <v>0.13</v>
      </c>
      <c r="F109" s="357">
        <f>=IF($D109="是",$C109/(1+$E109),$C109)</f>
        <v>0</v>
      </c>
      <c r="G109" s="382">
        <v>0.05</v>
      </c>
      <c r="H109" s="378">
        <v>5</v>
      </c>
      <c r="I109" s="378">
        <f>=辅助表1评估项目基础数据表!$C$3+1</f>
        <v>3</v>
      </c>
      <c r="J109" s="380" t="s">
        <v>185</v>
      </c>
      <c r="K109" s="371" t="s"/>
      <c r="L109" s="371" t="s"/>
      <c r="M109" s="372" t="s"/>
      <c r="N109" s="372" t="s"/>
      <c r="O109" s="372" t="s"/>
      <c r="P109" s="372" t="s"/>
      <c r="Q109" s="372" t="s"/>
      <c r="R109" s="372" t="s"/>
      <c r="S109" s="372" t="s"/>
      <c r="T109" s="372" t="s"/>
      <c r="U109" s="372" t="s"/>
      <c r="V109" s="372" t="s"/>
      <c r="W109" s="372" t="s"/>
      <c r="X109" s="372" t="s"/>
      <c r="Y109" s="372" t="s"/>
      <c r="Z109" s="372" t="s"/>
      <c r="AA109" s="372" t="s"/>
      <c r="AB109" s="372" t="s"/>
      <c r="AC109" s="372" t="s"/>
      <c r="AD109" s="372" t="s"/>
      <c r="AE109" s="372" t="s"/>
      <c r="AF109" s="372" t="s"/>
    </row>
    <row r="110" spans="1:32" ht="12" hidden="true" customHeight="true">
      <c r="A110" s="297" t="s"/>
      <c r="B110" s="358" t="s">
        <v>704</v>
      </c>
      <c r="C110" s="297" t="s">
        <v>717</v>
      </c>
      <c r="D110" s="358" t="s"/>
      <c r="E110" s="358" t="s"/>
      <c r="F110" s="358" t="s"/>
      <c r="G110" s="358" t="s"/>
      <c r="H110" s="358" t="s"/>
      <c r="I110" s="358" t="s"/>
      <c r="J110" s="358" t="s"/>
      <c r="K110" s="357">
        <f>=IF(K$209&lt;$I109,0,IF($H109&gt;2,IF(K$209-$I109+1&lt;=$H109-2,(($F109-$F109*$G109)*($H109-(K$209-$I109+1)+1)*2/($H109*($H109+1))),IF(K$209-$I109+1=$H109,J110,IF(K$209-$I109+1=$H109-1,(J111-$F109*$G109)/2,0))),IF($H109&gt;1,IF(OR($H109=K$209-$I109+1,$H109=K$209-$I109+2),($F109-$F109*$G109)/2,0),IF($H109=1,IF($H109=K$209-$I109+1,$F109-$F109*$G109,0),0))))</f>
        <v>0</v>
      </c>
      <c r="L110" s="357">
        <f>=IF(L$209&lt;$I109,0,IF($H109&gt;2,IF(L$209-$I109+1&lt;=$H109-2,(($F109-$F109*$G109)*($H109-(L$209-$I109+1)+1)*2/($H109*($H109+1))),IF(L$209-$I109+1=$H109,K110,IF(L$209-$I109+1=$H109-1,(K111-$F109*$G109)/2,0))),IF($H109&gt;1,IF(OR($H109=L$209-$I109+1,$H109=L$209-$I109+2),($F109-$F109*$G109)/2,0),IF($H109=1,IF($H109=L$209-$I109+1,$F109-$F109*$G109,0),0))))</f>
        <v>0</v>
      </c>
      <c r="M110" s="357">
        <f>=IF(M$209&lt;$I109,0,IF($H109&gt;2,IF(M$209-$I109+1&lt;=$H109-2,(($F109-$F109*$G109)*($H109-(M$209-$I109+1)+1)*2/($H109*($H109+1))),IF(M$209-$I109+1=$H109,L110,IF(M$209-$I109+1=$H109-1,(L111-$F109*$G109)/2,0))),IF($H109&gt;1,IF(OR($H109=M$209-$I109+1,$H109=M$209-$I109+2),($F109-$F109*$G109)/2,0),IF($H109=1,IF($H109=M$209-$I109+1,$F109-$F109*$G109,0),0))))</f>
        <v>0</v>
      </c>
      <c r="N110" s="357">
        <f>=IF(N$209&lt;$I109,0,IF($H109&gt;2,IF(N$209-$I109+1&lt;=$H109-2,(($F109-$F109*$G109)*($H109-(N$209-$I109+1)+1)*2/($H109*($H109+1))),IF(N$209-$I109+1=$H109,M110,IF(N$209-$I109+1=$H109-1,(M111-$F109*$G109)/2,0))),IF($H109&gt;1,IF(OR($H109=N$209-$I109+1,$H109=N$209-$I109+2),($F109-$F109*$G109)/2,0),IF($H109=1,IF($H109=N$209-$I109+1,$F109-$F109*$G109,0),0))))</f>
        <v>0</v>
      </c>
      <c r="O110" s="357">
        <f>=IF(O$209&lt;$I109,0,IF($H109&gt;2,IF(O$209-$I109+1&lt;=$H109-2,(($F109-$F109*$G109)*($H109-(O$209-$I109+1)+1)*2/($H109*($H109+1))),IF(O$209-$I109+1=$H109,N110,IF(O$209-$I109+1=$H109-1,(N111-$F109*$G109)/2,0))),IF($H109&gt;1,IF(OR($H109=O$209-$I109+1,$H109=O$209-$I109+2),($F109-$F109*$G109)/2,0),IF($H109=1,IF($H109=O$209-$I109+1,$F109-$F109*$G109,0),0))))</f>
        <v>0</v>
      </c>
      <c r="P110" s="357">
        <f>=IF(P$209&lt;$I109,0,IF($H109&gt;2,IF(P$209-$I109+1&lt;=$H109-2,(($F109-$F109*$G109)*($H109-(P$209-$I109+1)+1)*2/($H109*($H109+1))),IF(P$209-$I109+1=$H109,O110,IF(P$209-$I109+1=$H109-1,(O111-$F109*$G109)/2,0))),IF($H109&gt;1,IF(OR($H109=P$209-$I109+1,$H109=P$209-$I109+2),($F109-$F109*$G109)/2,0),IF($H109=1,IF($H109=P$209-$I109+1,$F109-$F109*$G109,0),0))))</f>
        <v>0</v>
      </c>
      <c r="Q110" s="357">
        <f>=IF(Q$209&lt;$I109,0,IF($H109&gt;2,IF(Q$209-$I109+1&lt;=$H109-2,(($F109-$F109*$G109)*($H109-(Q$209-$I109+1)+1)*2/($H109*($H109+1))),IF(Q$209-$I109+1=$H109,P110,IF(Q$209-$I109+1=$H109-1,(P111-$F109*$G109)/2,0))),IF($H109&gt;1,IF(OR($H109=Q$209-$I109+1,$H109=Q$209-$I109+2),($F109-$F109*$G109)/2,0),IF($H109=1,IF($H109=Q$209-$I109+1,$F109-$F109*$G109,0),0))))</f>
        <v>0</v>
      </c>
      <c r="R110" s="357">
        <f>=IF(R$209&lt;$I109,0,IF($H109&gt;2,IF(R$209-$I109+1&lt;=$H109-2,(($F109-$F109*$G109)*($H109-(R$209-$I109+1)+1)*2/($H109*($H109+1))),IF(R$209-$I109+1=$H109,Q110,IF(R$209-$I109+1=$H109-1,(Q111-$F109*$G109)/2,0))),IF($H109&gt;1,IF(OR($H109=R$209-$I109+1,$H109=R$209-$I109+2),($F109-$F109*$G109)/2,0),IF($H109=1,IF($H109=R$209-$I109+1,$F109-$F109*$G109,0),0))))</f>
        <v>0</v>
      </c>
      <c r="S110" s="357">
        <f>=IF(S$209&lt;$I109,0,IF($H109&gt;2,IF(S$209-$I109+1&lt;=$H109-2,(($F109-$F109*$G109)*($H109-(S$209-$I109+1)+1)*2/($H109*($H109+1))),IF(S$209-$I109+1=$H109,R110,IF(S$209-$I109+1=$H109-1,(R111-$F109*$G109)/2,0))),IF($H109&gt;1,IF(OR($H109=S$209-$I109+1,$H109=S$209-$I109+2),($F109-$F109*$G109)/2,0),IF($H109=1,IF($H109=S$209-$I109+1,$F109-$F109*$G109,0),0))))</f>
        <v>0</v>
      </c>
      <c r="T110" s="357">
        <f>=IF(T$209&lt;$I109,0,IF($H109&gt;2,IF(T$209-$I109+1&lt;=$H109-2,(($F109-$F109*$G109)*($H109-(T$209-$I109+1)+1)*2/($H109*($H109+1))),IF(T$209-$I109+1=$H109,S110,IF(T$209-$I109+1=$H109-1,(S111-$F109*$G109)/2,0))),IF($H109&gt;1,IF(OR($H109=T$209-$I109+1,$H109=T$209-$I109+2),($F109-$F109*$G109)/2,0),IF($H109=1,IF($H109=T$209-$I109+1,$F109-$F109*$G109,0),0))))</f>
        <v>0</v>
      </c>
      <c r="U110" s="357">
        <f>=IF(U$209&lt;$I109,0,IF($H109&gt;2,IF(U$209-$I109+1&lt;=$H109-2,(($F109-$F109*$G109)*($H109-(U$209-$I109+1)+1)*2/($H109*($H109+1))),IF(U$209-$I109+1=$H109,T110,IF(U$209-$I109+1=$H109-1,(T111-$F109*$G109)/2,0))),IF($H109&gt;1,IF(OR($H109=U$209-$I109+1,$H109=U$209-$I109+2),($F109-$F109*$G109)/2,0),IF($H109=1,IF($H109=U$209-$I109+1,$F109-$F109*$G109,0),0))))</f>
        <v>0</v>
      </c>
      <c r="V110" s="357">
        <f>=IF(V$209&lt;$I109,0,IF($H109&gt;2,IF(V$209-$I109+1&lt;=$H109-2,(($F109-$F109*$G109)*($H109-(V$209-$I109+1)+1)*2/($H109*($H109+1))),IF(V$209-$I109+1=$H109,U110,IF(V$209-$I109+1=$H109-1,(U111-$F109*$G109)/2,0))),IF($H109&gt;1,IF(OR($H109=V$209-$I109+1,$H109=V$209-$I109+2),($F109-$F109*$G109)/2,0),IF($H109=1,IF($H109=V$209-$I109+1,$F109-$F109*$G109,0),0))))</f>
        <v>0</v>
      </c>
      <c r="W110" s="357">
        <f>=IF(W$209&lt;$I109,0,IF($H109&gt;2,IF(W$209-$I109+1&lt;=$H109-2,(($F109-$F109*$G109)*($H109-(W$209-$I109+1)+1)*2/($H109*($H109+1))),IF(W$209-$I109+1=$H109,V110,IF(W$209-$I109+1=$H109-1,(V111-$F109*$G109)/2,0))),IF($H109&gt;1,IF(OR($H109=W$209-$I109+1,$H109=W$209-$I109+2),($F109-$F109*$G109)/2,0),IF($H109=1,IF($H109=W$209-$I109+1,$F109-$F109*$G109,0),0))))</f>
        <v>0</v>
      </c>
      <c r="X110" s="357">
        <f>=IF(X$209&lt;$I109,0,IF($H109&gt;2,IF(X$209-$I109+1&lt;=$H109-2,(($F109-$F109*$G109)*($H109-(X$209-$I109+1)+1)*2/($H109*($H109+1))),IF(X$209-$I109+1=$H109,W110,IF(X$209-$I109+1=$H109-1,(W111-$F109*$G109)/2,0))),IF($H109&gt;1,IF(OR($H109=X$209-$I109+1,$H109=X$209-$I109+2),($F109-$F109*$G109)/2,0),IF($H109=1,IF($H109=X$209-$I109+1,$F109-$F109*$G109,0),0))))</f>
        <v>0</v>
      </c>
      <c r="Y110" s="357">
        <f>=IF(Y$209&lt;$I109,0,IF($H109&gt;2,IF(Y$209-$I109+1&lt;=$H109-2,(($F109-$F109*$G109)*($H109-(Y$209-$I109+1)+1)*2/($H109*($H109+1))),IF(Y$209-$I109+1=$H109,X110,IF(Y$209-$I109+1=$H109-1,(X111-$F109*$G109)/2,0))),IF($H109&gt;1,IF(OR($H109=Y$209-$I109+1,$H109=Y$209-$I109+2),($F109-$F109*$G109)/2,0),IF($H109=1,IF($H109=Y$209-$I109+1,$F109-$F109*$G109,0),0))))</f>
        <v>0</v>
      </c>
      <c r="Z110" s="357">
        <f>=IF(Z$209&lt;$I109,0,IF($H109&gt;2,IF(Z$209-$I109+1&lt;=$H109-2,(($F109-$F109*$G109)*($H109-(Z$209-$I109+1)+1)*2/($H109*($H109+1))),IF(Z$209-$I109+1=$H109,Y110,IF(Z$209-$I109+1=$H109-1,(Y111-$F109*$G109)/2,0))),IF($H109&gt;1,IF(OR($H109=Z$209-$I109+1,$H109=Z$209-$I109+2),($F109-$F109*$G109)/2,0),IF($H109=1,IF($H109=Z$209-$I109+1,$F109-$F109*$G109,0),0))))</f>
        <v>0</v>
      </c>
      <c r="AA110" s="357">
        <f>=IF(AA$209&lt;$I109,0,IF($H109&gt;2,IF(AA$209-$I109+1&lt;=$H109-2,(($F109-$F109*$G109)*($H109-(AA$209-$I109+1)+1)*2/($H109*($H109+1))),IF(AA$209-$I109+1=$H109,Z110,IF(AA$209-$I109+1=$H109-1,(Z111-$F109*$G109)/2,0))),IF($H109&gt;1,IF(OR($H109=AA$209-$I109+1,$H109=AA$209-$I109+2),($F109-$F109*$G109)/2,0),IF($H109=1,IF($H109=AA$209-$I109+1,$F109-$F109*$G109,0),0))))</f>
        <v>0</v>
      </c>
      <c r="AB110" s="357">
        <f>=IF(AB$209&lt;$I109,0,IF($H109&gt;2,IF(AB$209-$I109+1&lt;=$H109-2,(($F109-$F109*$G109)*($H109-(AB$209-$I109+1)+1)*2/($H109*($H109+1))),IF(AB$209-$I109+1=$H109,AA110,IF(AB$209-$I109+1=$H109-1,(AA111-$F109*$G109)/2,0))),IF($H109&gt;1,IF(OR($H109=AB$209-$I109+1,$H109=AB$209-$I109+2),($F109-$F109*$G109)/2,0),IF($H109=1,IF($H109=AB$209-$I109+1,$F109-$F109*$G109,0),0))))</f>
        <v>0</v>
      </c>
      <c r="AC110" s="357">
        <f>=IF(AC$209&lt;$I109,0,IF($H109&gt;2,IF(AC$209-$I109+1&lt;=$H109-2,(($F109-$F109*$G109)*($H109-(AC$209-$I109+1)+1)*2/($H109*($H109+1))),IF(AC$209-$I109+1=$H109,AB110,IF(AC$209-$I109+1=$H109-1,(AB111-$F109*$G109)/2,0))),IF($H109&gt;1,IF(OR($H109=AC$209-$I109+1,$H109=AC$209-$I109+2),($F109-$F109*$G109)/2,0),IF($H109=1,IF($H109=AC$209-$I109+1,$F109-$F109*$G109,0),0))))</f>
        <v>0</v>
      </c>
      <c r="AD110" s="357">
        <f>=IF(AD$209&lt;$I109,0,IF($H109&gt;2,IF(AD$209-$I109+1&lt;=$H109-2,(($F109-$F109*$G109)*($H109-(AD$209-$I109+1)+1)*2/($H109*($H109+1))),IF(AD$209-$I109+1=$H109,AC110,IF(AD$209-$I109+1=$H109-1,(AC111-$F109*$G109)/2,0))),IF($H109&gt;1,IF(OR($H109=AD$209-$I109+1,$H109=AD$209-$I109+2),($F109-$F109*$G109)/2,0),IF($H109=1,IF($H109=AD$209-$I109+1,$F109-$F109*$G109,0),0))))</f>
        <v>0</v>
      </c>
      <c r="AE110" s="357">
        <f>=IF(AE$209&lt;$I109,0,IF($H109&gt;2,IF(AE$209-$I109+1&lt;=$H109-2,(($F109-$F109*$G109)*($H109-(AE$209-$I109+1)+1)*2/($H109*($H109+1))),IF(AE$209-$I109+1=$H109,AD110,IF(AE$209-$I109+1=$H109-1,(AD111-$F109*$G109)/2,0))),IF($H109&gt;1,IF(OR($H109=AE$209-$I109+1,$H109=AE$209-$I109+2),($F109-$F109*$G109)/2,0),IF($H109=1,IF($H109=AE$209-$I109+1,$F109-$F109*$G109,0),0))))</f>
        <v>0</v>
      </c>
      <c r="AF110" s="357">
        <f>=IF(AF$209&lt;$I109,0,IF($H109&gt;2,IF(AF$209-$I109+1&lt;=$H109-2,(($F109-$F109*$G109)*($H109-(AF$209-$I109+1)+1)*2/($H109*($H109+1))),IF(AF$209-$I109+1=$H109,AE110,IF(AF$209-$I109+1=$H109-1,(AE111-$F109*$G109)/2,0))),IF($H109&gt;1,IF(OR($H109=AF$209-$I109+1,$H109=AF$209-$I109+2),($F109-$F109*$G109)/2,0),IF($H109=1,IF($H109=AF$209-$I109+1,$F109-$F109*$G109,0),0))))</f>
        <v>0</v>
      </c>
    </row>
    <row r="111" spans="1:32" ht="12" hidden="true" customHeight="true">
      <c r="A111" s="297" t="s"/>
      <c r="B111" s="358" t="s">
        <v>705</v>
      </c>
      <c r="C111" s="358" t="s"/>
      <c r="D111" s="358" t="s"/>
      <c r="E111" s="358" t="s"/>
      <c r="F111" s="358" t="s"/>
      <c r="G111" s="358" t="s"/>
      <c r="H111" s="358" t="s"/>
      <c r="I111" s="358" t="s"/>
      <c r="J111" s="358" t="s"/>
      <c r="K111" s="357">
        <f>=IF(K$209=$I109,$F109-K110,0)</f>
        <v>0</v>
      </c>
      <c r="L111" s="357">
        <f>=IF(L$209=$I109,$F109-L110,IF(L$209&gt;$I109,IF(AND($J109="是",L$209&gt;=$I109+$H109),0,K111-L110),0))</f>
        <v>0</v>
      </c>
      <c r="M111" s="357">
        <f>=IF(M$209=$I109,$F109-M110,IF(M$209&gt;$I109,IF(AND($J109="是",M$209&gt;=$I109+$H109),0,L111-M110),0))</f>
        <v>0</v>
      </c>
      <c r="N111" s="357">
        <f>=IF(N$209=$I109,$F109-N110,IF(N$209&gt;$I109,IF(AND($J109="是",N$209&gt;=$I109+$H109),0,M111-N110),0))</f>
        <v>0</v>
      </c>
      <c r="O111" s="357">
        <f>=IF(O$209=$I109,$F109-O110,IF(O$209&gt;$I109,IF(AND($J109="是",O$209&gt;=$I109+$H109),0,N111-O110),0))</f>
        <v>0</v>
      </c>
      <c r="P111" s="357">
        <f>=IF(P$209=$I109,$F109-P110,IF(P$209&gt;$I109,IF(AND($J109="是",P$209&gt;=$I109+$H109),0,O111-P110),0))</f>
        <v>0</v>
      </c>
      <c r="Q111" s="357">
        <f>=IF(Q$209=$I109,$F109-Q110,IF(Q$209&gt;$I109,IF(AND($J109="是",Q$209&gt;=$I109+$H109),0,P111-Q110),0))</f>
        <v>0</v>
      </c>
      <c r="R111" s="357">
        <f>=IF(R$209=$I109,$F109-R110,IF(R$209&gt;$I109,IF(AND($J109="是",R$209&gt;=$I109+$H109),0,Q111-R110),0))</f>
        <v>0</v>
      </c>
      <c r="S111" s="357">
        <f>=IF(S$209=$I109,$F109-S110,IF(S$209&gt;$I109,IF(AND($J109="是",S$209&gt;=$I109+$H109),0,R111-S110),0))</f>
        <v>0</v>
      </c>
      <c r="T111" s="357">
        <f>=IF(T$209=$I109,$F109-T110,IF(T$209&gt;$I109,IF(AND($J109="是",T$209&gt;=$I109+$H109),0,S111-T110),0))</f>
        <v>0</v>
      </c>
      <c r="U111" s="357">
        <f>=IF(U$209=$I109,$F109-U110,IF(U$209&gt;$I109,IF(AND($J109="是",U$209&gt;=$I109+$H109),0,T111-U110),0))</f>
        <v>0</v>
      </c>
      <c r="V111" s="357">
        <f>=IF(V$209=$I109,$F109-V110,IF(V$209&gt;$I109,IF(AND($J109="是",V$209&gt;=$I109+$H109),0,U111-V110),0))</f>
        <v>0</v>
      </c>
      <c r="W111" s="357">
        <f>=IF(W$209=$I109,$F109-W110,IF(W$209&gt;$I109,IF(AND($J109="是",W$209&gt;=$I109+$H109),0,V111-W110),0))</f>
        <v>0</v>
      </c>
      <c r="X111" s="357">
        <f>=IF(X$209=$I109,$F109-X110,IF(X$209&gt;$I109,IF(AND($J109="是",X$209&gt;=$I109+$H109),0,W111-X110),0))</f>
        <v>0</v>
      </c>
      <c r="Y111" s="357">
        <f>=IF(Y$209=$I109,$F109-Y110,IF(Y$209&gt;$I109,IF(AND($J109="是",Y$209&gt;=$I109+$H109),0,X111-Y110),0))</f>
        <v>0</v>
      </c>
      <c r="Z111" s="357">
        <f>=IF(Z$209=$I109,$F109-Z110,IF(Z$209&gt;$I109,IF(AND($J109="是",Z$209&gt;=$I109+$H109),0,Y111-Z110),0))</f>
        <v>0</v>
      </c>
      <c r="AA111" s="357">
        <f>=IF(AA$209=$I109,$F109-AA110,IF(AA$209&gt;$I109,IF(AND($J109="是",AA$209&gt;=$I109+$H109),0,Z111-AA110),0))</f>
        <v>0</v>
      </c>
      <c r="AB111" s="357">
        <f>=IF(AB$209=$I109,$F109-AB110,IF(AB$209&gt;$I109,IF(AND($J109="是",AB$209&gt;=$I109+$H109),0,AA111-AB110),0))</f>
        <v>0</v>
      </c>
      <c r="AC111" s="357">
        <f>=IF(AC$209=$I109,$F109-AC110,IF(AC$209&gt;$I109,IF(AND($J109="是",AC$209&gt;=$I109+$H109),0,AB111-AC110),0))</f>
        <v>0</v>
      </c>
      <c r="AD111" s="357">
        <f>=IF(AD$209=$I109,$F109-AD110,IF(AD$209&gt;$I109,IF(AND($J109="是",AD$209&gt;=$I109+$H109),0,AC111-AD110),0))</f>
        <v>0</v>
      </c>
      <c r="AE111" s="357">
        <f>=IF(AE$209=$I109,$F109-AE110,IF(AE$209&gt;$I109,IF(AND($J109="是",AE$209&gt;=$I109+$H109),0,AD111-AE110),0))</f>
        <v>0</v>
      </c>
      <c r="AF111" s="357">
        <f>=IF(AF$209=$I109,$F109-AF110,IF(AF$209&gt;$I109,IF(AND($J109="是",AF$209&gt;=$I109+$H109),0,AE111-AF110),0))</f>
        <v>0</v>
      </c>
    </row>
    <row r="112" spans="1:32" ht="12" hidden="true" customHeight="true">
      <c r="A112" s="297" t="s"/>
      <c r="B112" s="358" t="s">
        <v>706</v>
      </c>
      <c r="C112" s="358" t="s"/>
      <c r="D112" s="358" t="s"/>
      <c r="E112" s="358" t="s"/>
      <c r="F112" s="358" t="s"/>
      <c r="G112" s="358" t="s"/>
      <c r="H112" s="358" t="s"/>
      <c r="I112" s="358" t="s"/>
      <c r="J112" s="358" t="s"/>
      <c r="K112" s="357">
        <f>=IF(AND($J109="是",K$209&gt;=$H109+$I109),IF($H109&gt;2,IF(AND(MOD(K$209-$I109+1,$H109)&lt;=$H109-2,MOD(K$209-$I109+1,$H109)&gt;0),DDB($F109,$F109*$G109,$H109,MOD(K$209-$I109+1,$H109)),IF(MOD(K$209-$I109+1,$H109)=0,J112,(J113-$F109*$G109)/2)),IF($H109&gt;1,($F109-$F109*$G109)/2,IF($H109=1,$F109-$F109*$G109,0))),0)</f>
        <v>0</v>
      </c>
      <c r="L112" s="357">
        <f>=IF(AND($J109="是",L$209&gt;=$H109+$I109),IF($H109&gt;2,IF(AND(MOD(L$209-$I109+1,$H109)&lt;=$H109-2,MOD(L$209-$I109+1,$H109)&gt;0),DDB($F109,$F109*$G109,$H109,MOD(L$209-$I109+1,$H109)),IF(MOD(L$209-$I109+1,$H109)=0,K112,(K113-$F109*$G109)/2)),IF($H109&gt;1,($F109-$F109*$G109)/2,IF($H109=1,$F109-$F109*$G109,0))),0)</f>
        <v>0</v>
      </c>
      <c r="M112" s="357">
        <f>=IF(AND($J109="是",M$209&gt;=$H109+$I109),IF($H109&gt;2,IF(AND(MOD(M$209-$I109+1,$H109)&lt;=$H109-2,MOD(M$209-$I109+1,$H109)&gt;0),DDB($F109,$F109*$G109,$H109,MOD(M$209-$I109+1,$H109)),IF(MOD(M$209-$I109+1,$H109)=0,L112,(L113-$F109*$G109)/2)),IF($H109&gt;1,($F109-$F109*$G109)/2,IF($H109=1,$F109-$F109*$G109,0))),0)</f>
        <v>0</v>
      </c>
      <c r="N112" s="357">
        <f>=IF(AND($J109="是",N$209&gt;=$H109+$I109),IF($H109&gt;2,IF(AND(MOD(N$209-$I109+1,$H109)&lt;=$H109-2,MOD(N$209-$I109+1,$H109)&gt;0),DDB($F109,$F109*$G109,$H109,MOD(N$209-$I109+1,$H109)),IF(MOD(N$209-$I109+1,$H109)=0,M112,(M113-$F109*$G109)/2)),IF($H109&gt;1,($F109-$F109*$G109)/2,IF($H109=1,$F109-$F109*$G109,0))),0)</f>
        <v>0</v>
      </c>
      <c r="O112" s="357">
        <f>=IF(AND($J109="是",O$209&gt;=$H109+$I109),IF($H109&gt;2,IF(AND(MOD(O$209-$I109+1,$H109)&lt;=$H109-2,MOD(O$209-$I109+1,$H109)&gt;0),DDB($F109,$F109*$G109,$H109,MOD(O$209-$I109+1,$H109)),IF(MOD(O$209-$I109+1,$H109)=0,N112,(N113-$F109*$G109)/2)),IF($H109&gt;1,($F109-$F109*$G109)/2,IF($H109=1,$F109-$F109*$G109,0))),0)</f>
        <v>0</v>
      </c>
      <c r="P112" s="357">
        <f>=IF(AND($J109="是",P$209&gt;=$H109+$I109),IF($H109&gt;2,IF(AND(MOD(P$209-$I109+1,$H109)&lt;=$H109-2,MOD(P$209-$I109+1,$H109)&gt;0),DDB($F109,$F109*$G109,$H109,MOD(P$209-$I109+1,$H109)),IF(MOD(P$209-$I109+1,$H109)=0,O112,(O113-$F109*$G109)/2)),IF($H109&gt;1,($F109-$F109*$G109)/2,IF($H109=1,$F109-$F109*$G109,0))),0)</f>
        <v>0</v>
      </c>
      <c r="Q112" s="357">
        <f>=IF(AND($J109="是",Q$209&gt;=$H109+$I109),IF($H109&gt;2,IF(AND(MOD(Q$209-$I109+1,$H109)&lt;=$H109-2,MOD(Q$209-$I109+1,$H109)&gt;0),DDB($F109,$F109*$G109,$H109,MOD(Q$209-$I109+1,$H109)),IF(MOD(Q$209-$I109+1,$H109)=0,P112,(P113-$F109*$G109)/2)),IF($H109&gt;1,($F109-$F109*$G109)/2,IF($H109=1,$F109-$F109*$G109,0))),0)</f>
        <v>0</v>
      </c>
      <c r="R112" s="357">
        <f>=IF(AND($J109="是",R$209&gt;=$H109+$I109),IF($H109&gt;2,IF(AND(MOD(R$209-$I109+1,$H109)&lt;=$H109-2,MOD(R$209-$I109+1,$H109)&gt;0),DDB($F109,$F109*$G109,$H109,MOD(R$209-$I109+1,$H109)),IF(MOD(R$209-$I109+1,$H109)=0,Q112,(Q113-$F109*$G109)/2)),IF($H109&gt;1,($F109-$F109*$G109)/2,IF($H109=1,$F109-$F109*$G109,0))),0)</f>
        <v>0</v>
      </c>
      <c r="S112" s="357">
        <f>=IF(AND($J109="是",S$209&gt;=$H109+$I109),IF($H109&gt;2,IF(AND(MOD(S$209-$I109+1,$H109)&lt;=$H109-2,MOD(S$209-$I109+1,$H109)&gt;0),DDB($F109,$F109*$G109,$H109,MOD(S$209-$I109+1,$H109)),IF(MOD(S$209-$I109+1,$H109)=0,R112,(R113-$F109*$G109)/2)),IF($H109&gt;1,($F109-$F109*$G109)/2,IF($H109=1,$F109-$F109*$G109,0))),0)</f>
        <v>0</v>
      </c>
      <c r="T112" s="357">
        <f>=IF(AND($J109="是",T$209&gt;=$H109+$I109),IF($H109&gt;2,IF(AND(MOD(T$209-$I109+1,$H109)&lt;=$H109-2,MOD(T$209-$I109+1,$H109)&gt;0),DDB($F109,$F109*$G109,$H109,MOD(T$209-$I109+1,$H109)),IF(MOD(T$209-$I109+1,$H109)=0,S112,(S113-$F109*$G109)/2)),IF($H109&gt;1,($F109-$F109*$G109)/2,IF($H109=1,$F109-$F109*$G109,0))),0)</f>
        <v>0</v>
      </c>
      <c r="U112" s="357">
        <f>=IF(AND($J109="是",U$209&gt;=$H109+$I109),IF($H109&gt;2,IF(AND(MOD(U$209-$I109+1,$H109)&lt;=$H109-2,MOD(U$209-$I109+1,$H109)&gt;0),DDB($F109,$F109*$G109,$H109,MOD(U$209-$I109+1,$H109)),IF(MOD(U$209-$I109+1,$H109)=0,T112,(T113-$F109*$G109)/2)),IF($H109&gt;1,($F109-$F109*$G109)/2,IF($H109=1,$F109-$F109*$G109,0))),0)</f>
        <v>0</v>
      </c>
      <c r="V112" s="357">
        <f>=IF(AND($J109="是",V$209&gt;=$H109+$I109),IF($H109&gt;2,IF(AND(MOD(V$209-$I109+1,$H109)&lt;=$H109-2,MOD(V$209-$I109+1,$H109)&gt;0),DDB($F109,$F109*$G109,$H109,MOD(V$209-$I109+1,$H109)),IF(MOD(V$209-$I109+1,$H109)=0,U112,(U113-$F109*$G109)/2)),IF($H109&gt;1,($F109-$F109*$G109)/2,IF($H109=1,$F109-$F109*$G109,0))),0)</f>
        <v>0</v>
      </c>
      <c r="W112" s="357">
        <f>=IF(AND($J109="是",W$209&gt;=$H109+$I109),IF($H109&gt;2,IF(AND(MOD(W$209-$I109+1,$H109)&lt;=$H109-2,MOD(W$209-$I109+1,$H109)&gt;0),DDB($F109,$F109*$G109,$H109,MOD(W$209-$I109+1,$H109)),IF(MOD(W$209-$I109+1,$H109)=0,V112,(V113-$F109*$G109)/2)),IF($H109&gt;1,($F109-$F109*$G109)/2,IF($H109=1,$F109-$F109*$G109,0))),0)</f>
        <v>0</v>
      </c>
      <c r="X112" s="357">
        <f>=IF(AND($J109="是",X$209&gt;=$H109+$I109),IF($H109&gt;2,IF(AND(MOD(X$209-$I109+1,$H109)&lt;=$H109-2,MOD(X$209-$I109+1,$H109)&gt;0),DDB($F109,$F109*$G109,$H109,MOD(X$209-$I109+1,$H109)),IF(MOD(X$209-$I109+1,$H109)=0,W112,(W113-$F109*$G109)/2)),IF($H109&gt;1,($F109-$F109*$G109)/2,IF($H109=1,$F109-$F109*$G109,0))),0)</f>
        <v>0</v>
      </c>
      <c r="Y112" s="357">
        <f>=IF(AND($J109="是",Y$209&gt;=$H109+$I109),IF($H109&gt;2,IF(AND(MOD(Y$209-$I109+1,$H109)&lt;=$H109-2,MOD(Y$209-$I109+1,$H109)&gt;0),DDB($F109,$F109*$G109,$H109,MOD(Y$209-$I109+1,$H109)),IF(MOD(Y$209-$I109+1,$H109)=0,X112,(X113-$F109*$G109)/2)),IF($H109&gt;1,($F109-$F109*$G109)/2,IF($H109=1,$F109-$F109*$G109,0))),0)</f>
        <v>0</v>
      </c>
      <c r="Z112" s="357">
        <f>=IF(AND($J109="是",Z$209&gt;=$H109+$I109),IF($H109&gt;2,IF(AND(MOD(Z$209-$I109+1,$H109)&lt;=$H109-2,MOD(Z$209-$I109+1,$H109)&gt;0),DDB($F109,$F109*$G109,$H109,MOD(Z$209-$I109+1,$H109)),IF(MOD(Z$209-$I109+1,$H109)=0,Y112,(Y113-$F109*$G109)/2)),IF($H109&gt;1,($F109-$F109*$G109)/2,IF($H109=1,$F109-$F109*$G109,0))),0)</f>
        <v>0</v>
      </c>
      <c r="AA112" s="357">
        <f>=IF(AND($J109="是",AA$209&gt;=$H109+$I109),IF($H109&gt;2,IF(AND(MOD(AA$209-$I109+1,$H109)&lt;=$H109-2,MOD(AA$209-$I109+1,$H109)&gt;0),DDB($F109,$F109*$G109,$H109,MOD(AA$209-$I109+1,$H109)),IF(MOD(AA$209-$I109+1,$H109)=0,Z112,(Z113-$F109*$G109)/2)),IF($H109&gt;1,($F109-$F109*$G109)/2,IF($H109=1,$F109-$F109*$G109,0))),0)</f>
        <v>0</v>
      </c>
      <c r="AB112" s="357">
        <f>=IF(AND($J109="是",AB$209&gt;=$H109+$I109),IF($H109&gt;2,IF(AND(MOD(AB$209-$I109+1,$H109)&lt;=$H109-2,MOD(AB$209-$I109+1,$H109)&gt;0),DDB($F109,$F109*$G109,$H109,MOD(AB$209-$I109+1,$H109)),IF(MOD(AB$209-$I109+1,$H109)=0,AA112,(AA113-$F109*$G109)/2)),IF($H109&gt;1,($F109-$F109*$G109)/2,IF($H109=1,$F109-$F109*$G109,0))),0)</f>
        <v>0</v>
      </c>
      <c r="AC112" s="357">
        <f>=IF(AND($J109="是",AC$209&gt;=$H109+$I109),IF($H109&gt;2,IF(AND(MOD(AC$209-$I109+1,$H109)&lt;=$H109-2,MOD(AC$209-$I109+1,$H109)&gt;0),DDB($F109,$F109*$G109,$H109,MOD(AC$209-$I109+1,$H109)),IF(MOD(AC$209-$I109+1,$H109)=0,AB112,(AB113-$F109*$G109)/2)),IF($H109&gt;1,($F109-$F109*$G109)/2,IF($H109=1,$F109-$F109*$G109,0))),0)</f>
        <v>0</v>
      </c>
      <c r="AD112" s="357">
        <f>=IF(AND($J109="是",AD$209&gt;=$H109+$I109),IF($H109&gt;2,IF(AND(MOD(AD$209-$I109+1,$H109)&lt;=$H109-2,MOD(AD$209-$I109+1,$H109)&gt;0),DDB($F109,$F109*$G109,$H109,MOD(AD$209-$I109+1,$H109)),IF(MOD(AD$209-$I109+1,$H109)=0,AC112,(AC113-$F109*$G109)/2)),IF($H109&gt;1,($F109-$F109*$G109)/2,IF($H109=1,$F109-$F109*$G109,0))),0)</f>
        <v>0</v>
      </c>
      <c r="AE112" s="357">
        <f>=IF(AND($J109="是",AE$209&gt;=$H109+$I109),IF($H109&gt;2,IF(AND(MOD(AE$209-$I109+1,$H109)&lt;=$H109-2,MOD(AE$209-$I109+1,$H109)&gt;0),DDB($F109,$F109*$G109,$H109,MOD(AE$209-$I109+1,$H109)),IF(MOD(AE$209-$I109+1,$H109)=0,AD112,(AD113-$F109*$G109)/2)),IF($H109&gt;1,($F109-$F109*$G109)/2,IF($H109=1,$F109-$F109*$G109,0))),0)</f>
        <v>0</v>
      </c>
      <c r="AF112" s="357">
        <f>=IF(AND($J109="是",AF$209&gt;=$H109+$I109),IF($H109&gt;2,IF(AND(MOD(AF$209-$I109+1,$H109)&lt;=$H109-2,MOD(AF$209-$I109+1,$H109)&gt;0),DDB($F109,$F109*$G109,$H109,MOD(AF$209-$I109+1,$H109)),IF(MOD(AF$209-$I109+1,$H109)=0,AE112,(AE113-$F109*$G109)/2)),IF($H109&gt;1,($F109-$F109*$G109)/2,IF($H109=1,$F109-$F109*$G109,0))),0)</f>
        <v>0</v>
      </c>
    </row>
    <row r="113" spans="1:32" ht="12" hidden="true" customHeight="true">
      <c r="A113" s="297" t="s"/>
      <c r="B113" s="358" t="s">
        <v>707</v>
      </c>
      <c r="C113" s="358" t="s"/>
      <c r="D113" s="358" t="s"/>
      <c r="E113" s="358" t="s"/>
      <c r="F113" s="358" t="s"/>
      <c r="G113" s="358" t="s"/>
      <c r="H113" s="358" t="s"/>
      <c r="I113" s="358" t="s"/>
      <c r="J113" s="358" t="s"/>
      <c r="K113" s="357">
        <f>=IF(K$209&lt;$I109+$H109,0,IF($J109="是",IF(OR($H109=1,MOD(K$209-$I109+1,$H109)=1),$F109-K112,J113-K112),0))</f>
        <v>0</v>
      </c>
      <c r="L113" s="357">
        <f>=IF(L$209&lt;$I109+$H109,0,IF($J109="是",IF(OR($H109=1,MOD(L$209-$I109+1,$H109)=1),$F109-L112,K113-L112),0))</f>
        <v>0</v>
      </c>
      <c r="M113" s="357">
        <f>=IF(M$209&lt;$I109+$H109,0,IF($J109="是",IF(OR($H109=1,MOD(M$209-$I109+1,$H109)=1),$F109-M112,L113-M112),0))</f>
        <v>0</v>
      </c>
      <c r="N113" s="357">
        <f>=IF(N$209&lt;$I109+$H109,0,IF($J109="是",IF(OR($H109=1,MOD(N$209-$I109+1,$H109)=1),$F109-N112,M113-N112),0))</f>
        <v>0</v>
      </c>
      <c r="O113" s="357">
        <f>=IF(O$209&lt;$I109+$H109,0,IF($J109="是",IF(OR($H109=1,MOD(O$209-$I109+1,$H109)=1),$F109-O112,N113-O112),0))</f>
        <v>0</v>
      </c>
      <c r="P113" s="357">
        <f>=IF(P$209&lt;$I109+$H109,0,IF($J109="是",IF(OR($H109=1,MOD(P$209-$I109+1,$H109)=1),$F109-P112,O113-P112),0))</f>
        <v>0</v>
      </c>
      <c r="Q113" s="357">
        <f>=IF(Q$209&lt;$I109+$H109,0,IF($J109="是",IF(OR($H109=1,MOD(Q$209-$I109+1,$H109)=1),$F109-Q112,P113-Q112),0))</f>
        <v>0</v>
      </c>
      <c r="R113" s="357">
        <f>=IF(R$209&lt;$I109+$H109,0,IF($J109="是",IF(OR($H109=1,MOD(R$209-$I109+1,$H109)=1),$F109-R112,Q113-R112),0))</f>
        <v>0</v>
      </c>
      <c r="S113" s="357">
        <f>=IF(S$209&lt;$I109+$H109,0,IF($J109="是",IF(OR($H109=1,MOD(S$209-$I109+1,$H109)=1),$F109-S112,R113-S112),0))</f>
        <v>0</v>
      </c>
      <c r="T113" s="357">
        <f>=IF(T$209&lt;$I109+$H109,0,IF($J109="是",IF(OR($H109=1,MOD(T$209-$I109+1,$H109)=1),$F109-T112,S113-T112),0))</f>
        <v>0</v>
      </c>
      <c r="U113" s="357">
        <f>=IF(U$209&lt;$I109+$H109,0,IF($J109="是",IF(OR($H109=1,MOD(U$209-$I109+1,$H109)=1),$F109-U112,T113-U112),0))</f>
        <v>0</v>
      </c>
      <c r="V113" s="357">
        <f>=IF(V$209&lt;$I109+$H109,0,IF($J109="是",IF(OR($H109=1,MOD(V$209-$I109+1,$H109)=1),$F109-V112,U113-V112),0))</f>
        <v>0</v>
      </c>
      <c r="W113" s="357">
        <f>=IF(W$209&lt;$I109+$H109,0,IF($J109="是",IF(OR($H109=1,MOD(W$209-$I109+1,$H109)=1),$F109-W112,V113-W112),0))</f>
        <v>0</v>
      </c>
      <c r="X113" s="357">
        <f>=IF(X$209&lt;$I109+$H109,0,IF($J109="是",IF(OR($H109=1,MOD(X$209-$I109+1,$H109)=1),$F109-X112,W113-X112),0))</f>
        <v>0</v>
      </c>
      <c r="Y113" s="357">
        <f>=IF(Y$209&lt;$I109+$H109,0,IF($J109="是",IF(OR($H109=1,MOD(Y$209-$I109+1,$H109)=1),$F109-Y112,X113-Y112),0))</f>
        <v>0</v>
      </c>
      <c r="Z113" s="357">
        <f>=IF(Z$209&lt;$I109+$H109,0,IF($J109="是",IF(OR($H109=1,MOD(Z$209-$I109+1,$H109)=1),$F109-Z112,Y113-Z112),0))</f>
        <v>0</v>
      </c>
      <c r="AA113" s="357">
        <f>=IF(AA$209&lt;$I109+$H109,0,IF($J109="是",IF(OR($H109=1,MOD(AA$209-$I109+1,$H109)=1),$F109-AA112,Z113-AA112),0))</f>
        <v>0</v>
      </c>
      <c r="AB113" s="357">
        <f>=IF(AB$209&lt;$I109+$H109,0,IF($J109="是",IF(OR($H109=1,MOD(AB$209-$I109+1,$H109)=1),$F109-AB112,AA113-AB112),0))</f>
        <v>0</v>
      </c>
      <c r="AC113" s="357">
        <f>=IF(AC$209&lt;$I109+$H109,0,IF($J109="是",IF(OR($H109=1,MOD(AC$209-$I109+1,$H109)=1),$F109-AC112,AB113-AC112),0))</f>
        <v>0</v>
      </c>
      <c r="AD113" s="357">
        <f>=IF(AD$209&lt;$I109+$H109,0,IF($J109="是",IF(OR($H109=1,MOD(AD$209-$I109+1,$H109)=1),$F109-AD112,AC113-AD112),0))</f>
        <v>0</v>
      </c>
      <c r="AE113" s="357">
        <f>=IF(AE$209&lt;$I109+$H109,0,IF($J109="是",IF(OR($H109=1,MOD(AE$209-$I109+1,$H109)=1),$F109-AE112,AD113-AE112),0))</f>
        <v>0</v>
      </c>
      <c r="AF113" s="357">
        <f>=IF(AF$209&lt;$I109+$H109,0,IF($J109="是",IF(OR($H109=1,MOD(AF$209-$I109+1,$H109)=1),$F109-AF112,AE113-AF112),0))</f>
        <v>0</v>
      </c>
    </row>
    <row r="114" spans="1:32" ht="12" hidden="true" customHeight="true">
      <c r="A114" s="297" t="s"/>
      <c r="B114" s="358" t="s">
        <v>708</v>
      </c>
      <c r="C114" s="358" t="s"/>
      <c r="D114" s="358" t="s"/>
      <c r="E114" s="358" t="s"/>
      <c r="F114" s="358" t="s"/>
      <c r="G114" s="358" t="s"/>
      <c r="H114" s="358" t="s"/>
      <c r="I114" s="358" t="s"/>
      <c r="J114" s="358" t="s"/>
      <c r="K114" s="357">
        <f>=IF(AND($J109="是",K$209&gt;=$H109+$I109,MOD(K$209-$I109+1,$H109)=1),$F109,0)</f>
        <v>0</v>
      </c>
      <c r="L114" s="357">
        <f>=IF(AND($J109="是",L$209&gt;=$H109+$I109,MOD(L$209-$I109+1,$H109)=1),$F109,0)</f>
        <v>0</v>
      </c>
      <c r="M114" s="357">
        <f>=IF(AND($J109="是",M$209&gt;=$H109+$I109,MOD(M$209-$I109+1,$H109)=1),$F109,0)</f>
        <v>0</v>
      </c>
      <c r="N114" s="357">
        <f>=IF(AND($J109="是",N$209&gt;=$H109+$I109,MOD(N$209-$I109+1,$H109)=1),$F109,0)</f>
        <v>0</v>
      </c>
      <c r="O114" s="357">
        <f>=IF(AND($J109="是",O$209&gt;=$H109+$I109,MOD(O$209-$I109+1,$H109)=1),$F109,0)</f>
        <v>0</v>
      </c>
      <c r="P114" s="357">
        <f>=IF(AND($J109="是",P$209&gt;=$H109+$I109,MOD(P$209-$I109+1,$H109)=1),$F109,0)</f>
        <v>0</v>
      </c>
      <c r="Q114" s="357">
        <f>=IF(AND($J109="是",Q$209&gt;=$H109+$I109,MOD(Q$209-$I109+1,$H109)=1),$F109,0)</f>
        <v>0</v>
      </c>
      <c r="R114" s="357">
        <f>=IF(AND($J109="是",R$209&gt;=$H109+$I109,MOD(R$209-$I109+1,$H109)=1),$F109,0)</f>
        <v>0</v>
      </c>
      <c r="S114" s="357">
        <f>=IF(AND($J109="是",S$209&gt;=$H109+$I109,MOD(S$209-$I109+1,$H109)=1),$F109,0)</f>
        <v>0</v>
      </c>
      <c r="T114" s="357">
        <f>=IF(AND($J109="是",T$209&gt;=$H109+$I109,MOD(T$209-$I109+1,$H109)=1),$F109,0)</f>
        <v>0</v>
      </c>
      <c r="U114" s="357">
        <f>=IF(AND($J109="是",U$209&gt;=$H109+$I109,MOD(U$209-$I109+1,$H109)=1),$F109,0)</f>
        <v>0</v>
      </c>
      <c r="V114" s="357">
        <f>=IF(AND($J109="是",V$209&gt;=$H109+$I109,MOD(V$209-$I109+1,$H109)=1),$F109,0)</f>
        <v>0</v>
      </c>
      <c r="W114" s="357">
        <f>=IF(AND($J109="是",W$209&gt;=$H109+$I109,MOD(W$209-$I109+1,$H109)=1),$F109,0)</f>
        <v>0</v>
      </c>
      <c r="X114" s="357">
        <f>=IF(AND($J109="是",X$209&gt;=$H109+$I109,MOD(X$209-$I109+1,$H109)=1),$F109,0)</f>
        <v>0</v>
      </c>
      <c r="Y114" s="357">
        <f>=IF(AND($J109="是",Y$209&gt;=$H109+$I109,MOD(Y$209-$I109+1,$H109)=1),$F109,0)</f>
        <v>0</v>
      </c>
      <c r="Z114" s="357">
        <f>=IF(AND($J109="是",Z$209&gt;=$H109+$I109,MOD(Z$209-$I109+1,$H109)=1),$F109,0)</f>
        <v>0</v>
      </c>
      <c r="AA114" s="357">
        <f>=IF(AND($J109="是",AA$209&gt;=$H109+$I109,MOD(AA$209-$I109+1,$H109)=1),$F109,0)</f>
        <v>0</v>
      </c>
      <c r="AB114" s="357">
        <f>=IF(AND($J109="是",AB$209&gt;=$H109+$I109,MOD(AB$209-$I109+1,$H109)=1),$F109,0)</f>
        <v>0</v>
      </c>
      <c r="AC114" s="357">
        <f>=IF(AND($J109="是",AC$209&gt;=$H109+$I109,MOD(AC$209-$I109+1,$H109)=1),$F109,0)</f>
        <v>0</v>
      </c>
      <c r="AD114" s="357">
        <f>=IF(AND($J109="是",AD$209&gt;=$H109+$I109,MOD(AD$209-$I109+1,$H109)=1),$F109,0)</f>
        <v>0</v>
      </c>
      <c r="AE114" s="357">
        <f>=IF(AND($J109="是",AE$209&gt;=$H109+$I109,MOD(AE$209-$I109+1,$H109)=1),$F109,0)</f>
        <v>0</v>
      </c>
      <c r="AF114" s="357">
        <f>=IF(AND($J109="是",AF$209&gt;=$H109+$I109,MOD(AF$209-$I109+1,$H109)=1),$F109,0)</f>
        <v>0</v>
      </c>
    </row>
    <row r="115" spans="1:32" ht="12" hidden="true" customHeight="true">
      <c r="A115" s="297" t="s"/>
      <c r="B115" s="358" t="s">
        <v>709</v>
      </c>
      <c r="C115" s="358" t="s"/>
      <c r="D115" s="358" t="s"/>
      <c r="E115" s="358" t="s"/>
      <c r="F115" s="358" t="s"/>
      <c r="G115" s="358" t="s"/>
      <c r="H115" s="358" t="s"/>
      <c r="I115" s="358" t="s"/>
      <c r="J115" s="358" t="s"/>
      <c r="K115" s="357">
        <f>=IF(K$209=辅助表1评估项目基础数据表!$C$3+辅助表1评估项目基础数据表!$C$5,K111+K113,IF(AND($J109="是",K$209&gt;=$H109+$I109,MOD(K$209-$I109+1,$H109)=1),$F109*$G109,0))</f>
        <v>0</v>
      </c>
      <c r="L115" s="357">
        <f>=IF(L$209=辅助表1评估项目基础数据表!$C$3+辅助表1评估项目基础数据表!$C$5,L111+L113,IF(AND($J109="是",L$209&gt;=$H109+$I109,MOD(L$209-$I109+1,$H109)=1),$F109*$G109,0))</f>
        <v>0</v>
      </c>
      <c r="M115" s="357">
        <f>=IF(M$209=辅助表1评估项目基础数据表!$C$3+辅助表1评估项目基础数据表!$C$5,M111+M113,IF(AND($J109="是",M$209&gt;=$H109+$I109,MOD(M$209-$I109+1,$H109)=1),$F109*$G109,0))</f>
        <v>0</v>
      </c>
      <c r="N115" s="357">
        <f>=IF(N$209=辅助表1评估项目基础数据表!$C$3+辅助表1评估项目基础数据表!$C$5,N111+N113,IF(AND($J109="是",N$209&gt;=$H109+$I109,MOD(N$209-$I109+1,$H109)=1),$F109*$G109,0))</f>
        <v>0</v>
      </c>
      <c r="O115" s="357">
        <f>=IF(O$209=辅助表1评估项目基础数据表!$C$3+辅助表1评估项目基础数据表!$C$5,O111+O113,IF(AND($J109="是",O$209&gt;=$H109+$I109,MOD(O$209-$I109+1,$H109)=1),$F109*$G109,0))</f>
        <v>0</v>
      </c>
      <c r="P115" s="357">
        <f>=IF(P$209=辅助表1评估项目基础数据表!$C$3+辅助表1评估项目基础数据表!$C$5,P111+P113,IF(AND($J109="是",P$209&gt;=$H109+$I109,MOD(P$209-$I109+1,$H109)=1),$F109*$G109,0))</f>
        <v>0</v>
      </c>
      <c r="Q115" s="357">
        <f>=IF(Q$209=辅助表1评估项目基础数据表!$C$3+辅助表1评估项目基础数据表!$C$5,Q111+Q113,IF(AND($J109="是",Q$209&gt;=$H109+$I109,MOD(Q$209-$I109+1,$H109)=1),$F109*$G109,0))</f>
        <v>0</v>
      </c>
      <c r="R115" s="357">
        <f>=IF(R$209=辅助表1评估项目基础数据表!$C$3+辅助表1评估项目基础数据表!$C$5,R111+R113,IF(AND($J109="是",R$209&gt;=$H109+$I109,MOD(R$209-$I109+1,$H109)=1),$F109*$G109,0))</f>
        <v>0</v>
      </c>
      <c r="S115" s="357">
        <f>=IF(S$209=辅助表1评估项目基础数据表!$C$3+辅助表1评估项目基础数据表!$C$5,S111+S113,IF(AND($J109="是",S$209&gt;=$H109+$I109,MOD(S$209-$I109+1,$H109)=1),$F109*$G109,0))</f>
        <v>0</v>
      </c>
      <c r="T115" s="357">
        <f>=IF(T$209=辅助表1评估项目基础数据表!$C$3+辅助表1评估项目基础数据表!$C$5,T111+T113,IF(AND($J109="是",T$209&gt;=$H109+$I109,MOD(T$209-$I109+1,$H109)=1),$F109*$G109,0))</f>
        <v>0</v>
      </c>
      <c r="U115" s="357">
        <f>=IF(U$209=辅助表1评估项目基础数据表!$C$3+辅助表1评估项目基础数据表!$C$5,U111+U113,IF(AND($J109="是",U$209&gt;=$H109+$I109,MOD(U$209-$I109+1,$H109)=1),$F109*$G109,0))</f>
        <v>0</v>
      </c>
      <c r="V115" s="357">
        <f>=IF(V$209=辅助表1评估项目基础数据表!$C$3+辅助表1评估项目基础数据表!$C$5,V111+V113,IF(AND($J109="是",V$209&gt;=$H109+$I109,MOD(V$209-$I109+1,$H109)=1),$F109*$G109,0))</f>
        <v>0</v>
      </c>
      <c r="W115" s="357">
        <f>=IF(W$209=辅助表1评估项目基础数据表!$C$3+辅助表1评估项目基础数据表!$C$5,W111+W113,IF(AND($J109="是",W$209&gt;=$H109+$I109,MOD(W$209-$I109+1,$H109)=1),$F109*$G109,0))</f>
        <v>0</v>
      </c>
      <c r="X115" s="357">
        <f>=IF(X$209=辅助表1评估项目基础数据表!$C$3+辅助表1评估项目基础数据表!$C$5,X111+X113,IF(AND($J109="是",X$209&gt;=$H109+$I109,MOD(X$209-$I109+1,$H109)=1),$F109*$G109,0))</f>
        <v>0</v>
      </c>
      <c r="Y115" s="357">
        <f>=IF(Y$209=辅助表1评估项目基础数据表!$C$3+辅助表1评估项目基础数据表!$C$5,Y111+Y113,IF(AND($J109="是",Y$209&gt;=$H109+$I109,MOD(Y$209-$I109+1,$H109)=1),$F109*$G109,0))</f>
        <v>0</v>
      </c>
      <c r="Z115" s="357">
        <f>=IF(Z$209=辅助表1评估项目基础数据表!$C$3+辅助表1评估项目基础数据表!$C$5,Z111+Z113,IF(AND($J109="是",Z$209&gt;=$H109+$I109,MOD(Z$209-$I109+1,$H109)=1),$F109*$G109,0))</f>
        <v>0</v>
      </c>
      <c r="AA115" s="357">
        <f>=IF(AA$209=辅助表1评估项目基础数据表!$C$3+辅助表1评估项目基础数据表!$C$5,AA111+AA113,IF(AND($J109="是",AA$209&gt;=$H109+$I109,MOD(AA$209-$I109+1,$H109)=1),$F109*$G109,0))</f>
        <v>0</v>
      </c>
      <c r="AB115" s="357">
        <f>=IF(AB$209=辅助表1评估项目基础数据表!$C$3+辅助表1评估项目基础数据表!$C$5,AB111+AB113,IF(AND($J109="是",AB$209&gt;=$H109+$I109,MOD(AB$209-$I109+1,$H109)=1),$F109*$G109,0))</f>
        <v>0</v>
      </c>
      <c r="AC115" s="357">
        <f>=IF(AC$209=辅助表1评估项目基础数据表!$C$3+辅助表1评估项目基础数据表!$C$5,AC111+AC113,IF(AND($J109="是",AC$209&gt;=$H109+$I109,MOD(AC$209-$I109+1,$H109)=1),$F109*$G109,0))</f>
        <v>0</v>
      </c>
      <c r="AD115" s="357">
        <f>=IF(AD$209=辅助表1评估项目基础数据表!$C$3+辅助表1评估项目基础数据表!$C$5,AD111+AD113,IF(AND($J109="是",AD$209&gt;=$H109+$I109,MOD(AD$209-$I109+1,$H109)=1),$F109*$G109,0))</f>
        <v>0</v>
      </c>
      <c r="AE115" s="357">
        <f>=IF(AE$209=辅助表1评估项目基础数据表!$C$3+辅助表1评估项目基础数据表!$C$5,AE111+AE113,IF(AND($J109="是",AE$209&gt;=$H109+$I109,MOD(AE$209-$I109+1,$H109)=1),$F109*$G109,0))</f>
        <v>0</v>
      </c>
      <c r="AF115" s="357">
        <f>=IF(AF$209=辅助表1评估项目基础数据表!$C$3+辅助表1评估项目基础数据表!$C$5,AF111+AF113,IF(AND($J109="是",AF$209&gt;=$H109+$I109,MOD(AF$209-$I109+1,$H109)=1),$F109*$G109,0))</f>
        <v>0</v>
      </c>
    </row>
    <row r="116" spans="1:32" ht="12" hidden="true" customHeight="true">
      <c r="A116" s="297" t="s"/>
      <c r="B116" s="358" t="s">
        <v>710</v>
      </c>
      <c r="C116" s="358" t="s"/>
      <c r="D116" s="358" t="s"/>
      <c r="E116" s="358" t="s"/>
      <c r="F116" s="357">
        <f>=IF($D109="是",$C109*$E109/(1+$E109),0)</f>
        <v>0</v>
      </c>
      <c r="G116" s="358" t="s"/>
      <c r="H116" s="358" t="s"/>
      <c r="I116" s="358" t="s"/>
      <c r="J116" s="358" t="s"/>
      <c r="K116" s="357">
        <f>=IF($J109="是",IF(AND(K$209-$I109+1&gt;0,MOD(K$209-$I109+1,$H109)=1),$F116,0),IF(K$209-$I109+1=1,$F116,0))</f>
        <v>0</v>
      </c>
      <c r="L116" s="357">
        <f>=IF($J109="是",IF(AND(L$209-$I109+1&gt;0,MOD(L$209-$I109+1,$H109)=1),$F116,0),IF(L$209-$I109+1=1,$F116,0))</f>
        <v>0</v>
      </c>
      <c r="M116" s="357">
        <f>=IF($J109="是",IF(AND(M$209-$I109+1&gt;0,MOD(M$209-$I109+1,$H109)=1),$F116,0),IF(M$209-$I109+1=1,$F116,0))</f>
        <v>0</v>
      </c>
      <c r="N116" s="357">
        <f>=IF($J109="是",IF(AND(N$209-$I109+1&gt;0,MOD(N$209-$I109+1,$H109)=1),$F116,0),IF(N$209-$I109+1=1,$F116,0))</f>
        <v>0</v>
      </c>
      <c r="O116" s="357">
        <f>=IF($J109="是",IF(AND(O$209-$I109+1&gt;0,MOD(O$209-$I109+1,$H109)=1),$F116,0),IF(O$209-$I109+1=1,$F116,0))</f>
        <v>0</v>
      </c>
      <c r="P116" s="357">
        <f>=IF($J109="是",IF(AND(P$209-$I109+1&gt;0,MOD(P$209-$I109+1,$H109)=1),$F116,0),IF(P$209-$I109+1=1,$F116,0))</f>
        <v>0</v>
      </c>
      <c r="Q116" s="357">
        <f>=IF($J109="是",IF(AND(Q$209-$I109+1&gt;0,MOD(Q$209-$I109+1,$H109)=1),$F116,0),IF(Q$209-$I109+1=1,$F116,0))</f>
        <v>0</v>
      </c>
      <c r="R116" s="357">
        <f>=IF($J109="是",IF(AND(R$209-$I109+1&gt;0,MOD(R$209-$I109+1,$H109)=1),$F116,0),IF(R$209-$I109+1=1,$F116,0))</f>
        <v>0</v>
      </c>
      <c r="S116" s="357">
        <f>=IF($J109="是",IF(AND(S$209-$I109+1&gt;0,MOD(S$209-$I109+1,$H109)=1),$F116,0),IF(S$209-$I109+1=1,$F116,0))</f>
        <v>0</v>
      </c>
      <c r="T116" s="357">
        <f>=IF($J109="是",IF(AND(T$209-$I109+1&gt;0,MOD(T$209-$I109+1,$H109)=1),$F116,0),IF(T$209-$I109+1=1,$F116,0))</f>
        <v>0</v>
      </c>
      <c r="U116" s="357">
        <f>=IF($J109="是",IF(AND(U$209-$I109+1&gt;0,MOD(U$209-$I109+1,$H109)=1),$F116,0),IF(U$209-$I109+1=1,$F116,0))</f>
        <v>0</v>
      </c>
      <c r="V116" s="357">
        <f>=IF($J109="是",IF(AND(V$209-$I109+1&gt;0,MOD(V$209-$I109+1,$H109)=1),$F116,0),IF(V$209-$I109+1=1,$F116,0))</f>
        <v>0</v>
      </c>
      <c r="W116" s="357">
        <f>=IF($J109="是",IF(AND(W$209-$I109+1&gt;0,MOD(W$209-$I109+1,$H109)=1),$F116,0),IF(W$209-$I109+1=1,$F116,0))</f>
        <v>0</v>
      </c>
      <c r="X116" s="357">
        <f>=IF($J109="是",IF(AND(X$209-$I109+1&gt;0,MOD(X$209-$I109+1,$H109)=1),$F116,0),IF(X$209-$I109+1=1,$F116,0))</f>
        <v>0</v>
      </c>
      <c r="Y116" s="357">
        <f>=IF($J109="是",IF(AND(Y$209-$I109+1&gt;0,MOD(Y$209-$I109+1,$H109)=1),$F116,0),IF(Y$209-$I109+1=1,$F116,0))</f>
        <v>0</v>
      </c>
      <c r="Z116" s="357">
        <f>=IF($J109="是",IF(AND(Z$209-$I109+1&gt;0,MOD(Z$209-$I109+1,$H109)=1),$F116,0),IF(Z$209-$I109+1=1,$F116,0))</f>
        <v>0</v>
      </c>
      <c r="AA116" s="357">
        <f>=IF($J109="是",IF(AND(AA$209-$I109+1&gt;0,MOD(AA$209-$I109+1,$H109)=1),$F116,0),IF(AA$209-$I109+1=1,$F116,0))</f>
        <v>0</v>
      </c>
      <c r="AB116" s="357">
        <f>=IF($J109="是",IF(AND(AB$209-$I109+1&gt;0,MOD(AB$209-$I109+1,$H109)=1),$F116,0),IF(AB$209-$I109+1=1,$F116,0))</f>
        <v>0</v>
      </c>
      <c r="AC116" s="357">
        <f>=IF($J109="是",IF(AND(AC$209-$I109+1&gt;0,MOD(AC$209-$I109+1,$H109)=1),$F116,0),IF(AC$209-$I109+1=1,$F116,0))</f>
        <v>0</v>
      </c>
      <c r="AD116" s="357">
        <f>=IF($J109="是",IF(AND(AD$209-$I109+1&gt;0,MOD(AD$209-$I109+1,$H109)=1),$F116,0),IF(AD$209-$I109+1=1,$F116,0))</f>
        <v>0</v>
      </c>
      <c r="AE116" s="357">
        <f>=IF($J109="是",IF(AND(AE$209-$I109+1&gt;0,MOD(AE$209-$I109+1,$H109)=1),$F116,0),IF(AE$209-$I109+1=1,$F116,0))</f>
        <v>0</v>
      </c>
      <c r="AF116" s="357">
        <f>=IF($J109="是",IF(AND(AF$209-$I109+1&gt;0,MOD(AF$209-$I109+1,$H109)=1),$F116,0),IF(AF$209-$I109+1=1,$F116,0))</f>
        <v>0</v>
      </c>
    </row>
    <row r="117" spans="1:32" ht="12" hidden="true" customHeight="true">
      <c r="A117" s="297">
        <v>13</v>
      </c>
      <c r="B117" s="358" t="s">
        <v>712</v>
      </c>
      <c r="C117" s="379" t="s"/>
      <c r="D117" s="380" t="s">
        <v>185</v>
      </c>
      <c r="E117" s="381">
        <v>0.13</v>
      </c>
      <c r="F117" s="357">
        <f>=IF($D117="是",$C117/(1+$E117),$C117)</f>
        <v>0</v>
      </c>
      <c r="G117" s="382">
        <v>0.05</v>
      </c>
      <c r="H117" s="378">
        <v>5</v>
      </c>
      <c r="I117" s="378">
        <f>=辅助表1评估项目基础数据表!$C$3+1</f>
        <v>3</v>
      </c>
      <c r="J117" s="380" t="s">
        <v>185</v>
      </c>
      <c r="K117" s="371" t="s"/>
      <c r="L117" s="371" t="s"/>
      <c r="M117" s="372" t="s"/>
      <c r="N117" s="372" t="s"/>
      <c r="O117" s="372" t="s"/>
      <c r="P117" s="372" t="s"/>
      <c r="Q117" s="372" t="s"/>
      <c r="R117" s="372" t="s"/>
      <c r="S117" s="372" t="s"/>
      <c r="T117" s="372" t="s"/>
      <c r="U117" s="372" t="s"/>
      <c r="V117" s="372" t="s"/>
      <c r="W117" s="372" t="s"/>
      <c r="X117" s="372" t="s"/>
      <c r="Y117" s="372" t="s"/>
      <c r="Z117" s="372" t="s"/>
      <c r="AA117" s="372" t="s"/>
      <c r="AB117" s="372" t="s"/>
      <c r="AC117" s="372" t="s"/>
      <c r="AD117" s="372" t="s"/>
      <c r="AE117" s="372" t="s"/>
      <c r="AF117" s="372" t="s"/>
    </row>
    <row r="118" spans="1:32" ht="12" hidden="true" customHeight="true">
      <c r="A118" s="297" t="s"/>
      <c r="B118" s="358" t="s">
        <v>704</v>
      </c>
      <c r="C118" s="297" t="s">
        <v>718</v>
      </c>
      <c r="D118" s="358" t="s"/>
      <c r="E118" s="358" t="s"/>
      <c r="F118" s="358" t="s"/>
      <c r="G118" s="358" t="s"/>
      <c r="H118" s="358" t="s"/>
      <c r="I118" s="358" t="s"/>
      <c r="J118" s="358" t="s"/>
      <c r="K118" s="357">
        <f>=IF(K$209&lt;$I117,0,IF(K$209-$I117+1&lt;=$H117,(($F117-$F117*$G117)*($H117-K$209-$I117+1+1)*2/($H117*($H117+1))),0))</f>
        <v>0</v>
      </c>
      <c r="L118" s="357">
        <f>=IF(L$209&lt;$I117,0,IF(L$209-$I117+1&lt;=$H117,(($F117-$F117*$G117)*($H117-L$209-$I117+1+1)*2/($H117*($H117+1))),0))</f>
        <v>0</v>
      </c>
      <c r="M118" s="357">
        <f>=IF(M$209&lt;$I117,0,IF(M$209-$I117+1&lt;=$H117,(($F117-$F117*$G117)*($H117-M$209-$I117+1+1)*2/($H117*($H117+1))),0))</f>
        <v>0</v>
      </c>
      <c r="N118" s="357">
        <f>=IF(N$209&lt;$I117,0,IF(N$209-$I117+1&lt;=$H117,(($F117-$F117*$G117)*($H117-N$209-$I117+1+1)*2/($H117*($H117+1))),0))</f>
        <v>0</v>
      </c>
      <c r="O118" s="357">
        <f>=IF(O$209&lt;$I117,0,IF(O$209-$I117+1&lt;=$H117,(($F117-$F117*$G117)*($H117-O$209-$I117+1+1)*2/($H117*($H117+1))),0))</f>
        <v>0</v>
      </c>
      <c r="P118" s="357">
        <f>=IF(P$209&lt;$I117,0,IF(P$209-$I117+1&lt;=$H117,(($F117-$F117*$G117)*($H117-P$209-$I117+1+1)*2/($H117*($H117+1))),0))</f>
        <v>0</v>
      </c>
      <c r="Q118" s="357">
        <f>=IF(Q$209&lt;$I117,0,IF(Q$209-$I117+1&lt;=$H117,(($F117-$F117*$G117)*($H117-Q$209-$I117+1+1)*2/($H117*($H117+1))),0))</f>
        <v>0</v>
      </c>
      <c r="R118" s="357">
        <f>=IF(R$209&lt;$I117,0,IF(R$209-$I117+1&lt;=$H117,(($F117-$F117*$G117)*($H117-R$209-$I117+1+1)*2/($H117*($H117+1))),0))</f>
        <v>0</v>
      </c>
      <c r="S118" s="357">
        <f>=IF(S$209&lt;$I117,0,IF(S$209-$I117+1&lt;=$H117,(($F117-$F117*$G117)*($H117-S$209-$I117+1+1)*2/($H117*($H117+1))),0))</f>
        <v>0</v>
      </c>
      <c r="T118" s="357">
        <f>=IF(T$209&lt;$I117,0,IF(T$209-$I117+1&lt;=$H117,(($F117-$F117*$G117)*($H117-T$209-$I117+1+1)*2/($H117*($H117+1))),0))</f>
        <v>0</v>
      </c>
      <c r="U118" s="357">
        <f>=IF(U$209&lt;$I117,0,IF(U$209-$I117+1&lt;=$H117,(($F117-$F117*$G117)*($H117-U$209-$I117+1+1)*2/($H117*($H117+1))),0))</f>
        <v>0</v>
      </c>
      <c r="V118" s="357">
        <f>=IF(V$209&lt;$I117,0,IF(V$209-$I117+1&lt;=$H117,(($F117-$F117*$G117)*($H117-V$209-$I117+1+1)*2/($H117*($H117+1))),0))</f>
        <v>0</v>
      </c>
      <c r="W118" s="357">
        <f>=IF(W$209&lt;$I117,0,IF(W$209-$I117+1&lt;=$H117,(($F117-$F117*$G117)*($H117-W$209-$I117+1+1)*2/($H117*($H117+1))),0))</f>
        <v>0</v>
      </c>
      <c r="X118" s="357">
        <f>=IF(X$209&lt;$I117,0,IF(X$209-$I117+1&lt;=$H117,(($F117-$F117*$G117)*($H117-X$209-$I117+1+1)*2/($H117*($H117+1))),0))</f>
        <v>0</v>
      </c>
      <c r="Y118" s="357">
        <f>=IF(Y$209&lt;$I117,0,IF(Y$209-$I117+1&lt;=$H117,(($F117-$F117*$G117)*($H117-Y$209-$I117+1+1)*2/($H117*($H117+1))),0))</f>
        <v>0</v>
      </c>
      <c r="Z118" s="357">
        <f>=IF(Z$209&lt;$I117,0,IF(Z$209-$I117+1&lt;=$H117,(($F117-$F117*$G117)*($H117-Z$209-$I117+1+1)*2/($H117*($H117+1))),0))</f>
        <v>0</v>
      </c>
      <c r="AA118" s="357">
        <f>=IF(AA$209&lt;$I117,0,IF(AA$209-$I117+1&lt;=$H117,(($F117-$F117*$G117)*($H117-AA$209-$I117+1+1)*2/($H117*($H117+1))),0))</f>
        <v>0</v>
      </c>
      <c r="AB118" s="357">
        <f>=IF(AB$209&lt;$I117,0,IF(AB$209-$I117+1&lt;=$H117,(($F117-$F117*$G117)*($H117-AB$209-$I117+1+1)*2/($H117*($H117+1))),0))</f>
        <v>0</v>
      </c>
      <c r="AC118" s="357">
        <f>=IF(AC$209&lt;$I117,0,IF(AC$209-$I117+1&lt;=$H117,(($F117-$F117*$G117)*($H117-AC$209-$I117+1+1)*2/($H117*($H117+1))),0))</f>
        <v>0</v>
      </c>
      <c r="AD118" s="357">
        <f>=IF(AD$209&lt;$I117,0,IF(AD$209-$I117+1&lt;=$H117,(($F117-$F117*$G117)*($H117-AD$209-$I117+1+1)*2/($H117*($H117+1))),0))</f>
        <v>0</v>
      </c>
      <c r="AE118" s="357">
        <f>=IF(AE$209&lt;$I117,0,IF(AE$209-$I117+1&lt;=$H117,(($F117-$F117*$G117)*($H117-AE$209-$I117+1+1)*2/($H117*($H117+1))),0))</f>
        <v>0</v>
      </c>
      <c r="AF118" s="357">
        <f>=IF(AF$209&lt;$I117,0,IF(AF$209-$I117+1&lt;=$H117,(($F117-$F117*$G117)*($H117-AF$209-$I117+1+1)*2/($H117*($H117+1))),0))</f>
        <v>0</v>
      </c>
    </row>
    <row r="119" spans="1:32" ht="12" hidden="true" customHeight="true">
      <c r="A119" s="297" t="s"/>
      <c r="B119" s="358" t="s">
        <v>705</v>
      </c>
      <c r="C119" s="358" t="s"/>
      <c r="D119" s="358" t="s"/>
      <c r="E119" s="358" t="s"/>
      <c r="F119" s="358" t="s"/>
      <c r="G119" s="358" t="s"/>
      <c r="H119" s="358" t="s"/>
      <c r="I119" s="358" t="s"/>
      <c r="J119" s="358" t="s"/>
      <c r="K119" s="357">
        <f>=IF(K$209=$I117,$F117-K118,0)</f>
        <v>0</v>
      </c>
      <c r="L119" s="357">
        <f>=IF(L$209=$I117,$F117-L118,IF(L$209&gt;$I117,IF(AND($J117="是",L$209&gt;=$I117+$H117),0,K119-L118),0))</f>
        <v>0</v>
      </c>
      <c r="M119" s="357">
        <f>=IF(M$209=$I117,$F117-M118,IF(M$209&gt;$I117,IF(AND($J117="是",M$209&gt;=$I117+$H117),0,L119-M118),0))</f>
        <v>0</v>
      </c>
      <c r="N119" s="357">
        <f>=IF(N$209=$I117,$F117-N118,IF(N$209&gt;$I117,IF(AND($J117="是",N$209&gt;=$I117+$H117),0,M119-N118),0))</f>
        <v>0</v>
      </c>
      <c r="O119" s="357">
        <f>=IF(O$209=$I117,$F117-O118,IF(O$209&gt;$I117,IF(AND($J117="是",O$209&gt;=$I117+$H117),0,N119-O118),0))</f>
        <v>0</v>
      </c>
      <c r="P119" s="357">
        <f>=IF(P$209=$I117,$F117-P118,IF(P$209&gt;$I117,IF(AND($J117="是",P$209&gt;=$I117+$H117),0,O119-P118),0))</f>
        <v>0</v>
      </c>
      <c r="Q119" s="357">
        <f>=IF(Q$209=$I117,$F117-Q118,IF(Q$209&gt;$I117,IF(AND($J117="是",Q$209&gt;=$I117+$H117),0,P119-Q118),0))</f>
        <v>0</v>
      </c>
      <c r="R119" s="357">
        <f>=IF(R$209=$I117,$F117-R118,IF(R$209&gt;$I117,IF(AND($J117="是",R$209&gt;=$I117+$H117),0,Q119-R118),0))</f>
        <v>0</v>
      </c>
      <c r="S119" s="357">
        <f>=IF(S$209=$I117,$F117-S118,IF(S$209&gt;$I117,IF(AND($J117="是",S$209&gt;=$I117+$H117),0,R119-S118),0))</f>
        <v>0</v>
      </c>
      <c r="T119" s="357">
        <f>=IF(T$209=$I117,$F117-T118,IF(T$209&gt;$I117,IF(AND($J117="是",T$209&gt;=$I117+$H117),0,S119-T118),0))</f>
        <v>0</v>
      </c>
      <c r="U119" s="357">
        <f>=IF(U$209=$I117,$F117-U118,IF(U$209&gt;$I117,IF(AND($J117="是",U$209&gt;=$I117+$H117),0,T119-U118),0))</f>
        <v>0</v>
      </c>
      <c r="V119" s="357">
        <f>=IF(V$209=$I117,$F117-V118,IF(V$209&gt;$I117,IF(AND($J117="是",V$209&gt;=$I117+$H117),0,U119-V118),0))</f>
        <v>0</v>
      </c>
      <c r="W119" s="357">
        <f>=IF(W$209=$I117,$F117-W118,IF(W$209&gt;$I117,IF(AND($J117="是",W$209&gt;=$I117+$H117),0,V119-W118),0))</f>
        <v>0</v>
      </c>
      <c r="X119" s="357">
        <f>=IF(X$209=$I117,$F117-X118,IF(X$209&gt;$I117,IF(AND($J117="是",X$209&gt;=$I117+$H117),0,W119-X118),0))</f>
        <v>0</v>
      </c>
      <c r="Y119" s="357">
        <f>=IF(Y$209=$I117,$F117-Y118,IF(Y$209&gt;$I117,IF(AND($J117="是",Y$209&gt;=$I117+$H117),0,X119-Y118),0))</f>
        <v>0</v>
      </c>
      <c r="Z119" s="357">
        <f>=IF(Z$209=$I117,$F117-Z118,IF(Z$209&gt;$I117,IF(AND($J117="是",Z$209&gt;=$I117+$H117),0,Y119-Z118),0))</f>
        <v>0</v>
      </c>
      <c r="AA119" s="357">
        <f>=IF(AA$209=$I117,$F117-AA118,IF(AA$209&gt;$I117,IF(AND($J117="是",AA$209&gt;=$I117+$H117),0,Z119-AA118),0))</f>
        <v>0</v>
      </c>
      <c r="AB119" s="357">
        <f>=IF(AB$209=$I117,$F117-AB118,IF(AB$209&gt;$I117,IF(AND($J117="是",AB$209&gt;=$I117+$H117),0,AA119-AB118),0))</f>
        <v>0</v>
      </c>
      <c r="AC119" s="357">
        <f>=IF(AC$209=$I117,$F117-AC118,IF(AC$209&gt;$I117,IF(AND($J117="是",AC$209&gt;=$I117+$H117),0,AB119-AC118),0))</f>
        <v>0</v>
      </c>
      <c r="AD119" s="357">
        <f>=IF(AD$209=$I117,$F117-AD118,IF(AD$209&gt;$I117,IF(AND($J117="是",AD$209&gt;=$I117+$H117),0,AC119-AD118),0))</f>
        <v>0</v>
      </c>
      <c r="AE119" s="357">
        <f>=IF(AE$209=$I117,$F117-AE118,IF(AE$209&gt;$I117,IF(AND($J117="是",AE$209&gt;=$I117+$H117),0,AD119-AE118),0))</f>
        <v>0</v>
      </c>
      <c r="AF119" s="357">
        <f>=IF(AF$209=$I117,$F117-AF118,IF(AF$209&gt;$I117,IF(AND($J117="是",AF$209&gt;=$I117+$H117),0,AE119-AF118),0))</f>
        <v>0</v>
      </c>
    </row>
    <row r="120" spans="1:32" ht="12" hidden="true" customHeight="true">
      <c r="A120" s="297" t="s"/>
      <c r="B120" s="358" t="s">
        <v>706</v>
      </c>
      <c r="C120" s="358" t="s"/>
      <c r="D120" s="358" t="s"/>
      <c r="E120" s="358" t="s"/>
      <c r="F120" s="358" t="s"/>
      <c r="G120" s="358" t="s"/>
      <c r="H120" s="358" t="s"/>
      <c r="I120" s="358" t="s"/>
      <c r="J120" s="358" t="s"/>
      <c r="K120" s="357">
        <f>=IF(AND($J117="是",K$209&gt;=$H117+$I117),IF(MOD(K$209-$I$117+1,$H117)=0,SYD($F117,$F117*$G117,$H117,$H117),SYD($F117,$F117*$G117,$H117,MOD(K$209-$I$117+1,$H117))),0)</f>
        <v>0</v>
      </c>
      <c r="L120" s="357">
        <f>=IF(AND($J117="是",L$209&gt;=$H117+$I117),IF(MOD(L$209-$I$117+1,$H117)=0,SYD($F117,$F117*$G117,$H117,$H117),SYD($F117,$F117*$G117,$H117,MOD(L$209-$I$117+1,$H117))),0)</f>
        <v>0</v>
      </c>
      <c r="M120" s="357">
        <f>=IF(AND($J117="是",M$209&gt;=$H117+$I117),IF(MOD(M$209-$I$117+1,$H117)=0,SYD($F117,$F117*$G117,$H117,$H117),SYD($F117,$F117*$G117,$H117,MOD(M$209-$I$117+1,$H117))),0)</f>
        <v>0</v>
      </c>
      <c r="N120" s="357">
        <f>=IF(AND($J117="是",N$209&gt;=$H117+$I117),IF(MOD(N$209-$I$117+1,$H117)=0,SYD($F117,$F117*$G117,$H117,$H117),SYD($F117,$F117*$G117,$H117,MOD(N$209-$I$117+1,$H117))),0)</f>
        <v>0</v>
      </c>
      <c r="O120" s="357">
        <f>=IF(AND($J117="是",O$209&gt;=$H117+$I117),IF(MOD(O$209-$I$117+1,$H117)=0,SYD($F117,$F117*$G117,$H117,$H117),SYD($F117,$F117*$G117,$H117,MOD(O$209-$I$117+1,$H117))),0)</f>
        <v>0</v>
      </c>
      <c r="P120" s="357">
        <f>=IF(AND($J117="是",P$209&gt;=$H117+$I117),IF(MOD(P$209-$I$117+1,$H117)=0,SYD($F117,$F117*$G117,$H117,$H117),SYD($F117,$F117*$G117,$H117,MOD(P$209-$I$117+1,$H117))),0)</f>
        <v>0</v>
      </c>
      <c r="Q120" s="357">
        <f>=IF(AND($J117="是",Q$209&gt;=$H117+$I117),IF(MOD(Q$209-$I$117+1,$H117)=0,SYD($F117,$F117*$G117,$H117,$H117),SYD($F117,$F117*$G117,$H117,MOD(Q$209-$I$117+1,$H117))),0)</f>
        <v>0</v>
      </c>
      <c r="R120" s="357">
        <f>=IF(AND($J117="是",R$209&gt;=$H117+$I117),IF(MOD(R$209-$I$117+1,$H117)=0,SYD($F117,$F117*$G117,$H117,$H117),SYD($F117,$F117*$G117,$H117,MOD(R$209-$I$117+1,$H117))),0)</f>
        <v>0</v>
      </c>
      <c r="S120" s="357">
        <f>=IF(AND($J117="是",S$209&gt;=$H117+$I117),IF(MOD(S$209-$I$117+1,$H117)=0,SYD($F117,$F117*$G117,$H117,$H117),SYD($F117,$F117*$G117,$H117,MOD(S$209-$I$117+1,$H117))),0)</f>
        <v>0</v>
      </c>
      <c r="T120" s="357">
        <f>=IF(AND($J117="是",T$209&gt;=$H117+$I117),IF(MOD(T$209-$I$117+1,$H117)=0,SYD($F117,$F117*$G117,$H117,$H117),SYD($F117,$F117*$G117,$H117,MOD(T$209-$I$117+1,$H117))),0)</f>
        <v>0</v>
      </c>
      <c r="U120" s="357">
        <f>=IF(AND($J117="是",U$209&gt;=$H117+$I117),IF(MOD(U$209-$I$117+1,$H117)=0,SYD($F117,$F117*$G117,$H117,$H117),SYD($F117,$F117*$G117,$H117,MOD(U$209-$I$117+1,$H117))),0)</f>
        <v>0</v>
      </c>
      <c r="V120" s="357">
        <f>=IF(AND($J117="是",V$209&gt;=$H117+$I117),IF(MOD(V$209-$I$117+1,$H117)=0,SYD($F117,$F117*$G117,$H117,$H117),SYD($F117,$F117*$G117,$H117,MOD(V$209-$I$117+1,$H117))),0)</f>
        <v>0</v>
      </c>
      <c r="W120" s="357">
        <f>=IF(AND($J117="是",W$209&gt;=$H117+$I117),IF(MOD(W$209-$I$117+1,$H117)=0,SYD($F117,$F117*$G117,$H117,$H117),SYD($F117,$F117*$G117,$H117,MOD(W$209-$I$117+1,$H117))),0)</f>
        <v>0</v>
      </c>
      <c r="X120" s="357">
        <f>=IF(AND($J117="是",X$209&gt;=$H117+$I117),IF(MOD(X$209-$I$117+1,$H117)=0,SYD($F117,$F117*$G117,$H117,$H117),SYD($F117,$F117*$G117,$H117,MOD(X$209-$I$117+1,$H117))),0)</f>
        <v>0</v>
      </c>
      <c r="Y120" s="357">
        <f>=IF(AND($J117="是",Y$209&gt;=$H117+$I117),IF(MOD(Y$209-$I$117+1,$H117)=0,SYD($F117,$F117*$G117,$H117,$H117),SYD($F117,$F117*$G117,$H117,MOD(Y$209-$I$117+1,$H117))),0)</f>
        <v>0</v>
      </c>
      <c r="Z120" s="357">
        <f>=IF(AND($J117="是",Z$209&gt;=$H117+$I117),IF(MOD(Z$209-$I$117+1,$H117)=0,SYD($F117,$F117*$G117,$H117,$H117),SYD($F117,$F117*$G117,$H117,MOD(Z$209-$I$117+1,$H117))),0)</f>
        <v>0</v>
      </c>
      <c r="AA120" s="357">
        <f>=IF(AND($J117="是",AA$209&gt;=$H117+$I117),IF(MOD(AA$209-$I$117+1,$H117)=0,SYD($F117,$F117*$G117,$H117,$H117),SYD($F117,$F117*$G117,$H117,MOD(AA$209-$I$117+1,$H117))),0)</f>
        <v>0</v>
      </c>
      <c r="AB120" s="357">
        <f>=IF(AND($J117="是",AB$209&gt;=$H117+$I117),IF(MOD(AB$209-$I$117+1,$H117)=0,SYD($F117,$F117*$G117,$H117,$H117),SYD($F117,$F117*$G117,$H117,MOD(AB$209-$I$117+1,$H117))),0)</f>
        <v>0</v>
      </c>
      <c r="AC120" s="357">
        <f>=IF(AND($J117="是",AC$209&gt;=$H117+$I117),IF(MOD(AC$209-$I$117+1,$H117)=0,SYD($F117,$F117*$G117,$H117,$H117),SYD($F117,$F117*$G117,$H117,MOD(AC$209-$I$117+1,$H117))),0)</f>
        <v>0</v>
      </c>
      <c r="AD120" s="357">
        <f>=IF(AND($J117="是",AD$209&gt;=$H117+$I117),IF(MOD(AD$209-$I$117+1,$H117)=0,SYD($F117,$F117*$G117,$H117,$H117),SYD($F117,$F117*$G117,$H117,MOD(AD$209-$I$117+1,$H117))),0)</f>
        <v>0</v>
      </c>
      <c r="AE120" s="357">
        <f>=IF(AND($J117="是",AE$209&gt;=$H117+$I117),IF(MOD(AE$209-$I$117+1,$H117)=0,SYD($F117,$F117*$G117,$H117,$H117),SYD($F117,$F117*$G117,$H117,MOD(AE$209-$I$117+1,$H117))),0)</f>
        <v>0</v>
      </c>
      <c r="AF120" s="357">
        <f>=IF(AND($J117="是",AF$209&gt;=$H117+$I117),IF(MOD(AF$209-$I$117+1,$H117)=0,SYD($F117,$F117*$G117,$H117,$H117),SYD($F117,$F117*$G117,$H117,MOD(AF$209-$I$117+1,$H117))),0)</f>
        <v>0</v>
      </c>
    </row>
    <row r="121" spans="1:32" ht="12" hidden="true" customHeight="true">
      <c r="A121" s="297" t="s"/>
      <c r="B121" s="358" t="s">
        <v>707</v>
      </c>
      <c r="C121" s="358" t="s"/>
      <c r="D121" s="358" t="s"/>
      <c r="E121" s="358" t="s"/>
      <c r="F121" s="358" t="s"/>
      <c r="G121" s="358" t="s"/>
      <c r="H121" s="358" t="s"/>
      <c r="I121" s="358" t="s"/>
      <c r="J121" s="358" t="s"/>
      <c r="K121" s="357">
        <f>=IF(K$209&lt;$I117+$H117,0,IF($J117="是",IF(OR($H117=1,MOD(K$209-$I117+1,$H117)=1),$F117-K120,J121-K120),0))</f>
        <v>0</v>
      </c>
      <c r="L121" s="357">
        <f>=IF(L$209&lt;$I117+$H117,0,IF($J117="是",IF(OR($H117=1,MOD(L$209-$I117+1,$H117)=1),$F117-L120,K121-L120),0))</f>
        <v>0</v>
      </c>
      <c r="M121" s="357">
        <f>=IF(M$209&lt;$I117+$H117,0,IF($J117="是",IF(OR($H117=1,MOD(M$209-$I117+1,$H117)=1),$F117-M120,L121-M120),0))</f>
        <v>0</v>
      </c>
      <c r="N121" s="357">
        <f>=IF(N$209&lt;$I117+$H117,0,IF($J117="是",IF(OR($H117=1,MOD(N$209-$I117+1,$H117)=1),$F117-N120,M121-N120),0))</f>
        <v>0</v>
      </c>
      <c r="O121" s="357">
        <f>=IF(O$209&lt;$I117+$H117,0,IF($J117="是",IF(OR($H117=1,MOD(O$209-$I117+1,$H117)=1),$F117-O120,N121-O120),0))</f>
        <v>0</v>
      </c>
      <c r="P121" s="357">
        <f>=IF(P$209&lt;$I117+$H117,0,IF($J117="是",IF(OR($H117=1,MOD(P$209-$I117+1,$H117)=1),$F117-P120,O121-P120),0))</f>
        <v>0</v>
      </c>
      <c r="Q121" s="357">
        <f>=IF(Q$209&lt;$I117+$H117,0,IF($J117="是",IF(OR($H117=1,MOD(Q$209-$I117+1,$H117)=1),$F117-Q120,P121-Q120),0))</f>
        <v>0</v>
      </c>
      <c r="R121" s="357">
        <f>=IF(R$209&lt;$I117+$H117,0,IF($J117="是",IF(OR($H117=1,MOD(R$209-$I117+1,$H117)=1),$F117-R120,Q121-R120),0))</f>
        <v>0</v>
      </c>
      <c r="S121" s="357">
        <f>=IF(S$209&lt;$I117+$H117,0,IF($J117="是",IF(OR($H117=1,MOD(S$209-$I117+1,$H117)=1),$F117-S120,R121-S120),0))</f>
        <v>0</v>
      </c>
      <c r="T121" s="357">
        <f>=IF(T$209&lt;$I117+$H117,0,IF($J117="是",IF(OR($H117=1,MOD(T$209-$I117+1,$H117)=1),$F117-T120,S121-T120),0))</f>
        <v>0</v>
      </c>
      <c r="U121" s="357">
        <f>=IF(U$209&lt;$I117+$H117,0,IF($J117="是",IF(OR($H117=1,MOD(U$209-$I117+1,$H117)=1),$F117-U120,T121-U120),0))</f>
        <v>0</v>
      </c>
      <c r="V121" s="357">
        <f>=IF(V$209&lt;$I117+$H117,0,IF($J117="是",IF(OR($H117=1,MOD(V$209-$I117+1,$H117)=1),$F117-V120,U121-V120),0))</f>
        <v>0</v>
      </c>
      <c r="W121" s="357">
        <f>=IF(W$209&lt;$I117+$H117,0,IF($J117="是",IF(OR($H117=1,MOD(W$209-$I117+1,$H117)=1),$F117-W120,V121-W120),0))</f>
        <v>0</v>
      </c>
      <c r="X121" s="357">
        <f>=IF(X$209&lt;$I117+$H117,0,IF($J117="是",IF(OR($H117=1,MOD(X$209-$I117+1,$H117)=1),$F117-X120,W121-X120),0))</f>
        <v>0</v>
      </c>
      <c r="Y121" s="357">
        <f>=IF(Y$209&lt;$I117+$H117,0,IF($J117="是",IF(OR($H117=1,MOD(Y$209-$I117+1,$H117)=1),$F117-Y120,X121-Y120),0))</f>
        <v>0</v>
      </c>
      <c r="Z121" s="357">
        <f>=IF(Z$209&lt;$I117+$H117,0,IF($J117="是",IF(OR($H117=1,MOD(Z$209-$I117+1,$H117)=1),$F117-Z120,Y121-Z120),0))</f>
        <v>0</v>
      </c>
      <c r="AA121" s="357">
        <f>=IF(AA$209&lt;$I117+$H117,0,IF($J117="是",IF(OR($H117=1,MOD(AA$209-$I117+1,$H117)=1),$F117-AA120,Z121-AA120),0))</f>
        <v>0</v>
      </c>
      <c r="AB121" s="357">
        <f>=IF(AB$209&lt;$I117+$H117,0,IF($J117="是",IF(OR($H117=1,MOD(AB$209-$I117+1,$H117)=1),$F117-AB120,AA121-AB120),0))</f>
        <v>0</v>
      </c>
      <c r="AC121" s="357">
        <f>=IF(AC$209&lt;$I117+$H117,0,IF($J117="是",IF(OR($H117=1,MOD(AC$209-$I117+1,$H117)=1),$F117-AC120,AB121-AC120),0))</f>
        <v>0</v>
      </c>
      <c r="AD121" s="357">
        <f>=IF(AD$209&lt;$I117+$H117,0,IF($J117="是",IF(OR($H117=1,MOD(AD$209-$I117+1,$H117)=1),$F117-AD120,AC121-AD120),0))</f>
        <v>0</v>
      </c>
      <c r="AE121" s="357">
        <f>=IF(AE$209&lt;$I117+$H117,0,IF($J117="是",IF(OR($H117=1,MOD(AE$209-$I117+1,$H117)=1),$F117-AE120,AD121-AE120),0))</f>
        <v>0</v>
      </c>
      <c r="AF121" s="357">
        <f>=IF(AF$209&lt;$I117+$H117,0,IF($J117="是",IF(OR($H117=1,MOD(AF$209-$I117+1,$H117)=1),$F117-AF120,AE121-AF120),0))</f>
        <v>0</v>
      </c>
    </row>
    <row r="122" spans="1:32" ht="12" hidden="true" customHeight="true">
      <c r="A122" s="297" t="s"/>
      <c r="B122" s="358" t="s">
        <v>708</v>
      </c>
      <c r="C122" s="358" t="s"/>
      <c r="D122" s="358" t="s"/>
      <c r="E122" s="358" t="s"/>
      <c r="F122" s="358" t="s"/>
      <c r="G122" s="358" t="s"/>
      <c r="H122" s="358" t="s"/>
      <c r="I122" s="358" t="s"/>
      <c r="J122" s="358" t="s"/>
      <c r="K122" s="357">
        <f>=IF(AND($J117="是",K$209&gt;=$H117+$I117,MOD(K$209-$I117+1,$H117)=1),$F117,0)</f>
        <v>0</v>
      </c>
      <c r="L122" s="357">
        <f>=IF(AND($J117="是",L$209&gt;=$H117+$I117,MOD(L$209-$I117+1,$H117)=1),$F117,0)</f>
        <v>0</v>
      </c>
      <c r="M122" s="357">
        <f>=IF(AND($J117="是",M$209&gt;=$H117+$I117,MOD(M$209-$I117+1,$H117)=1),$F117,0)</f>
        <v>0</v>
      </c>
      <c r="N122" s="357">
        <f>=IF(AND($J117="是",N$209&gt;=$H117+$I117,MOD(N$209-$I117+1,$H117)=1),$F117,0)</f>
        <v>0</v>
      </c>
      <c r="O122" s="357">
        <f>=IF(AND($J117="是",O$209&gt;=$H117+$I117,MOD(O$209-$I117+1,$H117)=1),$F117,0)</f>
        <v>0</v>
      </c>
      <c r="P122" s="357">
        <f>=IF(AND($J117="是",P$209&gt;=$H117+$I117,MOD(P$209-$I117+1,$H117)=1),$F117,0)</f>
        <v>0</v>
      </c>
      <c r="Q122" s="357">
        <f>=IF(AND($J117="是",Q$209&gt;=$H117+$I117,MOD(Q$209-$I117+1,$H117)=1),$F117,0)</f>
        <v>0</v>
      </c>
      <c r="R122" s="357">
        <f>=IF(AND($J117="是",R$209&gt;=$H117+$I117,MOD(R$209-$I117+1,$H117)=1),$F117,0)</f>
        <v>0</v>
      </c>
      <c r="S122" s="357">
        <f>=IF(AND($J117="是",S$209&gt;=$H117+$I117,MOD(S$209-$I117+1,$H117)=1),$F117,0)</f>
        <v>0</v>
      </c>
      <c r="T122" s="357">
        <f>=IF(AND($J117="是",T$209&gt;=$H117+$I117,MOD(T$209-$I117+1,$H117)=1),$F117,0)</f>
        <v>0</v>
      </c>
      <c r="U122" s="357">
        <f>=IF(AND($J117="是",U$209&gt;=$H117+$I117,MOD(U$209-$I117+1,$H117)=1),$F117,0)</f>
        <v>0</v>
      </c>
      <c r="V122" s="357">
        <f>=IF(AND($J117="是",V$209&gt;=$H117+$I117,MOD(V$209-$I117+1,$H117)=1),$F117,0)</f>
        <v>0</v>
      </c>
      <c r="W122" s="357">
        <f>=IF(AND($J117="是",W$209&gt;=$H117+$I117,MOD(W$209-$I117+1,$H117)=1),$F117,0)</f>
        <v>0</v>
      </c>
      <c r="X122" s="357">
        <f>=IF(AND($J117="是",X$209&gt;=$H117+$I117,MOD(X$209-$I117+1,$H117)=1),$F117,0)</f>
        <v>0</v>
      </c>
      <c r="Y122" s="357">
        <f>=IF(AND($J117="是",Y$209&gt;=$H117+$I117,MOD(Y$209-$I117+1,$H117)=1),$F117,0)</f>
        <v>0</v>
      </c>
      <c r="Z122" s="357">
        <f>=IF(AND($J117="是",Z$209&gt;=$H117+$I117,MOD(Z$209-$I117+1,$H117)=1),$F117,0)</f>
        <v>0</v>
      </c>
      <c r="AA122" s="357">
        <f>=IF(AND($J117="是",AA$209&gt;=$H117+$I117,MOD(AA$209-$I117+1,$H117)=1),$F117,0)</f>
        <v>0</v>
      </c>
      <c r="AB122" s="357">
        <f>=IF(AND($J117="是",AB$209&gt;=$H117+$I117,MOD(AB$209-$I117+1,$H117)=1),$F117,0)</f>
        <v>0</v>
      </c>
      <c r="AC122" s="357">
        <f>=IF(AND($J117="是",AC$209&gt;=$H117+$I117,MOD(AC$209-$I117+1,$H117)=1),$F117,0)</f>
        <v>0</v>
      </c>
      <c r="AD122" s="357">
        <f>=IF(AND($J117="是",AD$209&gt;=$H117+$I117,MOD(AD$209-$I117+1,$H117)=1),$F117,0)</f>
        <v>0</v>
      </c>
      <c r="AE122" s="357">
        <f>=IF(AND($J117="是",AE$209&gt;=$H117+$I117,MOD(AE$209-$I117+1,$H117)=1),$F117,0)</f>
        <v>0</v>
      </c>
      <c r="AF122" s="357">
        <f>=IF(AND($J117="是",AF$209&gt;=$H117+$I117,MOD(AF$209-$I117+1,$H117)=1),$F117,0)</f>
        <v>0</v>
      </c>
    </row>
    <row r="123" spans="1:32" ht="12" hidden="true" customHeight="true">
      <c r="A123" s="297" t="s"/>
      <c r="B123" s="358" t="s">
        <v>709</v>
      </c>
      <c r="C123" s="358" t="s"/>
      <c r="D123" s="358" t="s"/>
      <c r="E123" s="358" t="s"/>
      <c r="F123" s="358" t="s"/>
      <c r="G123" s="358" t="s"/>
      <c r="H123" s="358" t="s"/>
      <c r="I123" s="358" t="s"/>
      <c r="J123" s="358" t="s"/>
      <c r="K123" s="357">
        <f>=IF(K$209=辅助表1评估项目基础数据表!$C$3+辅助表1评估项目基础数据表!$C$5,K119+K121,IF(AND($J117="是",K$209&gt;=$H117+$I117,MOD(K$209-$I117+1,$H117)=1),$F117*$G117,0))</f>
        <v>0</v>
      </c>
      <c r="L123" s="357">
        <f>=IF(L$209=辅助表1评估项目基础数据表!$C$3+辅助表1评估项目基础数据表!$C$5,L119+L121,IF(AND($J117="是",L$209&gt;=$H117+$I117,MOD(L$209-$I117+1,$H117)=1),$F117*$G117,0))</f>
        <v>0</v>
      </c>
      <c r="M123" s="357">
        <f>=IF(M$209=辅助表1评估项目基础数据表!$C$3+辅助表1评估项目基础数据表!$C$5,M119+M121,IF(AND($J117="是",M$209&gt;=$H117+$I117,MOD(M$209-$I117+1,$H117)=1),$F117*$G117,0))</f>
        <v>0</v>
      </c>
      <c r="N123" s="357">
        <f>=IF(N$209=辅助表1评估项目基础数据表!$C$3+辅助表1评估项目基础数据表!$C$5,N119+N121,IF(AND($J117="是",N$209&gt;=$H117+$I117,MOD(N$209-$I117+1,$H117)=1),$F117*$G117,0))</f>
        <v>0</v>
      </c>
      <c r="O123" s="357">
        <f>=IF(O$209=辅助表1评估项目基础数据表!$C$3+辅助表1评估项目基础数据表!$C$5,O119+O121,IF(AND($J117="是",O$209&gt;=$H117+$I117,MOD(O$209-$I117+1,$H117)=1),$F117*$G117,0))</f>
        <v>0</v>
      </c>
      <c r="P123" s="357">
        <f>=IF(P$209=辅助表1评估项目基础数据表!$C$3+辅助表1评估项目基础数据表!$C$5,P119+P121,IF(AND($J117="是",P$209&gt;=$H117+$I117,MOD(P$209-$I117+1,$H117)=1),$F117*$G117,0))</f>
        <v>0</v>
      </c>
      <c r="Q123" s="357">
        <f>=IF(Q$209=辅助表1评估项目基础数据表!$C$3+辅助表1评估项目基础数据表!$C$5,Q119+Q121,IF(AND($J117="是",Q$209&gt;=$H117+$I117,MOD(Q$209-$I117+1,$H117)=1),$F117*$G117,0))</f>
        <v>0</v>
      </c>
      <c r="R123" s="357">
        <f>=IF(R$209=辅助表1评估项目基础数据表!$C$3+辅助表1评估项目基础数据表!$C$5,R119+R121,IF(AND($J117="是",R$209&gt;=$H117+$I117,MOD(R$209-$I117+1,$H117)=1),$F117*$G117,0))</f>
        <v>0</v>
      </c>
      <c r="S123" s="357">
        <f>=IF(S$209=辅助表1评估项目基础数据表!$C$3+辅助表1评估项目基础数据表!$C$5,S119+S121,IF(AND($J117="是",S$209&gt;=$H117+$I117,MOD(S$209-$I117+1,$H117)=1),$F117*$G117,0))</f>
        <v>0</v>
      </c>
      <c r="T123" s="357">
        <f>=IF(T$209=辅助表1评估项目基础数据表!$C$3+辅助表1评估项目基础数据表!$C$5,T119+T121,IF(AND($J117="是",T$209&gt;=$H117+$I117,MOD(T$209-$I117+1,$H117)=1),$F117*$G117,0))</f>
        <v>0</v>
      </c>
      <c r="U123" s="357">
        <f>=IF(U$209=辅助表1评估项目基础数据表!$C$3+辅助表1评估项目基础数据表!$C$5,U119+U121,IF(AND($J117="是",U$209&gt;=$H117+$I117,MOD(U$209-$I117+1,$H117)=1),$F117*$G117,0))</f>
        <v>0</v>
      </c>
      <c r="V123" s="357">
        <f>=IF(V$209=辅助表1评估项目基础数据表!$C$3+辅助表1评估项目基础数据表!$C$5,V119+V121,IF(AND($J117="是",V$209&gt;=$H117+$I117,MOD(V$209-$I117+1,$H117)=1),$F117*$G117,0))</f>
        <v>0</v>
      </c>
      <c r="W123" s="357">
        <f>=IF(W$209=辅助表1评估项目基础数据表!$C$3+辅助表1评估项目基础数据表!$C$5,W119+W121,IF(AND($J117="是",W$209&gt;=$H117+$I117,MOD(W$209-$I117+1,$H117)=1),$F117*$G117,0))</f>
        <v>0</v>
      </c>
      <c r="X123" s="357">
        <f>=IF(X$209=辅助表1评估项目基础数据表!$C$3+辅助表1评估项目基础数据表!$C$5,X119+X121,IF(AND($J117="是",X$209&gt;=$H117+$I117,MOD(X$209-$I117+1,$H117)=1),$F117*$G117,0))</f>
        <v>0</v>
      </c>
      <c r="Y123" s="357">
        <f>=IF(Y$209=辅助表1评估项目基础数据表!$C$3+辅助表1评估项目基础数据表!$C$5,Y119+Y121,IF(AND($J117="是",Y$209&gt;=$H117+$I117,MOD(Y$209-$I117+1,$H117)=1),$F117*$G117,0))</f>
        <v>0</v>
      </c>
      <c r="Z123" s="357">
        <f>=IF(Z$209=辅助表1评估项目基础数据表!$C$3+辅助表1评估项目基础数据表!$C$5,Z119+Z121,IF(AND($J117="是",Z$209&gt;=$H117+$I117,MOD(Z$209-$I117+1,$H117)=1),$F117*$G117,0))</f>
        <v>0</v>
      </c>
      <c r="AA123" s="357">
        <f>=IF(AA$209=辅助表1评估项目基础数据表!$C$3+辅助表1评估项目基础数据表!$C$5,AA119+AA121,IF(AND($J117="是",AA$209&gt;=$H117+$I117,MOD(AA$209-$I117+1,$H117)=1),$F117*$G117,0))</f>
        <v>0</v>
      </c>
      <c r="AB123" s="357">
        <f>=IF(AB$209=辅助表1评估项目基础数据表!$C$3+辅助表1评估项目基础数据表!$C$5,AB119+AB121,IF(AND($J117="是",AB$209&gt;=$H117+$I117,MOD(AB$209-$I117+1,$H117)=1),$F117*$G117,0))</f>
        <v>0</v>
      </c>
      <c r="AC123" s="357">
        <f>=IF(AC$209=辅助表1评估项目基础数据表!$C$3+辅助表1评估项目基础数据表!$C$5,AC119+AC121,IF(AND($J117="是",AC$209&gt;=$H117+$I117,MOD(AC$209-$I117+1,$H117)=1),$F117*$G117,0))</f>
        <v>0</v>
      </c>
      <c r="AD123" s="357">
        <f>=IF(AD$209=辅助表1评估项目基础数据表!$C$3+辅助表1评估项目基础数据表!$C$5,AD119+AD121,IF(AND($J117="是",AD$209&gt;=$H117+$I117,MOD(AD$209-$I117+1,$H117)=1),$F117*$G117,0))</f>
        <v>0</v>
      </c>
      <c r="AE123" s="357">
        <f>=IF(AE$209=辅助表1评估项目基础数据表!$C$3+辅助表1评估项目基础数据表!$C$5,AE119+AE121,IF(AND($J117="是",AE$209&gt;=$H117+$I117,MOD(AE$209-$I117+1,$H117)=1),$F117*$G117,0))</f>
        <v>0</v>
      </c>
      <c r="AF123" s="357">
        <f>=IF(AF$209=辅助表1评估项目基础数据表!$C$3+辅助表1评估项目基础数据表!$C$5,AF119+AF121,IF(AND($J117="是",AF$209&gt;=$H117+$I117,MOD(AF$209-$I117+1,$H117)=1),$F117*$G117,0))</f>
        <v>0</v>
      </c>
    </row>
    <row r="124" spans="1:32" ht="12" hidden="true" customHeight="true">
      <c r="A124" s="297" t="s"/>
      <c r="B124" s="358" t="s">
        <v>710</v>
      </c>
      <c r="C124" s="358" t="s"/>
      <c r="D124" s="358" t="s"/>
      <c r="E124" s="358" t="s"/>
      <c r="F124" s="357">
        <f>=IF($D117="是",$C117*$E117/(1+$E117),0)</f>
        <v>0</v>
      </c>
      <c r="G124" s="358" t="s"/>
      <c r="H124" s="358" t="s"/>
      <c r="I124" s="358" t="s"/>
      <c r="J124" s="358" t="s"/>
      <c r="K124" s="357">
        <f>=IF($J117="是",IF(AND(K$209-$I117+1&gt;0,MOD(K$209-$I117+1,$H117)=1),$F124,0),IF(K$209-$I117+1=1,$F124,0))</f>
        <v>0</v>
      </c>
      <c r="L124" s="357">
        <f>=IF($J117="是",IF(AND(L$209-$I117+1&gt;0,MOD(L$209-$I117+1,$H117)=1),$F124,0),IF(L$209-$I117+1=1,$F124,0))</f>
        <v>0</v>
      </c>
      <c r="M124" s="357">
        <f>=IF($J117="是",IF(AND(M$209-$I117+1&gt;0,MOD(M$209-$I117+1,$H117)=1),$F124,0),IF(M$209-$I117+1=1,$F124,0))</f>
        <v>0</v>
      </c>
      <c r="N124" s="357">
        <f>=IF($J117="是",IF(AND(N$209-$I117+1&gt;0,MOD(N$209-$I117+1,$H117)=1),$F124,0),IF(N$209-$I117+1=1,$F124,0))</f>
        <v>0</v>
      </c>
      <c r="O124" s="357">
        <f>=IF($J117="是",IF(AND(O$209-$I117+1&gt;0,MOD(O$209-$I117+1,$H117)=1),$F124,0),IF(O$209-$I117+1=1,$F124,0))</f>
        <v>0</v>
      </c>
      <c r="P124" s="357">
        <f>=IF($J117="是",IF(AND(P$209-$I117+1&gt;0,MOD(P$209-$I117+1,$H117)=1),$F124,0),IF(P$209-$I117+1=1,$F124,0))</f>
        <v>0</v>
      </c>
      <c r="Q124" s="357">
        <f>=IF($J117="是",IF(AND(Q$209-$I117+1&gt;0,MOD(Q$209-$I117+1,$H117)=1),$F124,0),IF(Q$209-$I117+1=1,$F124,0))</f>
        <v>0</v>
      </c>
      <c r="R124" s="357">
        <f>=IF($J117="是",IF(AND(R$209-$I117+1&gt;0,MOD(R$209-$I117+1,$H117)=1),$F124,0),IF(R$209-$I117+1=1,$F124,0))</f>
        <v>0</v>
      </c>
      <c r="S124" s="357">
        <f>=IF($J117="是",IF(AND(S$209-$I117+1&gt;0,MOD(S$209-$I117+1,$H117)=1),$F124,0),IF(S$209-$I117+1=1,$F124,0))</f>
        <v>0</v>
      </c>
      <c r="T124" s="357">
        <f>=IF($J117="是",IF(AND(T$209-$I117+1&gt;0,MOD(T$209-$I117+1,$H117)=1),$F124,0),IF(T$209-$I117+1=1,$F124,0))</f>
        <v>0</v>
      </c>
      <c r="U124" s="357">
        <f>=IF($J117="是",IF(AND(U$209-$I117+1&gt;0,MOD(U$209-$I117+1,$H117)=1),$F124,0),IF(U$209-$I117+1=1,$F124,0))</f>
        <v>0</v>
      </c>
      <c r="V124" s="357">
        <f>=IF($J117="是",IF(AND(V$209-$I117+1&gt;0,MOD(V$209-$I117+1,$H117)=1),$F124,0),IF(V$209-$I117+1=1,$F124,0))</f>
        <v>0</v>
      </c>
      <c r="W124" s="357">
        <f>=IF($J117="是",IF(AND(W$209-$I117+1&gt;0,MOD(W$209-$I117+1,$H117)=1),$F124,0),IF(W$209-$I117+1=1,$F124,0))</f>
        <v>0</v>
      </c>
      <c r="X124" s="357">
        <f>=IF($J117="是",IF(AND(X$209-$I117+1&gt;0,MOD(X$209-$I117+1,$H117)=1),$F124,0),IF(X$209-$I117+1=1,$F124,0))</f>
        <v>0</v>
      </c>
      <c r="Y124" s="357">
        <f>=IF($J117="是",IF(AND(Y$209-$I117+1&gt;0,MOD(Y$209-$I117+1,$H117)=1),$F124,0),IF(Y$209-$I117+1=1,$F124,0))</f>
        <v>0</v>
      </c>
      <c r="Z124" s="357">
        <f>=IF($J117="是",IF(AND(Z$209-$I117+1&gt;0,MOD(Z$209-$I117+1,$H117)=1),$F124,0),IF(Z$209-$I117+1=1,$F124,0))</f>
        <v>0</v>
      </c>
      <c r="AA124" s="357">
        <f>=IF($J117="是",IF(AND(AA$209-$I117+1&gt;0,MOD(AA$209-$I117+1,$H117)=1),$F124,0),IF(AA$209-$I117+1=1,$F124,0))</f>
        <v>0</v>
      </c>
      <c r="AB124" s="357">
        <f>=IF($J117="是",IF(AND(AB$209-$I117+1&gt;0,MOD(AB$209-$I117+1,$H117)=1),$F124,0),IF(AB$209-$I117+1=1,$F124,0))</f>
        <v>0</v>
      </c>
      <c r="AC124" s="357">
        <f>=IF($J117="是",IF(AND(AC$209-$I117+1&gt;0,MOD(AC$209-$I117+1,$H117)=1),$F124,0),IF(AC$209-$I117+1=1,$F124,0))</f>
        <v>0</v>
      </c>
      <c r="AD124" s="357">
        <f>=IF($J117="是",IF(AND(AD$209-$I117+1&gt;0,MOD(AD$209-$I117+1,$H117)=1),$F124,0),IF(AD$209-$I117+1=1,$F124,0))</f>
        <v>0</v>
      </c>
      <c r="AE124" s="357">
        <f>=IF($J117="是",IF(AND(AE$209-$I117+1&gt;0,MOD(AE$209-$I117+1,$H117)=1),$F124,0),IF(AE$209-$I117+1=1,$F124,0))</f>
        <v>0</v>
      </c>
      <c r="AF124" s="357">
        <f>=IF($J117="是",IF(AND(AF$209-$I117+1&gt;0,MOD(AF$209-$I117+1,$H117)=1),$F124,0),IF(AF$209-$I117+1=1,$F124,0))</f>
        <v>0</v>
      </c>
    </row>
    <row r="125" spans="1:32" ht="12" hidden="true" customHeight="true">
      <c r="A125" s="297">
        <v>14</v>
      </c>
      <c r="B125" s="358" t="s">
        <v>712</v>
      </c>
      <c r="C125" s="379" t="s"/>
      <c r="D125" s="380" t="s">
        <v>185</v>
      </c>
      <c r="E125" s="381">
        <v>0.13</v>
      </c>
      <c r="F125" s="357">
        <f>=IF($D125="是",$C125/(1+$E125),$C125)</f>
        <v>0</v>
      </c>
      <c r="G125" s="382">
        <v>0.05</v>
      </c>
      <c r="H125" s="378">
        <v>5</v>
      </c>
      <c r="I125" s="378">
        <f>=辅助表1评估项目基础数据表!$C$3+1</f>
        <v>3</v>
      </c>
      <c r="J125" s="380" t="s">
        <v>185</v>
      </c>
      <c r="K125" s="371" t="s"/>
      <c r="L125" s="371" t="s"/>
      <c r="M125" s="372" t="s"/>
      <c r="N125" s="372" t="s"/>
      <c r="O125" s="372" t="s"/>
      <c r="P125" s="372" t="s"/>
      <c r="Q125" s="372" t="s"/>
      <c r="R125" s="372" t="s"/>
      <c r="S125" s="372" t="s"/>
      <c r="T125" s="372" t="s"/>
      <c r="U125" s="372" t="s"/>
      <c r="V125" s="372" t="s"/>
      <c r="W125" s="372" t="s"/>
      <c r="X125" s="372" t="s"/>
      <c r="Y125" s="372" t="s"/>
      <c r="Z125" s="372" t="s"/>
      <c r="AA125" s="372" t="s"/>
      <c r="AB125" s="372" t="s"/>
      <c r="AC125" s="372" t="s"/>
      <c r="AD125" s="372" t="s"/>
      <c r="AE125" s="372" t="s"/>
      <c r="AF125" s="372" t="s"/>
    </row>
    <row r="126" spans="1:32" ht="12" hidden="true" customHeight="true">
      <c r="A126" s="297" t="s"/>
      <c r="B126" s="358" t="s">
        <v>704</v>
      </c>
      <c r="C126" s="297" t="s">
        <v>718</v>
      </c>
      <c r="D126" s="358" t="s"/>
      <c r="E126" s="358" t="s"/>
      <c r="F126" s="358" t="s"/>
      <c r="G126" s="358" t="s"/>
      <c r="H126" s="358" t="s"/>
      <c r="I126" s="358" t="s"/>
      <c r="J126" s="358" t="s"/>
      <c r="K126" s="357">
        <f>=IF(K$209&lt;$I125,0,IF(K$209-$I125+1&lt;=$H125,(($F125-$F125*$G125)*($H125-K$209-$I125+1+1)*2/($H125*($H125+1))),0))</f>
        <v>0</v>
      </c>
      <c r="L126" s="357">
        <f>=IF(L$209&lt;$I125,0,IF(L$209-$I125+1&lt;=$H125,(($F125-$F125*$G125)*($H125-L$209-$I125+1+1)*2/($H125*($H125+1))),0))</f>
        <v>0</v>
      </c>
      <c r="M126" s="357">
        <f>=IF(M$209&lt;$I125,0,IF(M$209-$I125+1&lt;=$H125,(($F125-$F125*$G125)*($H125-M$209-$I125+1+1)*2/($H125*($H125+1))),0))</f>
        <v>0</v>
      </c>
      <c r="N126" s="357">
        <f>=IF(N$209&lt;$I125,0,IF(N$209-$I125+1&lt;=$H125,(($F125-$F125*$G125)*($H125-N$209-$I125+1+1)*2/($H125*($H125+1))),0))</f>
        <v>0</v>
      </c>
      <c r="O126" s="357">
        <f>=IF(O$209&lt;$I125,0,IF(O$209-$I125+1&lt;=$H125,(($F125-$F125*$G125)*($H125-O$209-$I125+1+1)*2/($H125*($H125+1))),0))</f>
        <v>0</v>
      </c>
      <c r="P126" s="357">
        <f>=IF(P$209&lt;$I125,0,IF(P$209-$I125+1&lt;=$H125,(($F125-$F125*$G125)*($H125-P$209-$I125+1+1)*2/($H125*($H125+1))),0))</f>
        <v>0</v>
      </c>
      <c r="Q126" s="357">
        <f>=IF(Q$209&lt;$I125,0,IF(Q$209-$I125+1&lt;=$H125,(($F125-$F125*$G125)*($H125-Q$209-$I125+1+1)*2/($H125*($H125+1))),0))</f>
        <v>0</v>
      </c>
      <c r="R126" s="357">
        <f>=IF(R$209&lt;$I125,0,IF(R$209-$I125+1&lt;=$H125,(($F125-$F125*$G125)*($H125-R$209-$I125+1+1)*2/($H125*($H125+1))),0))</f>
        <v>0</v>
      </c>
      <c r="S126" s="357">
        <f>=IF(S$209&lt;$I125,0,IF(S$209-$I125+1&lt;=$H125,(($F125-$F125*$G125)*($H125-S$209-$I125+1+1)*2/($H125*($H125+1))),0))</f>
        <v>0</v>
      </c>
      <c r="T126" s="357">
        <f>=IF(T$209&lt;$I125,0,IF(T$209-$I125+1&lt;=$H125,(($F125-$F125*$G125)*($H125-T$209-$I125+1+1)*2/($H125*($H125+1))),0))</f>
        <v>0</v>
      </c>
      <c r="U126" s="357">
        <f>=IF(U$209&lt;$I125,0,IF(U$209-$I125+1&lt;=$H125,(($F125-$F125*$G125)*($H125-U$209-$I125+1+1)*2/($H125*($H125+1))),0))</f>
        <v>0</v>
      </c>
      <c r="V126" s="357">
        <f>=IF(V$209&lt;$I125,0,IF(V$209-$I125+1&lt;=$H125,(($F125-$F125*$G125)*($H125-V$209-$I125+1+1)*2/($H125*($H125+1))),0))</f>
        <v>0</v>
      </c>
      <c r="W126" s="357">
        <f>=IF(W$209&lt;$I125,0,IF(W$209-$I125+1&lt;=$H125,(($F125-$F125*$G125)*($H125-W$209-$I125+1+1)*2/($H125*($H125+1))),0))</f>
        <v>0</v>
      </c>
      <c r="X126" s="357">
        <f>=IF(X$209&lt;$I125,0,IF(X$209-$I125+1&lt;=$H125,(($F125-$F125*$G125)*($H125-X$209-$I125+1+1)*2/($H125*($H125+1))),0))</f>
        <v>0</v>
      </c>
      <c r="Y126" s="357">
        <f>=IF(Y$209&lt;$I125,0,IF(Y$209-$I125+1&lt;=$H125,(($F125-$F125*$G125)*($H125-Y$209-$I125+1+1)*2/($H125*($H125+1))),0))</f>
        <v>0</v>
      </c>
      <c r="Z126" s="357">
        <f>=IF(Z$209&lt;$I125,0,IF(Z$209-$I125+1&lt;=$H125,(($F125-$F125*$G125)*($H125-Z$209-$I125+1+1)*2/($H125*($H125+1))),0))</f>
        <v>0</v>
      </c>
      <c r="AA126" s="357">
        <f>=IF(AA$209&lt;$I125,0,IF(AA$209-$I125+1&lt;=$H125,(($F125-$F125*$G125)*($H125-AA$209-$I125+1+1)*2/($H125*($H125+1))),0))</f>
        <v>0</v>
      </c>
      <c r="AB126" s="357">
        <f>=IF(AB$209&lt;$I125,0,IF(AB$209-$I125+1&lt;=$H125,(($F125-$F125*$G125)*($H125-AB$209-$I125+1+1)*2/($H125*($H125+1))),0))</f>
        <v>0</v>
      </c>
      <c r="AC126" s="357">
        <f>=IF(AC$209&lt;$I125,0,IF(AC$209-$I125+1&lt;=$H125,(($F125-$F125*$G125)*($H125-AC$209-$I125+1+1)*2/($H125*($H125+1))),0))</f>
        <v>0</v>
      </c>
      <c r="AD126" s="357">
        <f>=IF(AD$209&lt;$I125,0,IF(AD$209-$I125+1&lt;=$H125,(($F125-$F125*$G125)*($H125-AD$209-$I125+1+1)*2/($H125*($H125+1))),0))</f>
        <v>0</v>
      </c>
      <c r="AE126" s="357">
        <f>=IF(AE$209&lt;$I125,0,IF(AE$209-$I125+1&lt;=$H125,(($F125-$F125*$G125)*($H125-AE$209-$I125+1+1)*2/($H125*($H125+1))),0))</f>
        <v>0</v>
      </c>
      <c r="AF126" s="357">
        <f>=IF(AF$209&lt;$I125,0,IF(AF$209-$I125+1&lt;=$H125,(($F125-$F125*$G125)*($H125-AF$209-$I125+1+1)*2/($H125*($H125+1))),0))</f>
        <v>0</v>
      </c>
    </row>
    <row r="127" spans="1:32" ht="12" hidden="true" customHeight="true">
      <c r="A127" s="297" t="s"/>
      <c r="B127" s="358" t="s">
        <v>705</v>
      </c>
      <c r="C127" s="358" t="s"/>
      <c r="D127" s="358" t="s"/>
      <c r="E127" s="358" t="s"/>
      <c r="F127" s="358" t="s"/>
      <c r="G127" s="358" t="s"/>
      <c r="H127" s="358" t="s"/>
      <c r="I127" s="358" t="s"/>
      <c r="J127" s="358" t="s"/>
      <c r="K127" s="357">
        <f>=IF(K$209=$I125,$F125-K126,0)</f>
        <v>0</v>
      </c>
      <c r="L127" s="357">
        <f>=IF(L$209=$I125,$F125-L126,IF(L$209&gt;$I125,IF(AND($J125="是",L$209&gt;=$I125+$H125),0,K127-L126),0))</f>
        <v>0</v>
      </c>
      <c r="M127" s="357">
        <f>=IF(M$209=$I125,$F125-M126,IF(M$209&gt;$I125,IF(AND($J125="是",M$209&gt;=$I125+$H125),0,L127-M126),0))</f>
        <v>0</v>
      </c>
      <c r="N127" s="357">
        <f>=IF(N$209=$I125,$F125-N126,IF(N$209&gt;$I125,IF(AND($J125="是",N$209&gt;=$I125+$H125),0,M127-N126),0))</f>
        <v>0</v>
      </c>
      <c r="O127" s="357">
        <f>=IF(O$209=$I125,$F125-O126,IF(O$209&gt;$I125,IF(AND($J125="是",O$209&gt;=$I125+$H125),0,N127-O126),0))</f>
        <v>0</v>
      </c>
      <c r="P127" s="357">
        <f>=IF(P$209=$I125,$F125-P126,IF(P$209&gt;$I125,IF(AND($J125="是",P$209&gt;=$I125+$H125),0,O127-P126),0))</f>
        <v>0</v>
      </c>
      <c r="Q127" s="357">
        <f>=IF(Q$209=$I125,$F125-Q126,IF(Q$209&gt;$I125,IF(AND($J125="是",Q$209&gt;=$I125+$H125),0,P127-Q126),0))</f>
        <v>0</v>
      </c>
      <c r="R127" s="357">
        <f>=IF(R$209=$I125,$F125-R126,IF(R$209&gt;$I125,IF(AND($J125="是",R$209&gt;=$I125+$H125),0,Q127-R126),0))</f>
        <v>0</v>
      </c>
      <c r="S127" s="357">
        <f>=IF(S$209=$I125,$F125-S126,IF(S$209&gt;$I125,IF(AND($J125="是",S$209&gt;=$I125+$H125),0,R127-S126),0))</f>
        <v>0</v>
      </c>
      <c r="T127" s="357">
        <f>=IF(T$209=$I125,$F125-T126,IF(T$209&gt;$I125,IF(AND($J125="是",T$209&gt;=$I125+$H125),0,S127-T126),0))</f>
        <v>0</v>
      </c>
      <c r="U127" s="357">
        <f>=IF(U$209=$I125,$F125-U126,IF(U$209&gt;$I125,IF(AND($J125="是",U$209&gt;=$I125+$H125),0,T127-U126),0))</f>
        <v>0</v>
      </c>
      <c r="V127" s="357">
        <f>=IF(V$209=$I125,$F125-V126,IF(V$209&gt;$I125,IF(AND($J125="是",V$209&gt;=$I125+$H125),0,U127-V126),0))</f>
        <v>0</v>
      </c>
      <c r="W127" s="357">
        <f>=IF(W$209=$I125,$F125-W126,IF(W$209&gt;$I125,IF(AND($J125="是",W$209&gt;=$I125+$H125),0,V127-W126),0))</f>
        <v>0</v>
      </c>
      <c r="X127" s="357">
        <f>=IF(X$209=$I125,$F125-X126,IF(X$209&gt;$I125,IF(AND($J125="是",X$209&gt;=$I125+$H125),0,W127-X126),0))</f>
        <v>0</v>
      </c>
      <c r="Y127" s="357">
        <f>=IF(Y$209=$I125,$F125-Y126,IF(Y$209&gt;$I125,IF(AND($J125="是",Y$209&gt;=$I125+$H125),0,X127-Y126),0))</f>
        <v>0</v>
      </c>
      <c r="Z127" s="357">
        <f>=IF(Z$209=$I125,$F125-Z126,IF(Z$209&gt;$I125,IF(AND($J125="是",Z$209&gt;=$I125+$H125),0,Y127-Z126),0))</f>
        <v>0</v>
      </c>
      <c r="AA127" s="357">
        <f>=IF(AA$209=$I125,$F125-AA126,IF(AA$209&gt;$I125,IF(AND($J125="是",AA$209&gt;=$I125+$H125),0,Z127-AA126),0))</f>
        <v>0</v>
      </c>
      <c r="AB127" s="357">
        <f>=IF(AB$209=$I125,$F125-AB126,IF(AB$209&gt;$I125,IF(AND($J125="是",AB$209&gt;=$I125+$H125),0,AA127-AB126),0))</f>
        <v>0</v>
      </c>
      <c r="AC127" s="357">
        <f>=IF(AC$209=$I125,$F125-AC126,IF(AC$209&gt;$I125,IF(AND($J125="是",AC$209&gt;=$I125+$H125),0,AB127-AC126),0))</f>
        <v>0</v>
      </c>
      <c r="AD127" s="357">
        <f>=IF(AD$209=$I125,$F125-AD126,IF(AD$209&gt;$I125,IF(AND($J125="是",AD$209&gt;=$I125+$H125),0,AC127-AD126),0))</f>
        <v>0</v>
      </c>
      <c r="AE127" s="357">
        <f>=IF(AE$209=$I125,$F125-AE126,IF(AE$209&gt;$I125,IF(AND($J125="是",AE$209&gt;=$I125+$H125),0,AD127-AE126),0))</f>
        <v>0</v>
      </c>
      <c r="AF127" s="357">
        <f>=IF(AF$209=$I125,$F125-AF126,IF(AF$209&gt;$I125,IF(AND($J125="是",AF$209&gt;=$I125+$H125),0,AE127-AF126),0))</f>
        <v>0</v>
      </c>
    </row>
    <row r="128" spans="1:32" ht="12" hidden="true" customHeight="true">
      <c r="A128" s="297" t="s"/>
      <c r="B128" s="358" t="s">
        <v>706</v>
      </c>
      <c r="C128" s="358" t="s"/>
      <c r="D128" s="358" t="s"/>
      <c r="E128" s="358" t="s"/>
      <c r="F128" s="358" t="s"/>
      <c r="G128" s="358" t="s"/>
      <c r="H128" s="358" t="s"/>
      <c r="I128" s="358" t="s"/>
      <c r="J128" s="358" t="s"/>
      <c r="K128" s="357">
        <f>=IF(AND($J125="是",K$209&gt;=$H125+$I125),IF(MOD(K$209-$I$117+1,$H125)=0,SYD($F125,$F125*$G125,$H125,$H125),SYD($F125,$F125*$G125,$H125,MOD(K$209-$I$117+1,$H125))),0)</f>
        <v>0</v>
      </c>
      <c r="L128" s="357">
        <f>=IF(AND($J125="是",L$209&gt;=$H125+$I125),IF(MOD(L$209-$I$117+1,$H125)=0,SYD($F125,$F125*$G125,$H125,$H125),SYD($F125,$F125*$G125,$H125,MOD(L$209-$I$117+1,$H125))),0)</f>
        <v>0</v>
      </c>
      <c r="M128" s="357">
        <f>=IF(AND($J125="是",M$209&gt;=$H125+$I125),IF(MOD(M$209-$I$117+1,$H125)=0,SYD($F125,$F125*$G125,$H125,$H125),SYD($F125,$F125*$G125,$H125,MOD(M$209-$I$117+1,$H125))),0)</f>
        <v>0</v>
      </c>
      <c r="N128" s="357">
        <f>=IF(AND($J125="是",N$209&gt;=$H125+$I125),IF(MOD(N$209-$I$117+1,$H125)=0,SYD($F125,$F125*$G125,$H125,$H125),SYD($F125,$F125*$G125,$H125,MOD(N$209-$I$117+1,$H125))),0)</f>
        <v>0</v>
      </c>
      <c r="O128" s="357">
        <f>=IF(AND($J125="是",O$209&gt;=$H125+$I125),IF(MOD(O$209-$I$117+1,$H125)=0,SYD($F125,$F125*$G125,$H125,$H125),SYD($F125,$F125*$G125,$H125,MOD(O$209-$I$117+1,$H125))),0)</f>
        <v>0</v>
      </c>
      <c r="P128" s="357">
        <f>=IF(AND($J125="是",P$209&gt;=$H125+$I125),IF(MOD(P$209-$I$117+1,$H125)=0,SYD($F125,$F125*$G125,$H125,$H125),SYD($F125,$F125*$G125,$H125,MOD(P$209-$I$117+1,$H125))),0)</f>
        <v>0</v>
      </c>
      <c r="Q128" s="357">
        <f>=IF(AND($J125="是",Q$209&gt;=$H125+$I125),IF(MOD(Q$209-$I$117+1,$H125)=0,SYD($F125,$F125*$G125,$H125,$H125),SYD($F125,$F125*$G125,$H125,MOD(Q$209-$I$117+1,$H125))),0)</f>
        <v>0</v>
      </c>
      <c r="R128" s="357">
        <f>=IF(AND($J125="是",R$209&gt;=$H125+$I125),IF(MOD(R$209-$I$117+1,$H125)=0,SYD($F125,$F125*$G125,$H125,$H125),SYD($F125,$F125*$G125,$H125,MOD(R$209-$I$117+1,$H125))),0)</f>
        <v>0</v>
      </c>
      <c r="S128" s="357">
        <f>=IF(AND($J125="是",S$209&gt;=$H125+$I125),IF(MOD(S$209-$I$117+1,$H125)=0,SYD($F125,$F125*$G125,$H125,$H125),SYD($F125,$F125*$G125,$H125,MOD(S$209-$I$117+1,$H125))),0)</f>
        <v>0</v>
      </c>
      <c r="T128" s="357">
        <f>=IF(AND($J125="是",T$209&gt;=$H125+$I125),IF(MOD(T$209-$I$117+1,$H125)=0,SYD($F125,$F125*$G125,$H125,$H125),SYD($F125,$F125*$G125,$H125,MOD(T$209-$I$117+1,$H125))),0)</f>
        <v>0</v>
      </c>
      <c r="U128" s="357">
        <f>=IF(AND($J125="是",U$209&gt;=$H125+$I125),IF(MOD(U$209-$I$117+1,$H125)=0,SYD($F125,$F125*$G125,$H125,$H125),SYD($F125,$F125*$G125,$H125,MOD(U$209-$I$117+1,$H125))),0)</f>
        <v>0</v>
      </c>
      <c r="V128" s="357">
        <f>=IF(AND($J125="是",V$209&gt;=$H125+$I125),IF(MOD(V$209-$I$117+1,$H125)=0,SYD($F125,$F125*$G125,$H125,$H125),SYD($F125,$F125*$G125,$H125,MOD(V$209-$I$117+1,$H125))),0)</f>
        <v>0</v>
      </c>
      <c r="W128" s="357">
        <f>=IF(AND($J125="是",W$209&gt;=$H125+$I125),IF(MOD(W$209-$I$117+1,$H125)=0,SYD($F125,$F125*$G125,$H125,$H125),SYD($F125,$F125*$G125,$H125,MOD(W$209-$I$117+1,$H125))),0)</f>
        <v>0</v>
      </c>
      <c r="X128" s="357">
        <f>=IF(AND($J125="是",X$209&gt;=$H125+$I125),IF(MOD(X$209-$I$117+1,$H125)=0,SYD($F125,$F125*$G125,$H125,$H125),SYD($F125,$F125*$G125,$H125,MOD(X$209-$I$117+1,$H125))),0)</f>
        <v>0</v>
      </c>
      <c r="Y128" s="357">
        <f>=IF(AND($J125="是",Y$209&gt;=$H125+$I125),IF(MOD(Y$209-$I$117+1,$H125)=0,SYD($F125,$F125*$G125,$H125,$H125),SYD($F125,$F125*$G125,$H125,MOD(Y$209-$I$117+1,$H125))),0)</f>
        <v>0</v>
      </c>
      <c r="Z128" s="357">
        <f>=IF(AND($J125="是",Z$209&gt;=$H125+$I125),IF(MOD(Z$209-$I$117+1,$H125)=0,SYD($F125,$F125*$G125,$H125,$H125),SYD($F125,$F125*$G125,$H125,MOD(Z$209-$I$117+1,$H125))),0)</f>
        <v>0</v>
      </c>
      <c r="AA128" s="357">
        <f>=IF(AND($J125="是",AA$209&gt;=$H125+$I125),IF(MOD(AA$209-$I$117+1,$H125)=0,SYD($F125,$F125*$G125,$H125,$H125),SYD($F125,$F125*$G125,$H125,MOD(AA$209-$I$117+1,$H125))),0)</f>
        <v>0</v>
      </c>
      <c r="AB128" s="357">
        <f>=IF(AND($J125="是",AB$209&gt;=$H125+$I125),IF(MOD(AB$209-$I$117+1,$H125)=0,SYD($F125,$F125*$G125,$H125,$H125),SYD($F125,$F125*$G125,$H125,MOD(AB$209-$I$117+1,$H125))),0)</f>
        <v>0</v>
      </c>
      <c r="AC128" s="357">
        <f>=IF(AND($J125="是",AC$209&gt;=$H125+$I125),IF(MOD(AC$209-$I$117+1,$H125)=0,SYD($F125,$F125*$G125,$H125,$H125),SYD($F125,$F125*$G125,$H125,MOD(AC$209-$I$117+1,$H125))),0)</f>
        <v>0</v>
      </c>
      <c r="AD128" s="357">
        <f>=IF(AND($J125="是",AD$209&gt;=$H125+$I125),IF(MOD(AD$209-$I$117+1,$H125)=0,SYD($F125,$F125*$G125,$H125,$H125),SYD($F125,$F125*$G125,$H125,MOD(AD$209-$I$117+1,$H125))),0)</f>
        <v>0</v>
      </c>
      <c r="AE128" s="357">
        <f>=IF(AND($J125="是",AE$209&gt;=$H125+$I125),IF(MOD(AE$209-$I$117+1,$H125)=0,SYD($F125,$F125*$G125,$H125,$H125),SYD($F125,$F125*$G125,$H125,MOD(AE$209-$I$117+1,$H125))),0)</f>
        <v>0</v>
      </c>
      <c r="AF128" s="357">
        <f>=IF(AND($J125="是",AF$209&gt;=$H125+$I125),IF(MOD(AF$209-$I$117+1,$H125)=0,SYD($F125,$F125*$G125,$H125,$H125),SYD($F125,$F125*$G125,$H125,MOD(AF$209-$I$117+1,$H125))),0)</f>
        <v>0</v>
      </c>
    </row>
    <row r="129" spans="1:32" ht="12" hidden="true" customHeight="true">
      <c r="A129" s="297" t="s"/>
      <c r="B129" s="358" t="s">
        <v>707</v>
      </c>
      <c r="C129" s="358" t="s"/>
      <c r="D129" s="358" t="s"/>
      <c r="E129" s="358" t="s"/>
      <c r="F129" s="358" t="s"/>
      <c r="G129" s="358" t="s"/>
      <c r="H129" s="358" t="s"/>
      <c r="I129" s="358" t="s"/>
      <c r="J129" s="358" t="s"/>
      <c r="K129" s="357">
        <f>=IF(K$209&lt;$I125+$H125,0,IF($J125="是",IF(OR($H125=1,MOD(K$209-$I125+1,$H125)=1),$F125-K128,J129-K128),0))</f>
        <v>0</v>
      </c>
      <c r="L129" s="357">
        <f>=IF(L$209&lt;$I125+$H125,0,IF($J125="是",IF(OR($H125=1,MOD(L$209-$I125+1,$H125)=1),$F125-L128,K129-L128),0))</f>
        <v>0</v>
      </c>
      <c r="M129" s="357">
        <f>=IF(M$209&lt;$I125+$H125,0,IF($J125="是",IF(OR($H125=1,MOD(M$209-$I125+1,$H125)=1),$F125-M128,L129-M128),0))</f>
        <v>0</v>
      </c>
      <c r="N129" s="357">
        <f>=IF(N$209&lt;$I125+$H125,0,IF($J125="是",IF(OR($H125=1,MOD(N$209-$I125+1,$H125)=1),$F125-N128,M129-N128),0))</f>
        <v>0</v>
      </c>
      <c r="O129" s="357">
        <f>=IF(O$209&lt;$I125+$H125,0,IF($J125="是",IF(OR($H125=1,MOD(O$209-$I125+1,$H125)=1),$F125-O128,N129-O128),0))</f>
        <v>0</v>
      </c>
      <c r="P129" s="357">
        <f>=IF(P$209&lt;$I125+$H125,0,IF($J125="是",IF(OR($H125=1,MOD(P$209-$I125+1,$H125)=1),$F125-P128,O129-P128),0))</f>
        <v>0</v>
      </c>
      <c r="Q129" s="357">
        <f>=IF(Q$209&lt;$I125+$H125,0,IF($J125="是",IF(OR($H125=1,MOD(Q$209-$I125+1,$H125)=1),$F125-Q128,P129-Q128),0))</f>
        <v>0</v>
      </c>
      <c r="R129" s="357">
        <f>=IF(R$209&lt;$I125+$H125,0,IF($J125="是",IF(OR($H125=1,MOD(R$209-$I125+1,$H125)=1),$F125-R128,Q129-R128),0))</f>
        <v>0</v>
      </c>
      <c r="S129" s="357">
        <f>=IF(S$209&lt;$I125+$H125,0,IF($J125="是",IF(OR($H125=1,MOD(S$209-$I125+1,$H125)=1),$F125-S128,R129-S128),0))</f>
        <v>0</v>
      </c>
      <c r="T129" s="357">
        <f>=IF(T$209&lt;$I125+$H125,0,IF($J125="是",IF(OR($H125=1,MOD(T$209-$I125+1,$H125)=1),$F125-T128,S129-T128),0))</f>
        <v>0</v>
      </c>
      <c r="U129" s="357">
        <f>=IF(U$209&lt;$I125+$H125,0,IF($J125="是",IF(OR($H125=1,MOD(U$209-$I125+1,$H125)=1),$F125-U128,T129-U128),0))</f>
        <v>0</v>
      </c>
      <c r="V129" s="357">
        <f>=IF(V$209&lt;$I125+$H125,0,IF($J125="是",IF(OR($H125=1,MOD(V$209-$I125+1,$H125)=1),$F125-V128,U129-V128),0))</f>
        <v>0</v>
      </c>
      <c r="W129" s="357">
        <f>=IF(W$209&lt;$I125+$H125,0,IF($J125="是",IF(OR($H125=1,MOD(W$209-$I125+1,$H125)=1),$F125-W128,V129-W128),0))</f>
        <v>0</v>
      </c>
      <c r="X129" s="357">
        <f>=IF(X$209&lt;$I125+$H125,0,IF($J125="是",IF(OR($H125=1,MOD(X$209-$I125+1,$H125)=1),$F125-X128,W129-X128),0))</f>
        <v>0</v>
      </c>
      <c r="Y129" s="357">
        <f>=IF(Y$209&lt;$I125+$H125,0,IF($J125="是",IF(OR($H125=1,MOD(Y$209-$I125+1,$H125)=1),$F125-Y128,X129-Y128),0))</f>
        <v>0</v>
      </c>
      <c r="Z129" s="357">
        <f>=IF(Z$209&lt;$I125+$H125,0,IF($J125="是",IF(OR($H125=1,MOD(Z$209-$I125+1,$H125)=1),$F125-Z128,Y129-Z128),0))</f>
        <v>0</v>
      </c>
      <c r="AA129" s="357">
        <f>=IF(AA$209&lt;$I125+$H125,0,IF($J125="是",IF(OR($H125=1,MOD(AA$209-$I125+1,$H125)=1),$F125-AA128,Z129-AA128),0))</f>
        <v>0</v>
      </c>
      <c r="AB129" s="357">
        <f>=IF(AB$209&lt;$I125+$H125,0,IF($J125="是",IF(OR($H125=1,MOD(AB$209-$I125+1,$H125)=1),$F125-AB128,AA129-AB128),0))</f>
        <v>0</v>
      </c>
      <c r="AC129" s="357">
        <f>=IF(AC$209&lt;$I125+$H125,0,IF($J125="是",IF(OR($H125=1,MOD(AC$209-$I125+1,$H125)=1),$F125-AC128,AB129-AC128),0))</f>
        <v>0</v>
      </c>
      <c r="AD129" s="357">
        <f>=IF(AD$209&lt;$I125+$H125,0,IF($J125="是",IF(OR($H125=1,MOD(AD$209-$I125+1,$H125)=1),$F125-AD128,AC129-AD128),0))</f>
        <v>0</v>
      </c>
      <c r="AE129" s="357">
        <f>=IF(AE$209&lt;$I125+$H125,0,IF($J125="是",IF(OR($H125=1,MOD(AE$209-$I125+1,$H125)=1),$F125-AE128,AD129-AE128),0))</f>
        <v>0</v>
      </c>
      <c r="AF129" s="357">
        <f>=IF(AF$209&lt;$I125+$H125,0,IF($J125="是",IF(OR($H125=1,MOD(AF$209-$I125+1,$H125)=1),$F125-AF128,AE129-AF128),0))</f>
        <v>0</v>
      </c>
    </row>
    <row r="130" spans="1:32" ht="12" hidden="true" customHeight="true">
      <c r="A130" s="297" t="s"/>
      <c r="B130" s="358" t="s">
        <v>708</v>
      </c>
      <c r="C130" s="358" t="s"/>
      <c r="D130" s="358" t="s"/>
      <c r="E130" s="358" t="s"/>
      <c r="F130" s="358" t="s"/>
      <c r="G130" s="358" t="s"/>
      <c r="H130" s="358" t="s"/>
      <c r="I130" s="358" t="s"/>
      <c r="J130" s="358" t="s"/>
      <c r="K130" s="357">
        <f>=IF(AND($J125="是",K$209&gt;=$H125+$I125,MOD(K$209-$I125+1,$H125)=1),$F125,0)</f>
        <v>0</v>
      </c>
      <c r="L130" s="357">
        <f>=IF(AND($J125="是",L$209&gt;=$H125+$I125,MOD(L$209-$I125+1,$H125)=1),$F125,0)</f>
        <v>0</v>
      </c>
      <c r="M130" s="357">
        <f>=IF(AND($J125="是",M$209&gt;=$H125+$I125,MOD(M$209-$I125+1,$H125)=1),$F125,0)</f>
        <v>0</v>
      </c>
      <c r="N130" s="357">
        <f>=IF(AND($J125="是",N$209&gt;=$H125+$I125,MOD(N$209-$I125+1,$H125)=1),$F125,0)</f>
        <v>0</v>
      </c>
      <c r="O130" s="357">
        <f>=IF(AND($J125="是",O$209&gt;=$H125+$I125,MOD(O$209-$I125+1,$H125)=1),$F125,0)</f>
        <v>0</v>
      </c>
      <c r="P130" s="357">
        <f>=IF(AND($J125="是",P$209&gt;=$H125+$I125,MOD(P$209-$I125+1,$H125)=1),$F125,0)</f>
        <v>0</v>
      </c>
      <c r="Q130" s="357">
        <f>=IF(AND($J125="是",Q$209&gt;=$H125+$I125,MOD(Q$209-$I125+1,$H125)=1),$F125,0)</f>
        <v>0</v>
      </c>
      <c r="R130" s="357">
        <f>=IF(AND($J125="是",R$209&gt;=$H125+$I125,MOD(R$209-$I125+1,$H125)=1),$F125,0)</f>
        <v>0</v>
      </c>
      <c r="S130" s="357">
        <f>=IF(AND($J125="是",S$209&gt;=$H125+$I125,MOD(S$209-$I125+1,$H125)=1),$F125,0)</f>
        <v>0</v>
      </c>
      <c r="T130" s="357">
        <f>=IF(AND($J125="是",T$209&gt;=$H125+$I125,MOD(T$209-$I125+1,$H125)=1),$F125,0)</f>
        <v>0</v>
      </c>
      <c r="U130" s="357">
        <f>=IF(AND($J125="是",U$209&gt;=$H125+$I125,MOD(U$209-$I125+1,$H125)=1),$F125,0)</f>
        <v>0</v>
      </c>
      <c r="V130" s="357">
        <f>=IF(AND($J125="是",V$209&gt;=$H125+$I125,MOD(V$209-$I125+1,$H125)=1),$F125,0)</f>
        <v>0</v>
      </c>
      <c r="W130" s="357">
        <f>=IF(AND($J125="是",W$209&gt;=$H125+$I125,MOD(W$209-$I125+1,$H125)=1),$F125,0)</f>
        <v>0</v>
      </c>
      <c r="X130" s="357">
        <f>=IF(AND($J125="是",X$209&gt;=$H125+$I125,MOD(X$209-$I125+1,$H125)=1),$F125,0)</f>
        <v>0</v>
      </c>
      <c r="Y130" s="357">
        <f>=IF(AND($J125="是",Y$209&gt;=$H125+$I125,MOD(Y$209-$I125+1,$H125)=1),$F125,0)</f>
        <v>0</v>
      </c>
      <c r="Z130" s="357">
        <f>=IF(AND($J125="是",Z$209&gt;=$H125+$I125,MOD(Z$209-$I125+1,$H125)=1),$F125,0)</f>
        <v>0</v>
      </c>
      <c r="AA130" s="357">
        <f>=IF(AND($J125="是",AA$209&gt;=$H125+$I125,MOD(AA$209-$I125+1,$H125)=1),$F125,0)</f>
        <v>0</v>
      </c>
      <c r="AB130" s="357">
        <f>=IF(AND($J125="是",AB$209&gt;=$H125+$I125,MOD(AB$209-$I125+1,$H125)=1),$F125,0)</f>
        <v>0</v>
      </c>
      <c r="AC130" s="357">
        <f>=IF(AND($J125="是",AC$209&gt;=$H125+$I125,MOD(AC$209-$I125+1,$H125)=1),$F125,0)</f>
        <v>0</v>
      </c>
      <c r="AD130" s="357">
        <f>=IF(AND($J125="是",AD$209&gt;=$H125+$I125,MOD(AD$209-$I125+1,$H125)=1),$F125,0)</f>
        <v>0</v>
      </c>
      <c r="AE130" s="357">
        <f>=IF(AND($J125="是",AE$209&gt;=$H125+$I125,MOD(AE$209-$I125+1,$H125)=1),$F125,0)</f>
        <v>0</v>
      </c>
      <c r="AF130" s="357">
        <f>=IF(AND($J125="是",AF$209&gt;=$H125+$I125,MOD(AF$209-$I125+1,$H125)=1),$F125,0)</f>
        <v>0</v>
      </c>
    </row>
    <row r="131" spans="1:32" ht="12" hidden="true" customHeight="true">
      <c r="A131" s="297" t="s"/>
      <c r="B131" s="358" t="s">
        <v>709</v>
      </c>
      <c r="C131" s="358" t="s"/>
      <c r="D131" s="358" t="s"/>
      <c r="E131" s="358" t="s"/>
      <c r="F131" s="358" t="s"/>
      <c r="G131" s="358" t="s"/>
      <c r="H131" s="358" t="s"/>
      <c r="I131" s="358" t="s"/>
      <c r="J131" s="358" t="s"/>
      <c r="K131" s="357">
        <f>=IF(K$209=辅助表1评估项目基础数据表!$C$3+辅助表1评估项目基础数据表!$C$5,K127+K129,IF(AND($J125="是",K$209&gt;=$H125+$I125,MOD(K$209-$I125+1,$H125)=1),$F125*$G125,0))</f>
        <v>0</v>
      </c>
      <c r="L131" s="357">
        <f>=IF(L$209=辅助表1评估项目基础数据表!$C$3+辅助表1评估项目基础数据表!$C$5,L127+L129,IF(AND($J125="是",L$209&gt;=$H125+$I125,MOD(L$209-$I125+1,$H125)=1),$F125*$G125,0))</f>
        <v>0</v>
      </c>
      <c r="M131" s="357">
        <f>=IF(M$209=辅助表1评估项目基础数据表!$C$3+辅助表1评估项目基础数据表!$C$5,M127+M129,IF(AND($J125="是",M$209&gt;=$H125+$I125,MOD(M$209-$I125+1,$H125)=1),$F125*$G125,0))</f>
        <v>0</v>
      </c>
      <c r="N131" s="357">
        <f>=IF(N$209=辅助表1评估项目基础数据表!$C$3+辅助表1评估项目基础数据表!$C$5,N127+N129,IF(AND($J125="是",N$209&gt;=$H125+$I125,MOD(N$209-$I125+1,$H125)=1),$F125*$G125,0))</f>
        <v>0</v>
      </c>
      <c r="O131" s="357">
        <f>=IF(O$209=辅助表1评估项目基础数据表!$C$3+辅助表1评估项目基础数据表!$C$5,O127+O129,IF(AND($J125="是",O$209&gt;=$H125+$I125,MOD(O$209-$I125+1,$H125)=1),$F125*$G125,0))</f>
        <v>0</v>
      </c>
      <c r="P131" s="357">
        <f>=IF(P$209=辅助表1评估项目基础数据表!$C$3+辅助表1评估项目基础数据表!$C$5,P127+P129,IF(AND($J125="是",P$209&gt;=$H125+$I125,MOD(P$209-$I125+1,$H125)=1),$F125*$G125,0))</f>
        <v>0</v>
      </c>
      <c r="Q131" s="357">
        <f>=IF(Q$209=辅助表1评估项目基础数据表!$C$3+辅助表1评估项目基础数据表!$C$5,Q127+Q129,IF(AND($J125="是",Q$209&gt;=$H125+$I125,MOD(Q$209-$I125+1,$H125)=1),$F125*$G125,0))</f>
        <v>0</v>
      </c>
      <c r="R131" s="357">
        <f>=IF(R$209=辅助表1评估项目基础数据表!$C$3+辅助表1评估项目基础数据表!$C$5,R127+R129,IF(AND($J125="是",R$209&gt;=$H125+$I125,MOD(R$209-$I125+1,$H125)=1),$F125*$G125,0))</f>
        <v>0</v>
      </c>
      <c r="S131" s="357">
        <f>=IF(S$209=辅助表1评估项目基础数据表!$C$3+辅助表1评估项目基础数据表!$C$5,S127+S129,IF(AND($J125="是",S$209&gt;=$H125+$I125,MOD(S$209-$I125+1,$H125)=1),$F125*$G125,0))</f>
        <v>0</v>
      </c>
      <c r="T131" s="357">
        <f>=IF(T$209=辅助表1评估项目基础数据表!$C$3+辅助表1评估项目基础数据表!$C$5,T127+T129,IF(AND($J125="是",T$209&gt;=$H125+$I125,MOD(T$209-$I125+1,$H125)=1),$F125*$G125,0))</f>
        <v>0</v>
      </c>
      <c r="U131" s="357">
        <f>=IF(U$209=辅助表1评估项目基础数据表!$C$3+辅助表1评估项目基础数据表!$C$5,U127+U129,IF(AND($J125="是",U$209&gt;=$H125+$I125,MOD(U$209-$I125+1,$H125)=1),$F125*$G125,0))</f>
        <v>0</v>
      </c>
      <c r="V131" s="357">
        <f>=IF(V$209=辅助表1评估项目基础数据表!$C$3+辅助表1评估项目基础数据表!$C$5,V127+V129,IF(AND($J125="是",V$209&gt;=$H125+$I125,MOD(V$209-$I125+1,$H125)=1),$F125*$G125,0))</f>
        <v>0</v>
      </c>
      <c r="W131" s="357">
        <f>=IF(W$209=辅助表1评估项目基础数据表!$C$3+辅助表1评估项目基础数据表!$C$5,W127+W129,IF(AND($J125="是",W$209&gt;=$H125+$I125,MOD(W$209-$I125+1,$H125)=1),$F125*$G125,0))</f>
        <v>0</v>
      </c>
      <c r="X131" s="357">
        <f>=IF(X$209=辅助表1评估项目基础数据表!$C$3+辅助表1评估项目基础数据表!$C$5,X127+X129,IF(AND($J125="是",X$209&gt;=$H125+$I125,MOD(X$209-$I125+1,$H125)=1),$F125*$G125,0))</f>
        <v>0</v>
      </c>
      <c r="Y131" s="357">
        <f>=IF(Y$209=辅助表1评估项目基础数据表!$C$3+辅助表1评估项目基础数据表!$C$5,Y127+Y129,IF(AND($J125="是",Y$209&gt;=$H125+$I125,MOD(Y$209-$I125+1,$H125)=1),$F125*$G125,0))</f>
        <v>0</v>
      </c>
      <c r="Z131" s="357">
        <f>=IF(Z$209=辅助表1评估项目基础数据表!$C$3+辅助表1评估项目基础数据表!$C$5,Z127+Z129,IF(AND($J125="是",Z$209&gt;=$H125+$I125,MOD(Z$209-$I125+1,$H125)=1),$F125*$G125,0))</f>
        <v>0</v>
      </c>
      <c r="AA131" s="357">
        <f>=IF(AA$209=辅助表1评估项目基础数据表!$C$3+辅助表1评估项目基础数据表!$C$5,AA127+AA129,IF(AND($J125="是",AA$209&gt;=$H125+$I125,MOD(AA$209-$I125+1,$H125)=1),$F125*$G125,0))</f>
        <v>0</v>
      </c>
      <c r="AB131" s="357">
        <f>=IF(AB$209=辅助表1评估项目基础数据表!$C$3+辅助表1评估项目基础数据表!$C$5,AB127+AB129,IF(AND($J125="是",AB$209&gt;=$H125+$I125,MOD(AB$209-$I125+1,$H125)=1),$F125*$G125,0))</f>
        <v>0</v>
      </c>
      <c r="AC131" s="357">
        <f>=IF(AC$209=辅助表1评估项目基础数据表!$C$3+辅助表1评估项目基础数据表!$C$5,AC127+AC129,IF(AND($J125="是",AC$209&gt;=$H125+$I125,MOD(AC$209-$I125+1,$H125)=1),$F125*$G125,0))</f>
        <v>0</v>
      </c>
      <c r="AD131" s="357">
        <f>=IF(AD$209=辅助表1评估项目基础数据表!$C$3+辅助表1评估项目基础数据表!$C$5,AD127+AD129,IF(AND($J125="是",AD$209&gt;=$H125+$I125,MOD(AD$209-$I125+1,$H125)=1),$F125*$G125,0))</f>
        <v>0</v>
      </c>
      <c r="AE131" s="357">
        <f>=IF(AE$209=辅助表1评估项目基础数据表!$C$3+辅助表1评估项目基础数据表!$C$5,AE127+AE129,IF(AND($J125="是",AE$209&gt;=$H125+$I125,MOD(AE$209-$I125+1,$H125)=1),$F125*$G125,0))</f>
        <v>0</v>
      </c>
      <c r="AF131" s="357">
        <f>=IF(AF$209=辅助表1评估项目基础数据表!$C$3+辅助表1评估项目基础数据表!$C$5,AF127+AF129,IF(AND($J125="是",AF$209&gt;=$H125+$I125,MOD(AF$209-$I125+1,$H125)=1),$F125*$G125,0))</f>
        <v>0</v>
      </c>
    </row>
    <row r="132" spans="1:32" ht="12" hidden="true" customHeight="true">
      <c r="A132" s="297" t="s"/>
      <c r="B132" s="358" t="s">
        <v>710</v>
      </c>
      <c r="C132" s="358" t="s"/>
      <c r="D132" s="358" t="s"/>
      <c r="E132" s="358" t="s"/>
      <c r="F132" s="357">
        <f>=IF($D125="是",$C125*$E125/(1+$E125),0)</f>
        <v>0</v>
      </c>
      <c r="G132" s="358" t="s"/>
      <c r="H132" s="358" t="s"/>
      <c r="I132" s="358" t="s"/>
      <c r="J132" s="358" t="s"/>
      <c r="K132" s="357">
        <f>=IF($J125="是",IF(AND(K$209-$I125+1&gt;0,MOD(K$209-$I125+1,$H125)=1),$F132,0),IF(K$209-$I125+1=1,$F132,0))</f>
        <v>0</v>
      </c>
      <c r="L132" s="357">
        <f>=IF($J125="是",IF(AND(L$209-$I125+1&gt;0,MOD(L$209-$I125+1,$H125)=1),$F132,0),IF(L$209-$I125+1=1,$F132,0))</f>
        <v>0</v>
      </c>
      <c r="M132" s="357">
        <f>=IF($J125="是",IF(AND(M$209-$I125+1&gt;0,MOD(M$209-$I125+1,$H125)=1),$F132,0),IF(M$209-$I125+1=1,$F132,0))</f>
        <v>0</v>
      </c>
      <c r="N132" s="357">
        <f>=IF($J125="是",IF(AND(N$209-$I125+1&gt;0,MOD(N$209-$I125+1,$H125)=1),$F132,0),IF(N$209-$I125+1=1,$F132,0))</f>
        <v>0</v>
      </c>
      <c r="O132" s="357">
        <f>=IF($J125="是",IF(AND(O$209-$I125+1&gt;0,MOD(O$209-$I125+1,$H125)=1),$F132,0),IF(O$209-$I125+1=1,$F132,0))</f>
        <v>0</v>
      </c>
      <c r="P132" s="357">
        <f>=IF($J125="是",IF(AND(P$209-$I125+1&gt;0,MOD(P$209-$I125+1,$H125)=1),$F132,0),IF(P$209-$I125+1=1,$F132,0))</f>
        <v>0</v>
      </c>
      <c r="Q132" s="357">
        <f>=IF($J125="是",IF(AND(Q$209-$I125+1&gt;0,MOD(Q$209-$I125+1,$H125)=1),$F132,0),IF(Q$209-$I125+1=1,$F132,0))</f>
        <v>0</v>
      </c>
      <c r="R132" s="357">
        <f>=IF($J125="是",IF(AND(R$209-$I125+1&gt;0,MOD(R$209-$I125+1,$H125)=1),$F132,0),IF(R$209-$I125+1=1,$F132,0))</f>
        <v>0</v>
      </c>
      <c r="S132" s="357">
        <f>=IF($J125="是",IF(AND(S$209-$I125+1&gt;0,MOD(S$209-$I125+1,$H125)=1),$F132,0),IF(S$209-$I125+1=1,$F132,0))</f>
        <v>0</v>
      </c>
      <c r="T132" s="357">
        <f>=IF($J125="是",IF(AND(T$209-$I125+1&gt;0,MOD(T$209-$I125+1,$H125)=1),$F132,0),IF(T$209-$I125+1=1,$F132,0))</f>
        <v>0</v>
      </c>
      <c r="U132" s="357">
        <f>=IF($J125="是",IF(AND(U$209-$I125+1&gt;0,MOD(U$209-$I125+1,$H125)=1),$F132,0),IF(U$209-$I125+1=1,$F132,0))</f>
        <v>0</v>
      </c>
      <c r="V132" s="357">
        <f>=IF($J125="是",IF(AND(V$209-$I125+1&gt;0,MOD(V$209-$I125+1,$H125)=1),$F132,0),IF(V$209-$I125+1=1,$F132,0))</f>
        <v>0</v>
      </c>
      <c r="W132" s="357">
        <f>=IF($J125="是",IF(AND(W$209-$I125+1&gt;0,MOD(W$209-$I125+1,$H125)=1),$F132,0),IF(W$209-$I125+1=1,$F132,0))</f>
        <v>0</v>
      </c>
      <c r="X132" s="357">
        <f>=IF($J125="是",IF(AND(X$209-$I125+1&gt;0,MOD(X$209-$I125+1,$H125)=1),$F132,0),IF(X$209-$I125+1=1,$F132,0))</f>
        <v>0</v>
      </c>
      <c r="Y132" s="357">
        <f>=IF($J125="是",IF(AND(Y$209-$I125+1&gt;0,MOD(Y$209-$I125+1,$H125)=1),$F132,0),IF(Y$209-$I125+1=1,$F132,0))</f>
        <v>0</v>
      </c>
      <c r="Z132" s="357">
        <f>=IF($J125="是",IF(AND(Z$209-$I125+1&gt;0,MOD(Z$209-$I125+1,$H125)=1),$F132,0),IF(Z$209-$I125+1=1,$F132,0))</f>
        <v>0</v>
      </c>
      <c r="AA132" s="357">
        <f>=IF($J125="是",IF(AND(AA$209-$I125+1&gt;0,MOD(AA$209-$I125+1,$H125)=1),$F132,0),IF(AA$209-$I125+1=1,$F132,0))</f>
        <v>0</v>
      </c>
      <c r="AB132" s="357">
        <f>=IF($J125="是",IF(AND(AB$209-$I125+1&gt;0,MOD(AB$209-$I125+1,$H125)=1),$F132,0),IF(AB$209-$I125+1=1,$F132,0))</f>
        <v>0</v>
      </c>
      <c r="AC132" s="357">
        <f>=IF($J125="是",IF(AND(AC$209-$I125+1&gt;0,MOD(AC$209-$I125+1,$H125)=1),$F132,0),IF(AC$209-$I125+1=1,$F132,0))</f>
        <v>0</v>
      </c>
      <c r="AD132" s="357">
        <f>=IF($J125="是",IF(AND(AD$209-$I125+1&gt;0,MOD(AD$209-$I125+1,$H125)=1),$F132,0),IF(AD$209-$I125+1=1,$F132,0))</f>
        <v>0</v>
      </c>
      <c r="AE132" s="357">
        <f>=IF($J125="是",IF(AND(AE$209-$I125+1&gt;0,MOD(AE$209-$I125+1,$H125)=1),$F132,0),IF(AE$209-$I125+1=1,$F132,0))</f>
        <v>0</v>
      </c>
      <c r="AF132" s="357">
        <f>=IF($J125="是",IF(AND(AF$209-$I125+1&gt;0,MOD(AF$209-$I125+1,$H125)=1),$F132,0),IF(AF$209-$I125+1=1,$F132,0))</f>
        <v>0</v>
      </c>
    </row>
    <row r="133" spans="1:32" ht="12" hidden="true" customHeight="true">
      <c r="A133" s="297">
        <v>15</v>
      </c>
      <c r="B133" s="358" t="s">
        <v>715</v>
      </c>
      <c r="C133" s="379" t="s"/>
      <c r="D133" s="380" t="s">
        <v>185</v>
      </c>
      <c r="E133" s="381">
        <v>0.13</v>
      </c>
      <c r="F133" s="357">
        <f>=IF($D133="是",$C133/(1+$E133),$C133)</f>
        <v>0</v>
      </c>
      <c r="G133" s="382">
        <v>0.05</v>
      </c>
      <c r="H133" s="378">
        <v>20</v>
      </c>
      <c r="I133" s="378">
        <f>=辅助表1评估项目基础数据表!$C$3+1</f>
        <v>3</v>
      </c>
      <c r="J133" s="380" t="s">
        <v>185</v>
      </c>
      <c r="K133" s="371" t="s"/>
      <c r="L133" s="371" t="s"/>
      <c r="M133" s="372" t="s"/>
      <c r="N133" s="372" t="s"/>
      <c r="O133" s="372" t="s"/>
      <c r="P133" s="372" t="s"/>
      <c r="Q133" s="372" t="s"/>
      <c r="R133" s="372" t="s"/>
      <c r="S133" s="372" t="s"/>
      <c r="T133" s="372" t="s"/>
      <c r="U133" s="372" t="s"/>
      <c r="V133" s="372" t="s"/>
      <c r="W133" s="372" t="s"/>
      <c r="X133" s="372" t="s"/>
      <c r="Y133" s="372" t="s"/>
      <c r="Z133" s="372" t="s"/>
      <c r="AA133" s="372" t="s"/>
      <c r="AB133" s="372" t="s"/>
      <c r="AC133" s="372" t="s"/>
      <c r="AD133" s="372" t="s"/>
      <c r="AE133" s="372" t="s"/>
      <c r="AF133" s="372" t="s"/>
    </row>
    <row r="134" spans="1:32" ht="12" hidden="true" customHeight="true">
      <c r="A134" s="297" t="s"/>
      <c r="B134" s="374" t="s">
        <v>704</v>
      </c>
      <c r="C134" s="383" t="s">
        <v>714</v>
      </c>
      <c r="D134" s="358" t="s"/>
      <c r="E134" s="358" t="s"/>
      <c r="F134" s="358" t="s"/>
      <c r="G134" s="358" t="s"/>
      <c r="H134" s="358" t="s"/>
      <c r="I134" s="358" t="s"/>
      <c r="J134" s="358" t="s"/>
      <c r="K134" s="376">
        <f>=IF(K$209&lt;$I133,0,IF($H133&gt;(K$209-$I133),(($F133-$F133*$G133)/$H133),0))</f>
        <v>0</v>
      </c>
      <c r="L134" s="376">
        <f>=IF(L$209&lt;$I133,0,IF($H133&gt;(L$209-$I133),(($F133-$F133*$G133)/$H133),0))</f>
        <v>0</v>
      </c>
      <c r="M134" s="376">
        <f>=IF(M$209&lt;$I133,0,IF($H133&gt;(M$209-$I133),(($F133-$F133*$G133)/$H133),0))</f>
        <v>0</v>
      </c>
      <c r="N134" s="376">
        <f>=IF(N$209&lt;$I133,0,IF($H133&gt;(N$209-$I133),(($F133-$F133*$G133)/$H133),0))</f>
        <v>0</v>
      </c>
      <c r="O134" s="376">
        <f>=IF(O$209&lt;$I133,0,IF($H133&gt;(O$209-$I133),(($F133-$F133*$G133)/$H133),0))</f>
        <v>0</v>
      </c>
      <c r="P134" s="376">
        <f>=IF(P$209&lt;$I133,0,IF($H133&gt;(P$209-$I133),(($F133-$F133*$G133)/$H133),0))</f>
        <v>0</v>
      </c>
      <c r="Q134" s="376">
        <f>=IF(Q$209&lt;$I133,0,IF($H133&gt;(Q$209-$I133),(($F133-$F133*$G133)/$H133),0))</f>
        <v>0</v>
      </c>
      <c r="R134" s="376">
        <f>=IF(R$209&lt;$I133,0,IF($H133&gt;(R$209-$I133),(($F133-$F133*$G133)/$H133),0))</f>
        <v>0</v>
      </c>
      <c r="S134" s="376">
        <f>=IF(S$209&lt;$I133,0,IF($H133&gt;(S$209-$I133),(($F133-$F133*$G133)/$H133),0))</f>
        <v>0</v>
      </c>
      <c r="T134" s="376">
        <f>=IF(T$209&lt;$I133,0,IF($H133&gt;(T$209-$I133),(($F133-$F133*$G133)/$H133),0))</f>
        <v>0</v>
      </c>
      <c r="U134" s="376">
        <f>=IF(U$209&lt;$I133,0,IF($H133&gt;(U$209-$I133),(($F133-$F133*$G133)/$H133),0))</f>
        <v>0</v>
      </c>
      <c r="V134" s="376">
        <f>=IF(V$209&lt;$I133,0,IF($H133&gt;(V$209-$I133),(($F133-$F133*$G133)/$H133),0))</f>
        <v>0</v>
      </c>
      <c r="W134" s="376">
        <f>=IF(W$209&lt;$I133,0,IF($H133&gt;(W$209-$I133),(($F133-$F133*$G133)/$H133),0))</f>
        <v>0</v>
      </c>
      <c r="X134" s="376">
        <f>=IF(X$209&lt;$I133,0,IF($H133&gt;(X$209-$I133),(($F133-$F133*$G133)/$H133),0))</f>
        <v>0</v>
      </c>
      <c r="Y134" s="376">
        <f>=IF(Y$209&lt;$I133,0,IF($H133&gt;(Y$209-$I133),(($F133-$F133*$G133)/$H133),0))</f>
        <v>0</v>
      </c>
      <c r="Z134" s="376">
        <f>=IF(Z$209&lt;$I133,0,IF($H133&gt;(Z$209-$I133),(($F133-$F133*$G133)/$H133),0))</f>
        <v>0</v>
      </c>
      <c r="AA134" s="376">
        <f>=IF(AA$209&lt;$I133,0,IF($H133&gt;(AA$209-$I133),(($F133-$F133*$G133)/$H133),0))</f>
        <v>0</v>
      </c>
      <c r="AB134" s="376">
        <f>=IF(AB$209&lt;$I133,0,IF($H133&gt;(AB$209-$I133),(($F133-$F133*$G133)/$H133),0))</f>
        <v>0</v>
      </c>
      <c r="AC134" s="376">
        <f>=IF(AC$209&lt;$I133,0,IF($H133&gt;(AC$209-$I133),(($F133-$F133*$G133)/$H133),0))</f>
        <v>0</v>
      </c>
      <c r="AD134" s="376">
        <f>=IF(AD$209&lt;$I133,0,IF($H133&gt;(AD$209-$I133),(($F133-$F133*$G133)/$H133),0))</f>
        <v>0</v>
      </c>
      <c r="AE134" s="376">
        <f>=IF(AE$209&lt;$I133,0,IF($H133&gt;(AE$209-$I133),(($F133-$F133*$G133)/$H133),0))</f>
        <v>0</v>
      </c>
      <c r="AF134" s="376">
        <f>=IF(AF$209&lt;$I133,0,IF($H133&gt;(AF$209-$I133),(($F133-$F133*$G133)/$H133),0))</f>
        <v>0</v>
      </c>
    </row>
    <row r="135" spans="1:32" ht="12" hidden="true" customHeight="true">
      <c r="A135" s="297" t="s"/>
      <c r="B135" s="358" t="s">
        <v>705</v>
      </c>
      <c r="C135" s="358" t="s"/>
      <c r="D135" s="358" t="s"/>
      <c r="E135" s="358" t="s"/>
      <c r="F135" s="358" t="s"/>
      <c r="G135" s="358" t="s"/>
      <c r="H135" s="358" t="s"/>
      <c r="I135" s="358" t="s"/>
      <c r="J135" s="358" t="s"/>
      <c r="K135" s="357">
        <f>=IF(K$209=$I133,$F133-K134,0)</f>
        <v>0</v>
      </c>
      <c r="L135" s="357">
        <f>=IF(L$209=$I133,$F133-L134,IF(L$209&gt;$I133,IF(AND($J133="是",L$209&gt;=$I133+$H133),0,K135-L134),0))</f>
        <v>0</v>
      </c>
      <c r="M135" s="357">
        <f>=IF(M$209=$I133,$F133-M134,IF(M$209&gt;$I133,IF(AND($J133="是",M$209&gt;=$I133+$H133),0,L135-M134),0))</f>
        <v>0</v>
      </c>
      <c r="N135" s="357">
        <f>=IF(N$209=$I133,$F133-N134,IF(N$209&gt;$I133,IF(AND($J133="是",N$209&gt;=$I133+$H133),0,M135-N134),0))</f>
        <v>0</v>
      </c>
      <c r="O135" s="357">
        <f>=IF(O$209=$I133,$F133-O134,IF(O$209&gt;$I133,IF(AND($J133="是",O$209&gt;=$I133+$H133),0,N135-O134),0))</f>
        <v>0</v>
      </c>
      <c r="P135" s="357">
        <f>=IF(P$209=$I133,$F133-P134,IF(P$209&gt;$I133,IF(AND($J133="是",P$209&gt;=$I133+$H133),0,O135-P134),0))</f>
        <v>0</v>
      </c>
      <c r="Q135" s="357">
        <f>=IF(Q$209=$I133,$F133-Q134,IF(Q$209&gt;$I133,IF(AND($J133="是",Q$209&gt;=$I133+$H133),0,P135-Q134),0))</f>
        <v>0</v>
      </c>
      <c r="R135" s="357">
        <f>=IF(R$209=$I133,$F133-R134,IF(R$209&gt;$I133,IF(AND($J133="是",R$209&gt;=$I133+$H133),0,Q135-R134),0))</f>
        <v>0</v>
      </c>
      <c r="S135" s="357">
        <f>=IF(S$209=$I133,$F133-S134,IF(S$209&gt;$I133,IF(AND($J133="是",S$209&gt;=$I133+$H133),0,R135-S134),0))</f>
        <v>0</v>
      </c>
      <c r="T135" s="357">
        <f>=IF(T$209=$I133,$F133-T134,IF(T$209&gt;$I133,IF(AND($J133="是",T$209&gt;=$I133+$H133),0,S135-T134),0))</f>
        <v>0</v>
      </c>
      <c r="U135" s="357">
        <f>=IF(U$209=$I133,$F133-U134,IF(U$209&gt;$I133,IF(AND($J133="是",U$209&gt;=$I133+$H133),0,T135-U134),0))</f>
        <v>0</v>
      </c>
      <c r="V135" s="357">
        <f>=IF(V$209=$I133,$F133-V134,IF(V$209&gt;$I133,IF(AND($J133="是",V$209&gt;=$I133+$H133),0,U135-V134),0))</f>
        <v>0</v>
      </c>
      <c r="W135" s="357">
        <f>=IF(W$209=$I133,$F133-W134,IF(W$209&gt;$I133,IF(AND($J133="是",W$209&gt;=$I133+$H133),0,V135-W134),0))</f>
        <v>0</v>
      </c>
      <c r="X135" s="357">
        <f>=IF(X$209=$I133,$F133-X134,IF(X$209&gt;$I133,IF(AND($J133="是",X$209&gt;=$I133+$H133),0,W135-X134),0))</f>
        <v>0</v>
      </c>
      <c r="Y135" s="357">
        <f>=IF(Y$209=$I133,$F133-Y134,IF(Y$209&gt;$I133,IF(AND($J133="是",Y$209&gt;=$I133+$H133),0,X135-Y134),0))</f>
        <v>0</v>
      </c>
      <c r="Z135" s="357">
        <f>=IF(Z$209=$I133,$F133-Z134,IF(Z$209&gt;$I133,IF(AND($J133="是",Z$209&gt;=$I133+$H133),0,Y135-Z134),0))</f>
        <v>0</v>
      </c>
      <c r="AA135" s="357">
        <f>=IF(AA$209=$I133,$F133-AA134,IF(AA$209&gt;$I133,IF(AND($J133="是",AA$209&gt;=$I133+$H133),0,Z135-AA134),0))</f>
        <v>0</v>
      </c>
      <c r="AB135" s="357">
        <f>=IF(AB$209=$I133,$F133-AB134,IF(AB$209&gt;$I133,IF(AND($J133="是",AB$209&gt;=$I133+$H133),0,AA135-AB134),0))</f>
        <v>0</v>
      </c>
      <c r="AC135" s="357">
        <f>=IF(AC$209=$I133,$F133-AC134,IF(AC$209&gt;$I133,IF(AND($J133="是",AC$209&gt;=$I133+$H133),0,AB135-AC134),0))</f>
        <v>0</v>
      </c>
      <c r="AD135" s="357">
        <f>=IF(AD$209=$I133,$F133-AD134,IF(AD$209&gt;$I133,IF(AND($J133="是",AD$209&gt;=$I133+$H133),0,AC135-AD134),0))</f>
        <v>0</v>
      </c>
      <c r="AE135" s="357">
        <f>=IF(AE$209=$I133,$F133-AE134,IF(AE$209&gt;$I133,IF(AND($J133="是",AE$209&gt;=$I133+$H133),0,AD135-AE134),0))</f>
        <v>0</v>
      </c>
      <c r="AF135" s="357">
        <f>=IF(AF$209=$I133,$F133-AF134,IF(AF$209&gt;$I133,IF(AND($J133="是",AF$209&gt;=$I133+$H133),0,AE135-AF134),0))</f>
        <v>0</v>
      </c>
    </row>
    <row r="136" spans="1:32" ht="12" hidden="true" customHeight="true">
      <c r="A136" s="297" t="s"/>
      <c r="B136" s="358" t="s">
        <v>706</v>
      </c>
      <c r="C136" s="358" t="s"/>
      <c r="D136" s="358" t="s"/>
      <c r="E136" s="358" t="s"/>
      <c r="F136" s="358" t="s"/>
      <c r="G136" s="358" t="s"/>
      <c r="H136" s="358" t="s"/>
      <c r="I136" s="358" t="s"/>
      <c r="J136" s="358" t="s"/>
      <c r="K136" s="357">
        <f>=IF(AND($J133="是",K$209&gt;=$H133+$I133),(($F133-$F133*$G133)/$H133),0)</f>
        <v>0</v>
      </c>
      <c r="L136" s="357">
        <f>=IF(AND($J133="是",L$209&gt;=$H133+$I133),(($F133-$F133*$G133)/$H133),0)</f>
        <v>0</v>
      </c>
      <c r="M136" s="357">
        <f>=IF(AND($J133="是",M$209&gt;=$H133+$I133),(($F133-$F133*$G133)/$H133),0)</f>
        <v>0</v>
      </c>
      <c r="N136" s="357">
        <f>=IF(AND($J133="是",N$209&gt;=$H133+$I133),(($F133-$F133*$G133)/$H133),0)</f>
        <v>0</v>
      </c>
      <c r="O136" s="357">
        <f>=IF(AND($J133="是",O$209&gt;=$H133+$I133),(($F133-$F133*$G133)/$H133),0)</f>
        <v>0</v>
      </c>
      <c r="P136" s="357">
        <f>=IF(AND($J133="是",P$209&gt;=$H133+$I133),(($F133-$F133*$G133)/$H133),0)</f>
        <v>0</v>
      </c>
      <c r="Q136" s="357">
        <f>=IF(AND($J133="是",Q$209&gt;=$H133+$I133),(($F133-$F133*$G133)/$H133),0)</f>
        <v>0</v>
      </c>
      <c r="R136" s="357">
        <f>=IF(AND($J133="是",R$209&gt;=$H133+$I133),(($F133-$F133*$G133)/$H133),0)</f>
        <v>0</v>
      </c>
      <c r="S136" s="357">
        <f>=IF(AND($J133="是",S$209&gt;=$H133+$I133),(($F133-$F133*$G133)/$H133),0)</f>
        <v>0</v>
      </c>
      <c r="T136" s="357">
        <f>=IF(AND($J133="是",T$209&gt;=$H133+$I133),(($F133-$F133*$G133)/$H133),0)</f>
        <v>0</v>
      </c>
      <c r="U136" s="357">
        <f>=IF(AND($J133="是",U$209&gt;=$H133+$I133),(($F133-$F133*$G133)/$H133),0)</f>
        <v>0</v>
      </c>
      <c r="V136" s="357">
        <f>=IF(AND($J133="是",V$209&gt;=$H133+$I133),(($F133-$F133*$G133)/$H133),0)</f>
        <v>0</v>
      </c>
      <c r="W136" s="357">
        <f>=IF(AND($J133="是",W$209&gt;=$H133+$I133),(($F133-$F133*$G133)/$H133),0)</f>
        <v>0</v>
      </c>
      <c r="X136" s="357">
        <f>=IF(AND($J133="是",X$209&gt;=$H133+$I133),(($F133-$F133*$G133)/$H133),0)</f>
        <v>0</v>
      </c>
      <c r="Y136" s="357">
        <f>=IF(AND($J133="是",Y$209&gt;=$H133+$I133),(($F133-$F133*$G133)/$H133),0)</f>
        <v>0</v>
      </c>
      <c r="Z136" s="357">
        <f>=IF(AND($J133="是",Z$209&gt;=$H133+$I133),(($F133-$F133*$G133)/$H133),0)</f>
        <v>0</v>
      </c>
      <c r="AA136" s="357">
        <f>=IF(AND($J133="是",AA$209&gt;=$H133+$I133),(($F133-$F133*$G133)/$H133),0)</f>
        <v>0</v>
      </c>
      <c r="AB136" s="357">
        <f>=IF(AND($J133="是",AB$209&gt;=$H133+$I133),(($F133-$F133*$G133)/$H133),0)</f>
        <v>0</v>
      </c>
      <c r="AC136" s="357">
        <f>=IF(AND($J133="是",AC$209&gt;=$H133+$I133),(($F133-$F133*$G133)/$H133),0)</f>
        <v>0</v>
      </c>
      <c r="AD136" s="357">
        <f>=IF(AND($J133="是",AD$209&gt;=$H133+$I133),(($F133-$F133*$G133)/$H133),0)</f>
        <v>0</v>
      </c>
      <c r="AE136" s="357">
        <f>=IF(AND($J133="是",AE$209&gt;=$H133+$I133),(($F133-$F133*$G133)/$H133),0)</f>
        <v>0</v>
      </c>
      <c r="AF136" s="357">
        <f>=IF(AND($J133="是",AF$209&gt;=$H133+$I133),(($F133-$F133*$G133)/$H133),0)</f>
        <v>0</v>
      </c>
    </row>
    <row r="137" spans="1:32" ht="12" hidden="true" customHeight="true">
      <c r="A137" s="297" t="s"/>
      <c r="B137" s="358" t="s">
        <v>707</v>
      </c>
      <c r="C137" s="358" t="s"/>
      <c r="D137" s="358" t="s"/>
      <c r="E137" s="358" t="s"/>
      <c r="F137" s="358" t="s"/>
      <c r="G137" s="358" t="s"/>
      <c r="H137" s="358" t="s"/>
      <c r="I137" s="358" t="s"/>
      <c r="J137" s="358" t="s"/>
      <c r="K137" s="357">
        <f>=IF(K$209&lt;$I133+$H133,0,IF($J133="是",IF(OR($H133=1,MOD(K$209-$I133+1,$H133)=1),$F133-K136,J137-K136),0))</f>
        <v>0</v>
      </c>
      <c r="L137" s="357">
        <f>=IF(L$209&lt;$I133+$H133,0,IF($J133="是",IF(OR($H133=1,MOD(L$209-$I133+1,$H133)=1),$F133-L136,K137-L136),0))</f>
        <v>0</v>
      </c>
      <c r="M137" s="357">
        <f>=IF(M$209&lt;$I133+$H133,0,IF($J133="是",IF(OR($H133=1,MOD(M$209-$I133+1,$H133)=1),$F133-M136,L137-M136),0))</f>
        <v>0</v>
      </c>
      <c r="N137" s="357">
        <f>=IF(N$209&lt;$I133+$H133,0,IF($J133="是",IF(OR($H133=1,MOD(N$209-$I133+1,$H133)=1),$F133-N136,M137-N136),0))</f>
        <v>0</v>
      </c>
      <c r="O137" s="357">
        <f>=IF(O$209&lt;$I133+$H133,0,IF($J133="是",IF(OR($H133=1,MOD(O$209-$I133+1,$H133)=1),$F133-O136,N137-O136),0))</f>
        <v>0</v>
      </c>
      <c r="P137" s="357">
        <f>=IF(P$209&lt;$I133+$H133,0,IF($J133="是",IF(OR($H133=1,MOD(P$209-$I133+1,$H133)=1),$F133-P136,O137-P136),0))</f>
        <v>0</v>
      </c>
      <c r="Q137" s="357">
        <f>=IF(Q$209&lt;$I133+$H133,0,IF($J133="是",IF(OR($H133=1,MOD(Q$209-$I133+1,$H133)=1),$F133-Q136,P137-Q136),0))</f>
        <v>0</v>
      </c>
      <c r="R137" s="357">
        <f>=IF(R$209&lt;$I133+$H133,0,IF($J133="是",IF(OR($H133=1,MOD(R$209-$I133+1,$H133)=1),$F133-R136,Q137-R136),0))</f>
        <v>0</v>
      </c>
      <c r="S137" s="357">
        <f>=IF(S$209&lt;$I133+$H133,0,IF($J133="是",IF(OR($H133=1,MOD(S$209-$I133+1,$H133)=1),$F133-S136,R137-S136),0))</f>
        <v>0</v>
      </c>
      <c r="T137" s="357">
        <f>=IF(T$209&lt;$I133+$H133,0,IF($J133="是",IF(OR($H133=1,MOD(T$209-$I133+1,$H133)=1),$F133-T136,S137-T136),0))</f>
        <v>0</v>
      </c>
      <c r="U137" s="357">
        <f>=IF(U$209&lt;$I133+$H133,0,IF($J133="是",IF(OR($H133=1,MOD(U$209-$I133+1,$H133)=1),$F133-U136,T137-U136),0))</f>
        <v>0</v>
      </c>
      <c r="V137" s="357">
        <f>=IF(V$209&lt;$I133+$H133,0,IF($J133="是",IF(OR($H133=1,MOD(V$209-$I133+1,$H133)=1),$F133-V136,U137-V136),0))</f>
        <v>0</v>
      </c>
      <c r="W137" s="357">
        <f>=IF(W$209&lt;$I133+$H133,0,IF($J133="是",IF(OR($H133=1,MOD(W$209-$I133+1,$H133)=1),$F133-W136,V137-W136),0))</f>
        <v>0</v>
      </c>
      <c r="X137" s="357">
        <f>=IF(X$209&lt;$I133+$H133,0,IF($J133="是",IF(OR($H133=1,MOD(X$209-$I133+1,$H133)=1),$F133-X136,W137-X136),0))</f>
        <v>0</v>
      </c>
      <c r="Y137" s="357">
        <f>=IF(Y$209&lt;$I133+$H133,0,IF($J133="是",IF(OR($H133=1,MOD(Y$209-$I133+1,$H133)=1),$F133-Y136,X137-Y136),0))</f>
        <v>0</v>
      </c>
      <c r="Z137" s="357">
        <f>=IF(Z$209&lt;$I133+$H133,0,IF($J133="是",IF(OR($H133=1,MOD(Z$209-$I133+1,$H133)=1),$F133-Z136,Y137-Z136),0))</f>
        <v>0</v>
      </c>
      <c r="AA137" s="357">
        <f>=IF(AA$209&lt;$I133+$H133,0,IF($J133="是",IF(OR($H133=1,MOD(AA$209-$I133+1,$H133)=1),$F133-AA136,Z137-AA136),0))</f>
        <v>0</v>
      </c>
      <c r="AB137" s="357">
        <f>=IF(AB$209&lt;$I133+$H133,0,IF($J133="是",IF(OR($H133=1,MOD(AB$209-$I133+1,$H133)=1),$F133-AB136,AA137-AB136),0))</f>
        <v>0</v>
      </c>
      <c r="AC137" s="357">
        <f>=IF(AC$209&lt;$I133+$H133,0,IF($J133="是",IF(OR($H133=1,MOD(AC$209-$I133+1,$H133)=1),$F133-AC136,AB137-AC136),0))</f>
        <v>0</v>
      </c>
      <c r="AD137" s="357">
        <f>=IF(AD$209&lt;$I133+$H133,0,IF($J133="是",IF(OR($H133=1,MOD(AD$209-$I133+1,$H133)=1),$F133-AD136,AC137-AD136),0))</f>
        <v>0</v>
      </c>
      <c r="AE137" s="357">
        <f>=IF(AE$209&lt;$I133+$H133,0,IF($J133="是",IF(OR($H133=1,MOD(AE$209-$I133+1,$H133)=1),$F133-AE136,AD137-AE136),0))</f>
        <v>0</v>
      </c>
      <c r="AF137" s="357">
        <f>=IF(AF$209&lt;$I133+$H133,0,IF($J133="是",IF(OR($H133=1,MOD(AF$209-$I133+1,$H133)=1),$F133-AF136,AE137-AF136),0))</f>
        <v>0</v>
      </c>
    </row>
    <row r="138" spans="1:32" ht="12" hidden="true" customHeight="true">
      <c r="A138" s="297" t="s"/>
      <c r="B138" s="358" t="s">
        <v>708</v>
      </c>
      <c r="C138" s="358" t="s"/>
      <c r="D138" s="358" t="s"/>
      <c r="E138" s="358" t="s"/>
      <c r="F138" s="358" t="s"/>
      <c r="G138" s="358" t="s"/>
      <c r="H138" s="358" t="s"/>
      <c r="I138" s="358" t="s"/>
      <c r="J138" s="358" t="s"/>
      <c r="K138" s="357">
        <f>=IF(AND($J133="是",K$209&gt;=$H133+$I133,MOD(K$209-$I133+1,$H133)=1),$F133,0)</f>
        <v>0</v>
      </c>
      <c r="L138" s="357">
        <f>=IF(AND($J133="是",L$209&gt;=$H133+$I133,MOD(L$209-$I133+1,$H133)=1),$F133,0)</f>
        <v>0</v>
      </c>
      <c r="M138" s="357">
        <f>=IF(AND($J133="是",M$209&gt;=$H133+$I133,MOD(M$209-$I133+1,$H133)=1),$F133,0)</f>
        <v>0</v>
      </c>
      <c r="N138" s="357">
        <f>=IF(AND($J133="是",N$209&gt;=$H133+$I133,MOD(N$209-$I133+1,$H133)=1),$F133,0)</f>
        <v>0</v>
      </c>
      <c r="O138" s="357">
        <f>=IF(AND($J133="是",O$209&gt;=$H133+$I133,MOD(O$209-$I133+1,$H133)=1),$F133,0)</f>
        <v>0</v>
      </c>
      <c r="P138" s="357">
        <f>=IF(AND($J133="是",P$209&gt;=$H133+$I133,MOD(P$209-$I133+1,$H133)=1),$F133,0)</f>
        <v>0</v>
      </c>
      <c r="Q138" s="357">
        <f>=IF(AND($J133="是",Q$209&gt;=$H133+$I133,MOD(Q$209-$I133+1,$H133)=1),$F133,0)</f>
        <v>0</v>
      </c>
      <c r="R138" s="357">
        <f>=IF(AND($J133="是",R$209&gt;=$H133+$I133,MOD(R$209-$I133+1,$H133)=1),$F133,0)</f>
        <v>0</v>
      </c>
      <c r="S138" s="357">
        <f>=IF(AND($J133="是",S$209&gt;=$H133+$I133,MOD(S$209-$I133+1,$H133)=1),$F133,0)</f>
        <v>0</v>
      </c>
      <c r="T138" s="357">
        <f>=IF(AND($J133="是",T$209&gt;=$H133+$I133,MOD(T$209-$I133+1,$H133)=1),$F133,0)</f>
        <v>0</v>
      </c>
      <c r="U138" s="357">
        <f>=IF(AND($J133="是",U$209&gt;=$H133+$I133,MOD(U$209-$I133+1,$H133)=1),$F133,0)</f>
        <v>0</v>
      </c>
      <c r="V138" s="357">
        <f>=IF(AND($J133="是",V$209&gt;=$H133+$I133,MOD(V$209-$I133+1,$H133)=1),$F133,0)</f>
        <v>0</v>
      </c>
      <c r="W138" s="357">
        <f>=IF(AND($J133="是",W$209&gt;=$H133+$I133,MOD(W$209-$I133+1,$H133)=1),$F133,0)</f>
        <v>0</v>
      </c>
      <c r="X138" s="357">
        <f>=IF(AND($J133="是",X$209&gt;=$H133+$I133,MOD(X$209-$I133+1,$H133)=1),$F133,0)</f>
        <v>0</v>
      </c>
      <c r="Y138" s="357">
        <f>=IF(AND($J133="是",Y$209&gt;=$H133+$I133,MOD(Y$209-$I133+1,$H133)=1),$F133,0)</f>
        <v>0</v>
      </c>
      <c r="Z138" s="357">
        <f>=IF(AND($J133="是",Z$209&gt;=$H133+$I133,MOD(Z$209-$I133+1,$H133)=1),$F133,0)</f>
        <v>0</v>
      </c>
      <c r="AA138" s="357">
        <f>=IF(AND($J133="是",AA$209&gt;=$H133+$I133,MOD(AA$209-$I133+1,$H133)=1),$F133,0)</f>
        <v>0</v>
      </c>
      <c r="AB138" s="357">
        <f>=IF(AND($J133="是",AB$209&gt;=$H133+$I133,MOD(AB$209-$I133+1,$H133)=1),$F133,0)</f>
        <v>0</v>
      </c>
      <c r="AC138" s="357">
        <f>=IF(AND($J133="是",AC$209&gt;=$H133+$I133,MOD(AC$209-$I133+1,$H133)=1),$F133,0)</f>
        <v>0</v>
      </c>
      <c r="AD138" s="357">
        <f>=IF(AND($J133="是",AD$209&gt;=$H133+$I133,MOD(AD$209-$I133+1,$H133)=1),$F133,0)</f>
        <v>0</v>
      </c>
      <c r="AE138" s="357">
        <f>=IF(AND($J133="是",AE$209&gt;=$H133+$I133,MOD(AE$209-$I133+1,$H133)=1),$F133,0)</f>
        <v>0</v>
      </c>
      <c r="AF138" s="357">
        <f>=IF(AND($J133="是",AF$209&gt;=$H133+$I133,MOD(AF$209-$I133+1,$H133)=1),$F133,0)</f>
        <v>0</v>
      </c>
    </row>
    <row r="139" spans="1:32" ht="12" hidden="true" customHeight="true">
      <c r="A139" s="297" t="s"/>
      <c r="B139" s="358" t="s">
        <v>709</v>
      </c>
      <c r="C139" s="358" t="s"/>
      <c r="D139" s="358" t="s"/>
      <c r="E139" s="358" t="s"/>
      <c r="F139" s="358" t="s"/>
      <c r="G139" s="358" t="s"/>
      <c r="H139" s="358" t="s"/>
      <c r="I139" s="358" t="s"/>
      <c r="J139" s="358" t="s"/>
      <c r="K139" s="357">
        <f>=IF(K$209=辅助表1评估项目基础数据表!$C$3+辅助表1评估项目基础数据表!$C$5,K135+K137,IF(AND($J133="是",K$209&gt;=$H133+$I133,MOD(K$209-$I133+1,$H133)=1),$F133*$G133,0))</f>
        <v>0</v>
      </c>
      <c r="L139" s="357">
        <f>=IF(L$209=辅助表1评估项目基础数据表!$C$3+辅助表1评估项目基础数据表!$C$5,L135+L137,IF(AND($J133="是",L$209&gt;=$H133+$I133,MOD(L$209-$I133+1,$H133)=1),$F133*$G133,0))</f>
        <v>0</v>
      </c>
      <c r="M139" s="357">
        <f>=IF(M$209=辅助表1评估项目基础数据表!$C$3+辅助表1评估项目基础数据表!$C$5,M135+M137,IF(AND($J133="是",M$209&gt;=$H133+$I133,MOD(M$209-$I133+1,$H133)=1),$F133*$G133,0))</f>
        <v>0</v>
      </c>
      <c r="N139" s="357">
        <f>=IF(N$209=辅助表1评估项目基础数据表!$C$3+辅助表1评估项目基础数据表!$C$5,N135+N137,IF(AND($J133="是",N$209&gt;=$H133+$I133,MOD(N$209-$I133+1,$H133)=1),$F133*$G133,0))</f>
        <v>0</v>
      </c>
      <c r="O139" s="357">
        <f>=IF(O$209=辅助表1评估项目基础数据表!$C$3+辅助表1评估项目基础数据表!$C$5,O135+O137,IF(AND($J133="是",O$209&gt;=$H133+$I133,MOD(O$209-$I133+1,$H133)=1),$F133*$G133,0))</f>
        <v>0</v>
      </c>
      <c r="P139" s="357">
        <f>=IF(P$209=辅助表1评估项目基础数据表!$C$3+辅助表1评估项目基础数据表!$C$5,P135+P137,IF(AND($J133="是",P$209&gt;=$H133+$I133,MOD(P$209-$I133+1,$H133)=1),$F133*$G133,0))</f>
        <v>0</v>
      </c>
      <c r="Q139" s="357">
        <f>=IF(Q$209=辅助表1评估项目基础数据表!$C$3+辅助表1评估项目基础数据表!$C$5,Q135+Q137,IF(AND($J133="是",Q$209&gt;=$H133+$I133,MOD(Q$209-$I133+1,$H133)=1),$F133*$G133,0))</f>
        <v>0</v>
      </c>
      <c r="R139" s="357">
        <f>=IF(R$209=辅助表1评估项目基础数据表!$C$3+辅助表1评估项目基础数据表!$C$5,R135+R137,IF(AND($J133="是",R$209&gt;=$H133+$I133,MOD(R$209-$I133+1,$H133)=1),$F133*$G133,0))</f>
        <v>0</v>
      </c>
      <c r="S139" s="357">
        <f>=IF(S$209=辅助表1评估项目基础数据表!$C$3+辅助表1评估项目基础数据表!$C$5,S135+S137,IF(AND($J133="是",S$209&gt;=$H133+$I133,MOD(S$209-$I133+1,$H133)=1),$F133*$G133,0))</f>
        <v>0</v>
      </c>
      <c r="T139" s="357">
        <f>=IF(T$209=辅助表1评估项目基础数据表!$C$3+辅助表1评估项目基础数据表!$C$5,T135+T137,IF(AND($J133="是",T$209&gt;=$H133+$I133,MOD(T$209-$I133+1,$H133)=1),$F133*$G133,0))</f>
        <v>0</v>
      </c>
      <c r="U139" s="357">
        <f>=IF(U$209=辅助表1评估项目基础数据表!$C$3+辅助表1评估项目基础数据表!$C$5,U135+U137,IF(AND($J133="是",U$209&gt;=$H133+$I133,MOD(U$209-$I133+1,$H133)=1),$F133*$G133,0))</f>
        <v>0</v>
      </c>
      <c r="V139" s="357">
        <f>=IF(V$209=辅助表1评估项目基础数据表!$C$3+辅助表1评估项目基础数据表!$C$5,V135+V137,IF(AND($J133="是",V$209&gt;=$H133+$I133,MOD(V$209-$I133+1,$H133)=1),$F133*$G133,0))</f>
        <v>0</v>
      </c>
      <c r="W139" s="357">
        <f>=IF(W$209=辅助表1评估项目基础数据表!$C$3+辅助表1评估项目基础数据表!$C$5,W135+W137,IF(AND($J133="是",W$209&gt;=$H133+$I133,MOD(W$209-$I133+1,$H133)=1),$F133*$G133,0))</f>
        <v>0</v>
      </c>
      <c r="X139" s="357">
        <f>=IF(X$209=辅助表1评估项目基础数据表!$C$3+辅助表1评估项目基础数据表!$C$5,X135+X137,IF(AND($J133="是",X$209&gt;=$H133+$I133,MOD(X$209-$I133+1,$H133)=1),$F133*$G133,0))</f>
        <v>0</v>
      </c>
      <c r="Y139" s="357">
        <f>=IF(Y$209=辅助表1评估项目基础数据表!$C$3+辅助表1评估项目基础数据表!$C$5,Y135+Y137,IF(AND($J133="是",Y$209&gt;=$H133+$I133,MOD(Y$209-$I133+1,$H133)=1),$F133*$G133,0))</f>
        <v>0</v>
      </c>
      <c r="Z139" s="357">
        <f>=IF(Z$209=辅助表1评估项目基础数据表!$C$3+辅助表1评估项目基础数据表!$C$5,Z135+Z137,IF(AND($J133="是",Z$209&gt;=$H133+$I133,MOD(Z$209-$I133+1,$H133)=1),$F133*$G133,0))</f>
        <v>0</v>
      </c>
      <c r="AA139" s="357">
        <f>=IF(AA$209=辅助表1评估项目基础数据表!$C$3+辅助表1评估项目基础数据表!$C$5,AA135+AA137,IF(AND($J133="是",AA$209&gt;=$H133+$I133,MOD(AA$209-$I133+1,$H133)=1),$F133*$G133,0))</f>
        <v>0</v>
      </c>
      <c r="AB139" s="357">
        <f>=IF(AB$209=辅助表1评估项目基础数据表!$C$3+辅助表1评估项目基础数据表!$C$5,AB135+AB137,IF(AND($J133="是",AB$209&gt;=$H133+$I133,MOD(AB$209-$I133+1,$H133)=1),$F133*$G133,0))</f>
        <v>0</v>
      </c>
      <c r="AC139" s="357">
        <f>=IF(AC$209=辅助表1评估项目基础数据表!$C$3+辅助表1评估项目基础数据表!$C$5,AC135+AC137,IF(AND($J133="是",AC$209&gt;=$H133+$I133,MOD(AC$209-$I133+1,$H133)=1),$F133*$G133,0))</f>
        <v>0</v>
      </c>
      <c r="AD139" s="357">
        <f>=IF(AD$209=辅助表1评估项目基础数据表!$C$3+辅助表1评估项目基础数据表!$C$5,AD135+AD137,IF(AND($J133="是",AD$209&gt;=$H133+$I133,MOD(AD$209-$I133+1,$H133)=1),$F133*$G133,0))</f>
        <v>0</v>
      </c>
      <c r="AE139" s="357">
        <f>=IF(AE$209=辅助表1评估项目基础数据表!$C$3+辅助表1评估项目基础数据表!$C$5,AE135+AE137,IF(AND($J133="是",AE$209&gt;=$H133+$I133,MOD(AE$209-$I133+1,$H133)=1),$F133*$G133,0))</f>
        <v>0</v>
      </c>
      <c r="AF139" s="357">
        <f>=IF(AF$209=辅助表1评估项目基础数据表!$C$3+辅助表1评估项目基础数据表!$C$5,AF135+AF137,IF(AND($J133="是",AF$209&gt;=$H133+$I133,MOD(AF$209-$I133+1,$H133)=1),$F133*$G133,0))</f>
        <v>0</v>
      </c>
    </row>
    <row r="140" spans="1:32" ht="12" hidden="true" customHeight="true">
      <c r="A140" s="297" t="s"/>
      <c r="B140" s="358" t="s">
        <v>710</v>
      </c>
      <c r="C140" s="358" t="s"/>
      <c r="D140" s="358" t="s"/>
      <c r="E140" s="358" t="s"/>
      <c r="F140" s="357">
        <f>=IF($D133="是",$C133*$E133/(1+$E133),0)</f>
        <v>0</v>
      </c>
      <c r="G140" s="358" t="s"/>
      <c r="H140" s="358" t="s"/>
      <c r="I140" s="358" t="s"/>
      <c r="J140" s="358" t="s"/>
      <c r="K140" s="357">
        <f>=IF($J133="是",IF(AND(K$209-$I133+1&gt;0,MOD(K$209-$I133+1,$H133)=1),$F140,0),IF(K$209-$I133+1=1,$F140,0))</f>
        <v>0</v>
      </c>
      <c r="L140" s="357">
        <f>=IF($J133="是",IF(AND(L$209-$I133+1&gt;0,MOD(L$209-$I133+1,$H133)=1),$F140,0),IF(L$209-$I133+1=1,$F140,0))</f>
        <v>0</v>
      </c>
      <c r="M140" s="357">
        <f>=IF($J133="是",IF(AND(M$209-$I133+1&gt;0,MOD(M$209-$I133+1,$H133)=1),$F140,0),IF(M$209-$I133+1=1,$F140,0))</f>
        <v>0</v>
      </c>
      <c r="N140" s="357">
        <f>=IF($J133="是",IF(AND(N$209-$I133+1&gt;0,MOD(N$209-$I133+1,$H133)=1),$F140,0),IF(N$209-$I133+1=1,$F140,0))</f>
        <v>0</v>
      </c>
      <c r="O140" s="357">
        <f>=IF($J133="是",IF(AND(O$209-$I133+1&gt;0,MOD(O$209-$I133+1,$H133)=1),$F140,0),IF(O$209-$I133+1=1,$F140,0))</f>
        <v>0</v>
      </c>
      <c r="P140" s="357">
        <f>=IF($J133="是",IF(AND(P$209-$I133+1&gt;0,MOD(P$209-$I133+1,$H133)=1),$F140,0),IF(P$209-$I133+1=1,$F140,0))</f>
        <v>0</v>
      </c>
      <c r="Q140" s="357">
        <f>=IF($J133="是",IF(AND(Q$209-$I133+1&gt;0,MOD(Q$209-$I133+1,$H133)=1),$F140,0),IF(Q$209-$I133+1=1,$F140,0))</f>
        <v>0</v>
      </c>
      <c r="R140" s="357">
        <f>=IF($J133="是",IF(AND(R$209-$I133+1&gt;0,MOD(R$209-$I133+1,$H133)=1),$F140,0),IF(R$209-$I133+1=1,$F140,0))</f>
        <v>0</v>
      </c>
      <c r="S140" s="357">
        <f>=IF($J133="是",IF(AND(S$209-$I133+1&gt;0,MOD(S$209-$I133+1,$H133)=1),$F140,0),IF(S$209-$I133+1=1,$F140,0))</f>
        <v>0</v>
      </c>
      <c r="T140" s="357">
        <f>=IF($J133="是",IF(AND(T$209-$I133+1&gt;0,MOD(T$209-$I133+1,$H133)=1),$F140,0),IF(T$209-$I133+1=1,$F140,0))</f>
        <v>0</v>
      </c>
      <c r="U140" s="357">
        <f>=IF($J133="是",IF(AND(U$209-$I133+1&gt;0,MOD(U$209-$I133+1,$H133)=1),$F140,0),IF(U$209-$I133+1=1,$F140,0))</f>
        <v>0</v>
      </c>
      <c r="V140" s="357">
        <f>=IF($J133="是",IF(AND(V$209-$I133+1&gt;0,MOD(V$209-$I133+1,$H133)=1),$F140,0),IF(V$209-$I133+1=1,$F140,0))</f>
        <v>0</v>
      </c>
      <c r="W140" s="357">
        <f>=IF($J133="是",IF(AND(W$209-$I133+1&gt;0,MOD(W$209-$I133+1,$H133)=1),$F140,0),IF(W$209-$I133+1=1,$F140,0))</f>
        <v>0</v>
      </c>
      <c r="X140" s="357">
        <f>=IF($J133="是",IF(AND(X$209-$I133+1&gt;0,MOD(X$209-$I133+1,$H133)=1),$F140,0),IF(X$209-$I133+1=1,$F140,0))</f>
        <v>0</v>
      </c>
      <c r="Y140" s="357">
        <f>=IF($J133="是",IF(AND(Y$209-$I133+1&gt;0,MOD(Y$209-$I133+1,$H133)=1),$F140,0),IF(Y$209-$I133+1=1,$F140,0))</f>
        <v>0</v>
      </c>
      <c r="Z140" s="357">
        <f>=IF($J133="是",IF(AND(Z$209-$I133+1&gt;0,MOD(Z$209-$I133+1,$H133)=1),$F140,0),IF(Z$209-$I133+1=1,$F140,0))</f>
        <v>0</v>
      </c>
      <c r="AA140" s="357">
        <f>=IF($J133="是",IF(AND(AA$209-$I133+1&gt;0,MOD(AA$209-$I133+1,$H133)=1),$F140,0),IF(AA$209-$I133+1=1,$F140,0))</f>
        <v>0</v>
      </c>
      <c r="AB140" s="357">
        <f>=IF($J133="是",IF(AND(AB$209-$I133+1&gt;0,MOD(AB$209-$I133+1,$H133)=1),$F140,0),IF(AB$209-$I133+1=1,$F140,0))</f>
        <v>0</v>
      </c>
      <c r="AC140" s="357">
        <f>=IF($J133="是",IF(AND(AC$209-$I133+1&gt;0,MOD(AC$209-$I133+1,$H133)=1),$F140,0),IF(AC$209-$I133+1=1,$F140,0))</f>
        <v>0</v>
      </c>
      <c r="AD140" s="357">
        <f>=IF($J133="是",IF(AND(AD$209-$I133+1&gt;0,MOD(AD$209-$I133+1,$H133)=1),$F140,0),IF(AD$209-$I133+1=1,$F140,0))</f>
        <v>0</v>
      </c>
      <c r="AE140" s="357">
        <f>=IF($J133="是",IF(AND(AE$209-$I133+1&gt;0,MOD(AE$209-$I133+1,$H133)=1),$F140,0),IF(AE$209-$I133+1=1,$F140,0))</f>
        <v>0</v>
      </c>
      <c r="AF140" s="357">
        <f>=IF($J133="是",IF(AND(AF$209-$I133+1&gt;0,MOD(AF$209-$I133+1,$H133)=1),$F140,0),IF(AF$209-$I133+1=1,$F140,0))</f>
        <v>0</v>
      </c>
    </row>
    <row r="141" spans="1:32" ht="12" hidden="true" customHeight="true">
      <c r="A141" s="297" t="s">
        <v>549</v>
      </c>
      <c r="B141" s="358" t="s">
        <v>719</v>
      </c>
      <c r="C141" s="372">
        <f>=C149+C157+C165</f>
        <v>0</v>
      </c>
      <c r="D141" s="384" t="s">
        <v>185</v>
      </c>
      <c r="E141" s="358" t="s"/>
      <c r="F141" s="357">
        <f>=F149+F157+F165</f>
        <v>0</v>
      </c>
      <c r="G141" s="385" t="s"/>
      <c r="H141" s="384" t="s"/>
      <c r="I141" s="384" t="s"/>
      <c r="J141" s="384" t="s">
        <v>185</v>
      </c>
      <c r="K141" s="371" t="s"/>
      <c r="L141" s="371" t="s"/>
      <c r="M141" s="372" t="s"/>
      <c r="N141" s="372" t="s"/>
      <c r="O141" s="372" t="s"/>
      <c r="P141" s="372" t="s"/>
      <c r="Q141" s="372" t="s"/>
      <c r="R141" s="372" t="s"/>
      <c r="S141" s="372" t="s"/>
      <c r="T141" s="372" t="s"/>
      <c r="U141" s="372" t="s"/>
      <c r="V141" s="372" t="s"/>
      <c r="W141" s="372" t="s"/>
      <c r="X141" s="372" t="s"/>
      <c r="Y141" s="372" t="s"/>
      <c r="Z141" s="372" t="s"/>
      <c r="AA141" s="372" t="s"/>
      <c r="AB141" s="372" t="s"/>
      <c r="AC141" s="372" t="s"/>
      <c r="AD141" s="372" t="s"/>
      <c r="AE141" s="372" t="s"/>
      <c r="AF141" s="372" t="s"/>
    </row>
    <row r="142" spans="1:32" ht="12" hidden="true" customHeight="true">
      <c r="A142" s="297" t="s"/>
      <c r="B142" s="374" t="s">
        <v>704</v>
      </c>
      <c r="C142" s="358" t="s"/>
      <c r="D142" s="358" t="s"/>
      <c r="E142" s="358" t="s"/>
      <c r="F142" s="358" t="s"/>
      <c r="G142" s="358" t="s"/>
      <c r="H142" s="358" t="s"/>
      <c r="I142" s="358" t="s"/>
      <c r="J142" s="358" t="s"/>
      <c r="K142" s="376">
        <f>=K150+K158+K166</f>
        <v>0</v>
      </c>
      <c r="L142" s="376">
        <f>=L150+L158+L166</f>
        <v>0</v>
      </c>
      <c r="M142" s="376">
        <f>=M150+M158+M166</f>
        <v>0</v>
      </c>
      <c r="N142" s="376">
        <f>=N150+N158+N166</f>
        <v>0</v>
      </c>
      <c r="O142" s="376">
        <f>=O150+O158+O166</f>
        <v>0</v>
      </c>
      <c r="P142" s="376">
        <f>=P150+P158+P166</f>
        <v>0</v>
      </c>
      <c r="Q142" s="376">
        <f>=Q150+Q158+Q166</f>
        <v>0</v>
      </c>
      <c r="R142" s="376">
        <f>=R150+R158+R166</f>
        <v>0</v>
      </c>
      <c r="S142" s="376">
        <f>=S150+S158+S166</f>
        <v>0</v>
      </c>
      <c r="T142" s="376">
        <f>=T150+T158+T166</f>
        <v>0</v>
      </c>
      <c r="U142" s="376">
        <f>=U150+U158+U166</f>
        <v>0</v>
      </c>
      <c r="V142" s="376">
        <f>=V150+V158+V166</f>
        <v>0</v>
      </c>
      <c r="W142" s="376">
        <f>=W150+W158+W166</f>
        <v>0</v>
      </c>
      <c r="X142" s="376">
        <f>=X150+X158+X166</f>
        <v>0</v>
      </c>
      <c r="Y142" s="376">
        <f>=Y150+Y158+Y166</f>
        <v>0</v>
      </c>
      <c r="Z142" s="376">
        <f>=Z150+Z158+Z166</f>
        <v>0</v>
      </c>
      <c r="AA142" s="376">
        <f>=AA150+AA158+AA166</f>
        <v>0</v>
      </c>
      <c r="AB142" s="376">
        <f>=AB150+AB158+AB166</f>
        <v>0</v>
      </c>
      <c r="AC142" s="376">
        <f>=AC150+AC158+AC166</f>
        <v>0</v>
      </c>
      <c r="AD142" s="376">
        <f>=AD150+AD158+AD166</f>
        <v>0</v>
      </c>
      <c r="AE142" s="376">
        <f>=AE150+AE158+AE166</f>
        <v>0</v>
      </c>
      <c r="AF142" s="376">
        <f>=AF150+AF158+AF166</f>
        <v>0</v>
      </c>
    </row>
    <row r="143" spans="1:32" ht="12" hidden="true" customHeight="true">
      <c r="A143" s="297" t="s"/>
      <c r="B143" s="358" t="s">
        <v>705</v>
      </c>
      <c r="C143" s="358" t="s"/>
      <c r="D143" s="358" t="s"/>
      <c r="E143" s="358" t="s"/>
      <c r="F143" s="358" t="s"/>
      <c r="G143" s="358" t="s"/>
      <c r="H143" s="358" t="s"/>
      <c r="I143" s="358" t="s"/>
      <c r="J143" s="358" t="s"/>
      <c r="K143" s="376">
        <f>=K151+K159+K167</f>
        <v>0</v>
      </c>
      <c r="L143" s="376">
        <f>=L151+L159+L167</f>
        <v>0</v>
      </c>
      <c r="M143" s="376">
        <f>=M151+M159+M167</f>
        <v>0</v>
      </c>
      <c r="N143" s="376">
        <f>=N151+N159+N167</f>
        <v>0</v>
      </c>
      <c r="O143" s="376">
        <f>=O151+O159+O167</f>
        <v>0</v>
      </c>
      <c r="P143" s="376">
        <f>=P151+P159+P167</f>
        <v>0</v>
      </c>
      <c r="Q143" s="376">
        <f>=Q151+Q159+Q167</f>
        <v>0</v>
      </c>
      <c r="R143" s="376">
        <f>=R151+R159+R167</f>
        <v>0</v>
      </c>
      <c r="S143" s="376">
        <f>=S151+S159+S167</f>
        <v>0</v>
      </c>
      <c r="T143" s="376">
        <f>=T151+T159+T167</f>
        <v>0</v>
      </c>
      <c r="U143" s="376">
        <f>=U151+U159+U167</f>
        <v>0</v>
      </c>
      <c r="V143" s="376">
        <f>=V151+V159+V167</f>
        <v>0</v>
      </c>
      <c r="W143" s="376">
        <f>=W151+W159+W167</f>
        <v>0</v>
      </c>
      <c r="X143" s="376">
        <f>=X151+X159+X167</f>
        <v>0</v>
      </c>
      <c r="Y143" s="376">
        <f>=Y151+Y159+Y167</f>
        <v>0</v>
      </c>
      <c r="Z143" s="376">
        <f>=Z151+Z159+Z167</f>
        <v>0</v>
      </c>
      <c r="AA143" s="376">
        <f>=AA151+AA159+AA167</f>
        <v>0</v>
      </c>
      <c r="AB143" s="376">
        <f>=AB151+AB159+AB167</f>
        <v>0</v>
      </c>
      <c r="AC143" s="376">
        <f>=AC151+AC159+AC167</f>
        <v>0</v>
      </c>
      <c r="AD143" s="376">
        <f>=AD151+AD159+AD167</f>
        <v>0</v>
      </c>
      <c r="AE143" s="376">
        <f>=AE151+AE159+AE167</f>
        <v>0</v>
      </c>
      <c r="AF143" s="376">
        <f>=AF151+AF159+AF167</f>
        <v>0</v>
      </c>
    </row>
    <row r="144" spans="1:32" ht="12" hidden="true" customHeight="true">
      <c r="A144" s="297" t="s"/>
      <c r="B144" s="358" t="s">
        <v>706</v>
      </c>
      <c r="C144" s="358" t="s"/>
      <c r="D144" s="358" t="s"/>
      <c r="E144" s="358" t="s"/>
      <c r="F144" s="358" t="s"/>
      <c r="G144" s="358" t="s"/>
      <c r="H144" s="358" t="s"/>
      <c r="I144" s="358" t="s"/>
      <c r="J144" s="358" t="s"/>
      <c r="K144" s="376">
        <f>=K152+K160+K168</f>
        <v>0</v>
      </c>
      <c r="L144" s="376">
        <f>=L152+L160+L168</f>
        <v>0</v>
      </c>
      <c r="M144" s="376">
        <f>=M152+M160+M168</f>
        <v>0</v>
      </c>
      <c r="N144" s="376">
        <f>=N152+N160+N168</f>
        <v>0</v>
      </c>
      <c r="O144" s="376">
        <f>=O152+O160+O168</f>
        <v>0</v>
      </c>
      <c r="P144" s="376">
        <f>=P152+P160+P168</f>
        <v>0</v>
      </c>
      <c r="Q144" s="376">
        <f>=Q152+Q160+Q168</f>
        <v>0</v>
      </c>
      <c r="R144" s="376">
        <f>=R152+R160+R168</f>
        <v>0</v>
      </c>
      <c r="S144" s="376">
        <f>=S152+S160+S168</f>
        <v>0</v>
      </c>
      <c r="T144" s="376">
        <f>=T152+T160+T168</f>
        <v>0</v>
      </c>
      <c r="U144" s="376">
        <f>=U152+U160+U168</f>
        <v>0</v>
      </c>
      <c r="V144" s="376">
        <f>=V152+V160+V168</f>
        <v>0</v>
      </c>
      <c r="W144" s="376">
        <f>=W152+W160+W168</f>
        <v>0</v>
      </c>
      <c r="X144" s="376">
        <f>=X152+X160+X168</f>
        <v>0</v>
      </c>
      <c r="Y144" s="376">
        <f>=Y152+Y160+Y168</f>
        <v>0</v>
      </c>
      <c r="Z144" s="376">
        <f>=Z152+Z160+Z168</f>
        <v>0</v>
      </c>
      <c r="AA144" s="376">
        <f>=AA152+AA160+AA168</f>
        <v>0</v>
      </c>
      <c r="AB144" s="376">
        <f>=AB152+AB160+AB168</f>
        <v>0</v>
      </c>
      <c r="AC144" s="376">
        <f>=AC152+AC160+AC168</f>
        <v>0</v>
      </c>
      <c r="AD144" s="376">
        <f>=AD152+AD160+AD168</f>
        <v>0</v>
      </c>
      <c r="AE144" s="376">
        <f>=AE152+AE160+AE168</f>
        <v>0</v>
      </c>
      <c r="AF144" s="376">
        <f>=AF152+AF160+AF168</f>
        <v>0</v>
      </c>
    </row>
    <row r="145" spans="1:32" ht="12" hidden="true" customHeight="true">
      <c r="A145" s="297" t="s"/>
      <c r="B145" s="358" t="s">
        <v>707</v>
      </c>
      <c r="C145" s="358" t="s"/>
      <c r="D145" s="358" t="s"/>
      <c r="E145" s="358" t="s"/>
      <c r="F145" s="358" t="s"/>
      <c r="G145" s="358" t="s"/>
      <c r="H145" s="358" t="s"/>
      <c r="I145" s="358" t="s"/>
      <c r="J145" s="358" t="s"/>
      <c r="K145" s="376">
        <f>=K153+K161+K169</f>
        <v>0</v>
      </c>
      <c r="L145" s="376">
        <f>=L153+L161+L169</f>
        <v>0</v>
      </c>
      <c r="M145" s="376">
        <f>=M153+M161+M169</f>
        <v>0</v>
      </c>
      <c r="N145" s="376">
        <f>=N153+N161+N169</f>
        <v>0</v>
      </c>
      <c r="O145" s="376">
        <f>=O153+O161+O169</f>
        <v>0</v>
      </c>
      <c r="P145" s="376">
        <f>=P153+P161+P169</f>
        <v>0</v>
      </c>
      <c r="Q145" s="376">
        <f>=Q153+Q161+Q169</f>
        <v>0</v>
      </c>
      <c r="R145" s="376">
        <f>=R153+R161+R169</f>
        <v>0</v>
      </c>
      <c r="S145" s="376">
        <f>=S153+S161+S169</f>
        <v>0</v>
      </c>
      <c r="T145" s="376">
        <f>=T153+T161+T169</f>
        <v>0</v>
      </c>
      <c r="U145" s="376">
        <f>=U153+U161+U169</f>
        <v>0</v>
      </c>
      <c r="V145" s="376">
        <f>=V153+V161+V169</f>
        <v>0</v>
      </c>
      <c r="W145" s="376">
        <f>=W153+W161+W169</f>
        <v>0</v>
      </c>
      <c r="X145" s="376">
        <f>=X153+X161+X169</f>
        <v>0</v>
      </c>
      <c r="Y145" s="376">
        <f>=Y153+Y161+Y169</f>
        <v>0</v>
      </c>
      <c r="Z145" s="376">
        <f>=Z153+Z161+Z169</f>
        <v>0</v>
      </c>
      <c r="AA145" s="376">
        <f>=AA153+AA161+AA169</f>
        <v>0</v>
      </c>
      <c r="AB145" s="376">
        <f>=AB153+AB161+AB169</f>
        <v>0</v>
      </c>
      <c r="AC145" s="376">
        <f>=AC153+AC161+AC169</f>
        <v>0</v>
      </c>
      <c r="AD145" s="376">
        <f>=AD153+AD161+AD169</f>
        <v>0</v>
      </c>
      <c r="AE145" s="376">
        <f>=AE153+AE161+AE169</f>
        <v>0</v>
      </c>
      <c r="AF145" s="376">
        <f>=AF153+AF161+AF169</f>
        <v>0</v>
      </c>
    </row>
    <row r="146" spans="1:32" ht="12" hidden="true" customHeight="true">
      <c r="A146" s="297" t="s"/>
      <c r="B146" s="358" t="s">
        <v>708</v>
      </c>
      <c r="C146" s="358" t="s"/>
      <c r="D146" s="358" t="s"/>
      <c r="E146" s="358" t="s"/>
      <c r="F146" s="358" t="s"/>
      <c r="G146" s="358" t="s"/>
      <c r="H146" s="358" t="s"/>
      <c r="I146" s="358" t="s"/>
      <c r="J146" s="358" t="s"/>
      <c r="K146" s="376">
        <f>=K154+K162+K170</f>
        <v>0</v>
      </c>
      <c r="L146" s="376">
        <f>=L154+L162+L170</f>
        <v>0</v>
      </c>
      <c r="M146" s="376">
        <f>=M154+M162+M170</f>
        <v>0</v>
      </c>
      <c r="N146" s="376">
        <f>=N154+N162+N170</f>
        <v>0</v>
      </c>
      <c r="O146" s="376">
        <f>=O154+O162+O170</f>
        <v>0</v>
      </c>
      <c r="P146" s="376">
        <f>=P154+P162+P170</f>
        <v>0</v>
      </c>
      <c r="Q146" s="376">
        <f>=Q154+Q162+Q170</f>
        <v>0</v>
      </c>
      <c r="R146" s="376">
        <f>=R154+R162+R170</f>
        <v>0</v>
      </c>
      <c r="S146" s="376">
        <f>=S154+S162+S170</f>
        <v>0</v>
      </c>
      <c r="T146" s="376">
        <f>=T154+T162+T170</f>
        <v>0</v>
      </c>
      <c r="U146" s="376">
        <f>=U154+U162+U170</f>
        <v>0</v>
      </c>
      <c r="V146" s="376">
        <f>=V154+V162+V170</f>
        <v>0</v>
      </c>
      <c r="W146" s="376">
        <f>=W154+W162+W170</f>
        <v>0</v>
      </c>
      <c r="X146" s="376">
        <f>=X154+X162+X170</f>
        <v>0</v>
      </c>
      <c r="Y146" s="376">
        <f>=Y154+Y162+Y170</f>
        <v>0</v>
      </c>
      <c r="Z146" s="376">
        <f>=Z154+Z162+Z170</f>
        <v>0</v>
      </c>
      <c r="AA146" s="376">
        <f>=AA154+AA162+AA170</f>
        <v>0</v>
      </c>
      <c r="AB146" s="376">
        <f>=AB154+AB162+AB170</f>
        <v>0</v>
      </c>
      <c r="AC146" s="376">
        <f>=AC154+AC162+AC170</f>
        <v>0</v>
      </c>
      <c r="AD146" s="376">
        <f>=AD154+AD162+AD170</f>
        <v>0</v>
      </c>
      <c r="AE146" s="376">
        <f>=AE154+AE162+AE170</f>
        <v>0</v>
      </c>
      <c r="AF146" s="376">
        <f>=AF154+AF162+AF170</f>
        <v>0</v>
      </c>
    </row>
    <row r="147" spans="1:32" ht="12" hidden="true" customHeight="true">
      <c r="A147" s="297" t="s"/>
      <c r="B147" s="358" t="s">
        <v>709</v>
      </c>
      <c r="C147" s="358" t="s"/>
      <c r="D147" s="358" t="s"/>
      <c r="E147" s="358" t="s"/>
      <c r="F147" s="358" t="s"/>
      <c r="G147" s="358" t="s"/>
      <c r="H147" s="358" t="s"/>
      <c r="I147" s="358" t="s"/>
      <c r="J147" s="358" t="s"/>
      <c r="K147" s="376">
        <f>=K155+K163+K171</f>
        <v>0</v>
      </c>
      <c r="L147" s="376">
        <f>=L155+L163+L171</f>
        <v>0</v>
      </c>
      <c r="M147" s="376">
        <f>=M155+M163+M171</f>
        <v>0</v>
      </c>
      <c r="N147" s="376">
        <f>=N155+N163+N171</f>
        <v>0</v>
      </c>
      <c r="O147" s="376">
        <f>=O155+O163+O171</f>
        <v>0</v>
      </c>
      <c r="P147" s="376">
        <f>=P155+P163+P171</f>
        <v>0</v>
      </c>
      <c r="Q147" s="376">
        <f>=Q155+Q163+Q171</f>
        <v>0</v>
      </c>
      <c r="R147" s="376">
        <f>=R155+R163+R171</f>
        <v>0</v>
      </c>
      <c r="S147" s="376">
        <f>=S155+S163+S171</f>
        <v>0</v>
      </c>
      <c r="T147" s="376">
        <f>=T155+T163+T171</f>
        <v>0</v>
      </c>
      <c r="U147" s="376">
        <f>=U155+U163+U171</f>
        <v>0</v>
      </c>
      <c r="V147" s="376">
        <f>=V155+V163+V171</f>
        <v>0</v>
      </c>
      <c r="W147" s="376">
        <f>=W155+W163+W171</f>
        <v>0</v>
      </c>
      <c r="X147" s="376">
        <f>=X155+X163+X171</f>
        <v>0</v>
      </c>
      <c r="Y147" s="376">
        <f>=Y155+Y163+Y171</f>
        <v>0</v>
      </c>
      <c r="Z147" s="376">
        <f>=Z155+Z163+Z171</f>
        <v>0</v>
      </c>
      <c r="AA147" s="376">
        <f>=AA155+AA163+AA171</f>
        <v>0</v>
      </c>
      <c r="AB147" s="376">
        <f>=AB155+AB163+AB171</f>
        <v>0</v>
      </c>
      <c r="AC147" s="376">
        <f>=AC155+AC163+AC171</f>
        <v>0</v>
      </c>
      <c r="AD147" s="376">
        <f>=AD155+AD163+AD171</f>
        <v>0</v>
      </c>
      <c r="AE147" s="376">
        <f>=AE155+AE163+AE171</f>
        <v>0</v>
      </c>
      <c r="AF147" s="376">
        <f>=AF155+AF163+AF171</f>
        <v>0</v>
      </c>
    </row>
    <row r="148" spans="1:32" ht="12" hidden="true" customHeight="true">
      <c r="A148" s="297" t="s"/>
      <c r="B148" s="358" t="s">
        <v>710</v>
      </c>
      <c r="C148" s="358" t="s"/>
      <c r="D148" s="358" t="s"/>
      <c r="E148" s="358" t="s"/>
      <c r="F148" s="357">
        <f>=F156+F164+F172</f>
        <v>0</v>
      </c>
      <c r="G148" s="358" t="s"/>
      <c r="H148" s="358" t="s"/>
      <c r="I148" s="358" t="s"/>
      <c r="J148" s="358" t="s"/>
      <c r="K148" s="376">
        <f>=K156+K164+K172</f>
        <v>0</v>
      </c>
      <c r="L148" s="376">
        <f>=L156+L164+L172</f>
        <v>0</v>
      </c>
      <c r="M148" s="376">
        <f>=M156+M164+M172</f>
        <v>0</v>
      </c>
      <c r="N148" s="376">
        <f>=N156+N164+N172</f>
        <v>0</v>
      </c>
      <c r="O148" s="376">
        <f>=O156+O164+O172</f>
        <v>0</v>
      </c>
      <c r="P148" s="376">
        <f>=P156+P164+P172</f>
        <v>0</v>
      </c>
      <c r="Q148" s="376">
        <f>=Q156+Q164+Q172</f>
        <v>0</v>
      </c>
      <c r="R148" s="376">
        <f>=R156+R164+R172</f>
        <v>0</v>
      </c>
      <c r="S148" s="376">
        <f>=S156+S164+S172</f>
        <v>0</v>
      </c>
      <c r="T148" s="376">
        <f>=T156+T164+T172</f>
        <v>0</v>
      </c>
      <c r="U148" s="376">
        <f>=U156+U164+U172</f>
        <v>0</v>
      </c>
      <c r="V148" s="376">
        <f>=V156+V164+V172</f>
        <v>0</v>
      </c>
      <c r="W148" s="376">
        <f>=W156+W164+W172</f>
        <v>0</v>
      </c>
      <c r="X148" s="376">
        <f>=X156+X164+X172</f>
        <v>0</v>
      </c>
      <c r="Y148" s="376">
        <f>=Y156+Y164+Y172</f>
        <v>0</v>
      </c>
      <c r="Z148" s="376">
        <f>=Z156+Z164+Z172</f>
        <v>0</v>
      </c>
      <c r="AA148" s="376">
        <f>=AA156+AA164+AA172</f>
        <v>0</v>
      </c>
      <c r="AB148" s="376">
        <f>=AB156+AB164+AB172</f>
        <v>0</v>
      </c>
      <c r="AC148" s="376">
        <f>=AC156+AC164+AC172</f>
        <v>0</v>
      </c>
      <c r="AD148" s="376">
        <f>=AD156+AD164+AD172</f>
        <v>0</v>
      </c>
      <c r="AE148" s="376">
        <f>=AE156+AE164+AE172</f>
        <v>0</v>
      </c>
      <c r="AF148" s="376">
        <f>=AF156+AF164+AF172</f>
        <v>0</v>
      </c>
    </row>
    <row r="149" spans="1:32" ht="12" hidden="true" customHeight="true">
      <c r="A149" s="297">
        <v>1</v>
      </c>
      <c r="B149" s="358" t="s">
        <v>720</v>
      </c>
      <c r="C149" s="379" t="s"/>
      <c r="D149" s="380" t="s">
        <v>185</v>
      </c>
      <c r="E149" s="381">
        <v>0.13</v>
      </c>
      <c r="F149" s="357">
        <f>=IF($D149="是",$C149/(1+$E149),$C149)</f>
        <v>0</v>
      </c>
      <c r="G149" s="382">
        <v>0.05</v>
      </c>
      <c r="H149" s="378">
        <v>30</v>
      </c>
      <c r="I149" s="378">
        <f>=辅助表1评估项目基础数据表!$C$3+1</f>
        <v>3</v>
      </c>
      <c r="J149" s="378" t="s">
        <v>185</v>
      </c>
      <c r="K149" s="371" t="s"/>
      <c r="L149" s="371" t="s"/>
      <c r="M149" s="372" t="s"/>
      <c r="N149" s="372" t="s"/>
      <c r="O149" s="372" t="s"/>
      <c r="P149" s="372" t="s"/>
      <c r="Q149" s="372" t="s"/>
      <c r="R149" s="372" t="s"/>
      <c r="S149" s="372" t="s"/>
      <c r="T149" s="372" t="s"/>
      <c r="U149" s="372" t="s"/>
      <c r="V149" s="372" t="s"/>
      <c r="W149" s="372" t="s"/>
      <c r="X149" s="372" t="s"/>
      <c r="Y149" s="372" t="s"/>
      <c r="Z149" s="372" t="s"/>
      <c r="AA149" s="372" t="s"/>
      <c r="AB149" s="372" t="s"/>
      <c r="AC149" s="372" t="s"/>
      <c r="AD149" s="372" t="s"/>
      <c r="AE149" s="372" t="s"/>
      <c r="AF149" s="372" t="s"/>
    </row>
    <row r="150" spans="1:32" ht="12" hidden="true" customHeight="true">
      <c r="A150" s="297" t="s"/>
      <c r="B150" s="374" t="s">
        <v>704</v>
      </c>
      <c r="C150" s="383" t="s">
        <v>714</v>
      </c>
      <c r="D150" s="358" t="s"/>
      <c r="E150" s="358" t="s"/>
      <c r="F150" s="358" t="s"/>
      <c r="G150" s="358" t="s"/>
      <c r="H150" s="358" t="s"/>
      <c r="I150" s="358" t="s"/>
      <c r="J150" s="358" t="s"/>
      <c r="K150" s="376">
        <f>=IF(K$209&lt;$I149,0,IF($H149&gt;(K$209-$I149),(($F149-$F149*$G149)/$H149),0))</f>
        <v>0</v>
      </c>
      <c r="L150" s="376">
        <f>=IF(L$209&lt;$I149,0,IF($H149&gt;(L$209-$I149),(($F149-$F149*$G149)/$H149),0))</f>
        <v>0</v>
      </c>
      <c r="M150" s="376">
        <f>=IF(M$209&lt;$I149,0,IF($H149&gt;(M$209-$I149),(($F149-$F149*$G149)/$H149),0))</f>
        <v>0</v>
      </c>
      <c r="N150" s="376">
        <f>=IF(N$209&lt;$I149,0,IF($H149&gt;(N$209-$I149),(($F149-$F149*$G149)/$H149),0))</f>
        <v>0</v>
      </c>
      <c r="O150" s="376">
        <f>=IF(O$209&lt;$I149,0,IF($H149&gt;(O$209-$I149),(($F149-$F149*$G149)/$H149),0))</f>
        <v>0</v>
      </c>
      <c r="P150" s="376">
        <f>=IF(P$209&lt;$I149,0,IF($H149&gt;(P$209-$I149),(($F149-$F149*$G149)/$H149),0))</f>
        <v>0</v>
      </c>
      <c r="Q150" s="376">
        <f>=IF(Q$209&lt;$I149,0,IF($H149&gt;(Q$209-$I149),(($F149-$F149*$G149)/$H149),0))</f>
        <v>0</v>
      </c>
      <c r="R150" s="376">
        <f>=IF(R$209&lt;$I149,0,IF($H149&gt;(R$209-$I149),(($F149-$F149*$G149)/$H149),0))</f>
        <v>0</v>
      </c>
      <c r="S150" s="376">
        <f>=IF(S$209&lt;$I149,0,IF($H149&gt;(S$209-$I149),(($F149-$F149*$G149)/$H149),0))</f>
        <v>0</v>
      </c>
      <c r="T150" s="376">
        <f>=IF(T$209&lt;$I149,0,IF($H149&gt;(T$209-$I149),(($F149-$F149*$G149)/$H149),0))</f>
        <v>0</v>
      </c>
      <c r="U150" s="376">
        <f>=IF(U$209&lt;$I149,0,IF($H149&gt;(U$209-$I149),(($F149-$F149*$G149)/$H149),0))</f>
        <v>0</v>
      </c>
      <c r="V150" s="376">
        <f>=IF(V$209&lt;$I149,0,IF($H149&gt;(V$209-$I149),(($F149-$F149*$G149)/$H149),0))</f>
        <v>0</v>
      </c>
      <c r="W150" s="376">
        <f>=IF(W$209&lt;$I149,0,IF($H149&gt;(W$209-$I149),(($F149-$F149*$G149)/$H149),0))</f>
        <v>0</v>
      </c>
      <c r="X150" s="376">
        <f>=IF(X$209&lt;$I149,0,IF($H149&gt;(X$209-$I149),(($F149-$F149*$G149)/$H149),0))</f>
        <v>0</v>
      </c>
      <c r="Y150" s="376">
        <f>=IF(Y$209&lt;$I149,0,IF($H149&gt;(Y$209-$I149),(($F149-$F149*$G149)/$H149),0))</f>
        <v>0</v>
      </c>
      <c r="Z150" s="376">
        <f>=IF(Z$209&lt;$I149,0,IF($H149&gt;(Z$209-$I149),(($F149-$F149*$G149)/$H149),0))</f>
        <v>0</v>
      </c>
      <c r="AA150" s="376">
        <f>=IF(AA$209&lt;$I149,0,IF($H149&gt;(AA$209-$I149),(($F149-$F149*$G149)/$H149),0))</f>
        <v>0</v>
      </c>
      <c r="AB150" s="376">
        <f>=IF(AB$209&lt;$I149,0,IF($H149&gt;(AB$209-$I149),(($F149-$F149*$G149)/$H149),0))</f>
        <v>0</v>
      </c>
      <c r="AC150" s="376">
        <f>=IF(AC$209&lt;$I149,0,IF($H149&gt;(AC$209-$I149),(($F149-$F149*$G149)/$H149),0))</f>
        <v>0</v>
      </c>
      <c r="AD150" s="376">
        <f>=IF(AD$209&lt;$I149,0,IF($H149&gt;(AD$209-$I149),(($F149-$F149*$G149)/$H149),0))</f>
        <v>0</v>
      </c>
      <c r="AE150" s="376">
        <f>=IF(AE$209&lt;$I149,0,IF($H149&gt;(AE$209-$I149),(($F149-$F149*$G149)/$H149),0))</f>
        <v>0</v>
      </c>
      <c r="AF150" s="376">
        <f>=IF(AF$209&lt;$I149,0,IF($H149&gt;(AF$209-$I149),(($F149-$F149*$G149)/$H149),0))</f>
        <v>0</v>
      </c>
    </row>
    <row r="151" spans="1:32" ht="12" hidden="true" customHeight="true">
      <c r="A151" s="297" t="s"/>
      <c r="B151" s="358" t="s">
        <v>705</v>
      </c>
      <c r="C151" s="358" t="s"/>
      <c r="D151" s="358" t="s"/>
      <c r="E151" s="358" t="s"/>
      <c r="F151" s="358" t="s"/>
      <c r="G151" s="358" t="s"/>
      <c r="H151" s="358" t="s"/>
      <c r="I151" s="358" t="s"/>
      <c r="J151" s="358" t="s"/>
      <c r="K151" s="357">
        <f>=IF(K$209=$I149,$F149-K150,0)</f>
        <v>0</v>
      </c>
      <c r="L151" s="357">
        <f>=IF(L$209=$I149,$F149-L150,IF(L$209&gt;$I149,IF(AND($J149="是",L$209&gt;=$I149+$H149),0,K151-L150),0))</f>
        <v>0</v>
      </c>
      <c r="M151" s="357">
        <f>=IF(M$209=$I149,$F149-M150,IF(M$209&gt;$I149,IF(AND($J149="是",M$209&gt;=$I149+$H149),0,L151-M150),0))</f>
        <v>0</v>
      </c>
      <c r="N151" s="357">
        <f>=IF(N$209=$I149,$F149-N150,IF(N$209&gt;$I149,IF(AND($J149="是",N$209&gt;=$I149+$H149),0,M151-N150),0))</f>
        <v>0</v>
      </c>
      <c r="O151" s="357">
        <f>=IF(O$209=$I149,$F149-O150,IF(O$209&gt;$I149,IF(AND($J149="是",O$209&gt;=$I149+$H149),0,N151-O150),0))</f>
        <v>0</v>
      </c>
      <c r="P151" s="357">
        <f>=IF(P$209=$I149,$F149-P150,IF(P$209&gt;$I149,IF(AND($J149="是",P$209&gt;=$I149+$H149),0,O151-P150),0))</f>
        <v>0</v>
      </c>
      <c r="Q151" s="357">
        <f>=IF(Q$209=$I149,$F149-Q150,IF(Q$209&gt;$I149,IF(AND($J149="是",Q$209&gt;=$I149+$H149),0,P151-Q150),0))</f>
        <v>0</v>
      </c>
      <c r="R151" s="357">
        <f>=IF(R$209=$I149,$F149-R150,IF(R$209&gt;$I149,IF(AND($J149="是",R$209&gt;=$I149+$H149),0,Q151-R150),0))</f>
        <v>0</v>
      </c>
      <c r="S151" s="357">
        <f>=IF(S$209=$I149,$F149-S150,IF(S$209&gt;$I149,IF(AND($J149="是",S$209&gt;=$I149+$H149),0,R151-S150),0))</f>
        <v>0</v>
      </c>
      <c r="T151" s="357">
        <f>=IF(T$209=$I149,$F149-T150,IF(T$209&gt;$I149,IF(AND($J149="是",T$209&gt;=$I149+$H149),0,S151-T150),0))</f>
        <v>0</v>
      </c>
      <c r="U151" s="357">
        <f>=IF(U$209=$I149,$F149-U150,IF(U$209&gt;$I149,IF(AND($J149="是",U$209&gt;=$I149+$H149),0,T151-U150),0))</f>
        <v>0</v>
      </c>
      <c r="V151" s="357">
        <f>=IF(V$209=$I149,$F149-V150,IF(V$209&gt;$I149,IF(AND($J149="是",V$209&gt;=$I149+$H149),0,U151-V150),0))</f>
        <v>0</v>
      </c>
      <c r="W151" s="357">
        <f>=IF(W$209=$I149,$F149-W150,IF(W$209&gt;$I149,IF(AND($J149="是",W$209&gt;=$I149+$H149),0,V151-W150),0))</f>
        <v>0</v>
      </c>
      <c r="X151" s="357">
        <f>=IF(X$209=$I149,$F149-X150,IF(X$209&gt;$I149,IF(AND($J149="是",X$209&gt;=$I149+$H149),0,W151-X150),0))</f>
        <v>0</v>
      </c>
      <c r="Y151" s="357">
        <f>=IF(Y$209=$I149,$F149-Y150,IF(Y$209&gt;$I149,IF(AND($J149="是",Y$209&gt;=$I149+$H149),0,X151-Y150),0))</f>
        <v>0</v>
      </c>
      <c r="Z151" s="357">
        <f>=IF(Z$209=$I149,$F149-Z150,IF(Z$209&gt;$I149,IF(AND($J149="是",Z$209&gt;=$I149+$H149),0,Y151-Z150),0))</f>
        <v>0</v>
      </c>
      <c r="AA151" s="357">
        <f>=IF(AA$209=$I149,$F149-AA150,IF(AA$209&gt;$I149,IF(AND($J149="是",AA$209&gt;=$I149+$H149),0,Z151-AA150),0))</f>
        <v>0</v>
      </c>
      <c r="AB151" s="357">
        <f>=IF(AB$209=$I149,$F149-AB150,IF(AB$209&gt;$I149,IF(AND($J149="是",AB$209&gt;=$I149+$H149),0,AA151-AB150),0))</f>
        <v>0</v>
      </c>
      <c r="AC151" s="357">
        <f>=IF(AC$209=$I149,$F149-AC150,IF(AC$209&gt;$I149,IF(AND($J149="是",AC$209&gt;=$I149+$H149),0,AB151-AC150),0))</f>
        <v>0</v>
      </c>
      <c r="AD151" s="357">
        <f>=IF(AD$209=$I149,$F149-AD150,IF(AD$209&gt;$I149,IF(AND($J149="是",AD$209&gt;=$I149+$H149),0,AC151-AD150),0))</f>
        <v>0</v>
      </c>
      <c r="AE151" s="357">
        <f>=IF(AE$209=$I149,$F149-AE150,IF(AE$209&gt;$I149,IF(AND($J149="是",AE$209&gt;=$I149+$H149),0,AD151-AE150),0))</f>
        <v>0</v>
      </c>
      <c r="AF151" s="357">
        <f>=IF(AF$209=$I149,$F149-AF150,IF(AF$209&gt;$I149,IF(AND($J149="是",AF$209&gt;=$I149+$H149),0,AE151-AF150),0))</f>
        <v>0</v>
      </c>
    </row>
    <row r="152" spans="1:32" ht="12" hidden="true" customHeight="true">
      <c r="A152" s="297" t="s"/>
      <c r="B152" s="358" t="s">
        <v>706</v>
      </c>
      <c r="C152" s="358" t="s"/>
      <c r="D152" s="358" t="s"/>
      <c r="E152" s="358" t="s"/>
      <c r="F152" s="358" t="s"/>
      <c r="G152" s="358" t="s"/>
      <c r="H152" s="358" t="s"/>
      <c r="I152" s="358" t="s"/>
      <c r="J152" s="358" t="s"/>
      <c r="K152" s="357">
        <f>=IF(AND($J149="是",K$209&gt;=$H149+$I149),(($F149-$F149*$G149)/$H149),0)</f>
        <v>0</v>
      </c>
      <c r="L152" s="357">
        <f>=IF(AND($J149="是",L$209&gt;=$H149+$I149),(($F149-$F149*$G149)/$H149),0)</f>
        <v>0</v>
      </c>
      <c r="M152" s="357">
        <f>=IF(AND($J149="是",M$209&gt;=$H149+$I149),(($F149-$F149*$G149)/$H149),0)</f>
        <v>0</v>
      </c>
      <c r="N152" s="357">
        <f>=IF(AND($J149="是",N$209&gt;=$H149+$I149),(($F149-$F149*$G149)/$H149),0)</f>
        <v>0</v>
      </c>
      <c r="O152" s="357">
        <f>=IF(AND($J149="是",O$209&gt;=$H149+$I149),(($F149-$F149*$G149)/$H149),0)</f>
        <v>0</v>
      </c>
      <c r="P152" s="357">
        <f>=IF(AND($J149="是",P$209&gt;=$H149+$I149),(($F149-$F149*$G149)/$H149),0)</f>
        <v>0</v>
      </c>
      <c r="Q152" s="357">
        <f>=IF(AND($J149="是",Q$209&gt;=$H149+$I149),(($F149-$F149*$G149)/$H149),0)</f>
        <v>0</v>
      </c>
      <c r="R152" s="357">
        <f>=IF(AND($J149="是",R$209&gt;=$H149+$I149),(($F149-$F149*$G149)/$H149),0)</f>
        <v>0</v>
      </c>
      <c r="S152" s="357">
        <f>=IF(AND($J149="是",S$209&gt;=$H149+$I149),(($F149-$F149*$G149)/$H149),0)</f>
        <v>0</v>
      </c>
      <c r="T152" s="357">
        <f>=IF(AND($J149="是",T$209&gt;=$H149+$I149),(($F149-$F149*$G149)/$H149),0)</f>
        <v>0</v>
      </c>
      <c r="U152" s="357">
        <f>=IF(AND($J149="是",U$209&gt;=$H149+$I149),(($F149-$F149*$G149)/$H149),0)</f>
        <v>0</v>
      </c>
      <c r="V152" s="357">
        <f>=IF(AND($J149="是",V$209&gt;=$H149+$I149),(($F149-$F149*$G149)/$H149),0)</f>
        <v>0</v>
      </c>
      <c r="W152" s="357">
        <f>=IF(AND($J149="是",W$209&gt;=$H149+$I149),(($F149-$F149*$G149)/$H149),0)</f>
        <v>0</v>
      </c>
      <c r="X152" s="357">
        <f>=IF(AND($J149="是",X$209&gt;=$H149+$I149),(($F149-$F149*$G149)/$H149),0)</f>
        <v>0</v>
      </c>
      <c r="Y152" s="357">
        <f>=IF(AND($J149="是",Y$209&gt;=$H149+$I149),(($F149-$F149*$G149)/$H149),0)</f>
        <v>0</v>
      </c>
      <c r="Z152" s="357">
        <f>=IF(AND($J149="是",Z$209&gt;=$H149+$I149),(($F149-$F149*$G149)/$H149),0)</f>
        <v>0</v>
      </c>
      <c r="AA152" s="357">
        <f>=IF(AND($J149="是",AA$209&gt;=$H149+$I149),(($F149-$F149*$G149)/$H149),0)</f>
        <v>0</v>
      </c>
      <c r="AB152" s="357">
        <f>=IF(AND($J149="是",AB$209&gt;=$H149+$I149),(($F149-$F149*$G149)/$H149),0)</f>
        <v>0</v>
      </c>
      <c r="AC152" s="357">
        <f>=IF(AND($J149="是",AC$209&gt;=$H149+$I149),(($F149-$F149*$G149)/$H149),0)</f>
        <v>0</v>
      </c>
      <c r="AD152" s="357">
        <f>=IF(AND($J149="是",AD$209&gt;=$H149+$I149),(($F149-$F149*$G149)/$H149),0)</f>
        <v>0</v>
      </c>
      <c r="AE152" s="357">
        <f>=IF(AND($J149="是",AE$209&gt;=$H149+$I149),(($F149-$F149*$G149)/$H149),0)</f>
        <v>0</v>
      </c>
      <c r="AF152" s="357">
        <f>=IF(AND($J149="是",AF$209&gt;=$H149+$I149),(($F149-$F149*$G149)/$H149),0)</f>
        <v>0</v>
      </c>
    </row>
    <row r="153" spans="1:32" ht="12" hidden="true" customHeight="true">
      <c r="A153" s="297" t="s"/>
      <c r="B153" s="358" t="s">
        <v>707</v>
      </c>
      <c r="C153" s="358" t="s"/>
      <c r="D153" s="358" t="s"/>
      <c r="E153" s="358" t="s"/>
      <c r="F153" s="358" t="s"/>
      <c r="G153" s="358" t="s"/>
      <c r="H153" s="358" t="s"/>
      <c r="I153" s="358" t="s"/>
      <c r="J153" s="358" t="s"/>
      <c r="K153" s="357">
        <f>=IF(K$209&lt;$I149+$H149,0,IF($J149="是",IF(OR($H149=1,MOD(K$209-$I149+1,$H149)=1),$F149-K152,J153-K152),0))</f>
        <v>0</v>
      </c>
      <c r="L153" s="357">
        <f>=IF(L$209&lt;$I149+$H149,0,IF($J149="是",IF(OR($H149=1,MOD(L$209-$I149+1,$H149)=1),$F149-L152,K153-L152),0))</f>
        <v>0</v>
      </c>
      <c r="M153" s="357">
        <f>=IF(M$209&lt;$I149+$H149,0,IF($J149="是",IF(OR($H149=1,MOD(M$209-$I149+1,$H149)=1),$F149-M152,L153-M152),0))</f>
        <v>0</v>
      </c>
      <c r="N153" s="357">
        <f>=IF(N$209&lt;$I149+$H149,0,IF($J149="是",IF(OR($H149=1,MOD(N$209-$I149+1,$H149)=1),$F149-N152,M153-N152),0))</f>
        <v>0</v>
      </c>
      <c r="O153" s="357">
        <f>=IF(O$209&lt;$I149+$H149,0,IF($J149="是",IF(OR($H149=1,MOD(O$209-$I149+1,$H149)=1),$F149-O152,N153-O152),0))</f>
        <v>0</v>
      </c>
      <c r="P153" s="357">
        <f>=IF(P$209&lt;$I149+$H149,0,IF($J149="是",IF(OR($H149=1,MOD(P$209-$I149+1,$H149)=1),$F149-P152,O153-P152),0))</f>
        <v>0</v>
      </c>
      <c r="Q153" s="357">
        <f>=IF(Q$209&lt;$I149+$H149,0,IF($J149="是",IF(OR($H149=1,MOD(Q$209-$I149+1,$H149)=1),$F149-Q152,P153-Q152),0))</f>
        <v>0</v>
      </c>
      <c r="R153" s="357">
        <f>=IF(R$209&lt;$I149+$H149,0,IF($J149="是",IF(OR($H149=1,MOD(R$209-$I149+1,$H149)=1),$F149-R152,Q153-R152),0))</f>
        <v>0</v>
      </c>
      <c r="S153" s="357">
        <f>=IF(S$209&lt;$I149+$H149,0,IF($J149="是",IF(OR($H149=1,MOD(S$209-$I149+1,$H149)=1),$F149-S152,R153-S152),0))</f>
        <v>0</v>
      </c>
      <c r="T153" s="357">
        <f>=IF(T$209&lt;$I149+$H149,0,IF($J149="是",IF(OR($H149=1,MOD(T$209-$I149+1,$H149)=1),$F149-T152,S153-T152),0))</f>
        <v>0</v>
      </c>
      <c r="U153" s="357">
        <f>=IF(U$209&lt;$I149+$H149,0,IF($J149="是",IF(OR($H149=1,MOD(U$209-$I149+1,$H149)=1),$F149-U152,T153-U152),0))</f>
        <v>0</v>
      </c>
      <c r="V153" s="357">
        <f>=IF(V$209&lt;$I149+$H149,0,IF($J149="是",IF(OR($H149=1,MOD(V$209-$I149+1,$H149)=1),$F149-V152,U153-V152),0))</f>
        <v>0</v>
      </c>
      <c r="W153" s="357">
        <f>=IF(W$209&lt;$I149+$H149,0,IF($J149="是",IF(OR($H149=1,MOD(W$209-$I149+1,$H149)=1),$F149-W152,V153-W152),0))</f>
        <v>0</v>
      </c>
      <c r="X153" s="357">
        <f>=IF(X$209&lt;$I149+$H149,0,IF($J149="是",IF(OR($H149=1,MOD(X$209-$I149+1,$H149)=1),$F149-X152,W153-X152),0))</f>
        <v>0</v>
      </c>
      <c r="Y153" s="357">
        <f>=IF(Y$209&lt;$I149+$H149,0,IF($J149="是",IF(OR($H149=1,MOD(Y$209-$I149+1,$H149)=1),$F149-Y152,X153-Y152),0))</f>
        <v>0</v>
      </c>
      <c r="Z153" s="357">
        <f>=IF(Z$209&lt;$I149+$H149,0,IF($J149="是",IF(OR($H149=1,MOD(Z$209-$I149+1,$H149)=1),$F149-Z152,Y153-Z152),0))</f>
        <v>0</v>
      </c>
      <c r="AA153" s="357">
        <f>=IF(AA$209&lt;$I149+$H149,0,IF($J149="是",IF(OR($H149=1,MOD(AA$209-$I149+1,$H149)=1),$F149-AA152,Z153-AA152),0))</f>
        <v>0</v>
      </c>
      <c r="AB153" s="357">
        <f>=IF(AB$209&lt;$I149+$H149,0,IF($J149="是",IF(OR($H149=1,MOD(AB$209-$I149+1,$H149)=1),$F149-AB152,AA153-AB152),0))</f>
        <v>0</v>
      </c>
      <c r="AC153" s="357">
        <f>=IF(AC$209&lt;$I149+$H149,0,IF($J149="是",IF(OR($H149=1,MOD(AC$209-$I149+1,$H149)=1),$F149-AC152,AB153-AC152),0))</f>
        <v>0</v>
      </c>
      <c r="AD153" s="357">
        <f>=IF(AD$209&lt;$I149+$H149,0,IF($J149="是",IF(OR($H149=1,MOD(AD$209-$I149+1,$H149)=1),$F149-AD152,AC153-AD152),0))</f>
        <v>0</v>
      </c>
      <c r="AE153" s="357">
        <f>=IF(AE$209&lt;$I149+$H149,0,IF($J149="是",IF(OR($H149=1,MOD(AE$209-$I149+1,$H149)=1),$F149-AE152,AD153-AE152),0))</f>
        <v>0</v>
      </c>
      <c r="AF153" s="357">
        <f>=IF(AF$209&lt;$I149+$H149,0,IF($J149="是",IF(OR($H149=1,MOD(AF$209-$I149+1,$H149)=1),$F149-AF152,AE153-AF152),0))</f>
        <v>0</v>
      </c>
    </row>
    <row r="154" spans="1:32" ht="12" hidden="true" customHeight="true">
      <c r="A154" s="297" t="s"/>
      <c r="B154" s="358" t="s">
        <v>708</v>
      </c>
      <c r="C154" s="358" t="s"/>
      <c r="D154" s="358" t="s"/>
      <c r="E154" s="358" t="s"/>
      <c r="F154" s="358" t="s"/>
      <c r="G154" s="358" t="s"/>
      <c r="H154" s="358" t="s"/>
      <c r="I154" s="358" t="s"/>
      <c r="J154" s="358" t="s"/>
      <c r="K154" s="357">
        <f>=IF(AND($J149="是",K$209&gt;=$H149+$I149,MOD(K$209-$I149+1,$H149)=1),$F149,0)</f>
        <v>0</v>
      </c>
      <c r="L154" s="357">
        <f>=IF(AND($J149="是",L$209&gt;=$H149+$I149,MOD(L$209-$I149+1,$H149)=1),$F149,0)</f>
        <v>0</v>
      </c>
      <c r="M154" s="357">
        <f>=IF(AND($J149="是",M$209&gt;=$H149+$I149,MOD(M$209-$I149+1,$H149)=1),$F149,0)</f>
        <v>0</v>
      </c>
      <c r="N154" s="357">
        <f>=IF(AND($J149="是",N$209&gt;=$H149+$I149,MOD(N$209-$I149+1,$H149)=1),$F149,0)</f>
        <v>0</v>
      </c>
      <c r="O154" s="357">
        <f>=IF(AND($J149="是",O$209&gt;=$H149+$I149,MOD(O$209-$I149+1,$H149)=1),$F149,0)</f>
        <v>0</v>
      </c>
      <c r="P154" s="357">
        <f>=IF(AND($J149="是",P$209&gt;=$H149+$I149,MOD(P$209-$I149+1,$H149)=1),$F149,0)</f>
        <v>0</v>
      </c>
      <c r="Q154" s="357">
        <f>=IF(AND($J149="是",Q$209&gt;=$H149+$I149,MOD(Q$209-$I149+1,$H149)=1),$F149,0)</f>
        <v>0</v>
      </c>
      <c r="R154" s="357">
        <f>=IF(AND($J149="是",R$209&gt;=$H149+$I149,MOD(R$209-$I149+1,$H149)=1),$F149,0)</f>
        <v>0</v>
      </c>
      <c r="S154" s="357">
        <f>=IF(AND($J149="是",S$209&gt;=$H149+$I149,MOD(S$209-$I149+1,$H149)=1),$F149,0)</f>
        <v>0</v>
      </c>
      <c r="T154" s="357">
        <f>=IF(AND($J149="是",T$209&gt;=$H149+$I149,MOD(T$209-$I149+1,$H149)=1),$F149,0)</f>
        <v>0</v>
      </c>
      <c r="U154" s="357">
        <f>=IF(AND($J149="是",U$209&gt;=$H149+$I149,MOD(U$209-$I149+1,$H149)=1),$F149,0)</f>
        <v>0</v>
      </c>
      <c r="V154" s="357">
        <f>=IF(AND($J149="是",V$209&gt;=$H149+$I149,MOD(V$209-$I149+1,$H149)=1),$F149,0)</f>
        <v>0</v>
      </c>
      <c r="W154" s="357">
        <f>=IF(AND($J149="是",W$209&gt;=$H149+$I149,MOD(W$209-$I149+1,$H149)=1),$F149,0)</f>
        <v>0</v>
      </c>
      <c r="X154" s="357">
        <f>=IF(AND($J149="是",X$209&gt;=$H149+$I149,MOD(X$209-$I149+1,$H149)=1),$F149,0)</f>
        <v>0</v>
      </c>
      <c r="Y154" s="357">
        <f>=IF(AND($J149="是",Y$209&gt;=$H149+$I149,MOD(Y$209-$I149+1,$H149)=1),$F149,0)</f>
        <v>0</v>
      </c>
      <c r="Z154" s="357">
        <f>=IF(AND($J149="是",Z$209&gt;=$H149+$I149,MOD(Z$209-$I149+1,$H149)=1),$F149,0)</f>
        <v>0</v>
      </c>
      <c r="AA154" s="357">
        <f>=IF(AND($J149="是",AA$209&gt;=$H149+$I149,MOD(AA$209-$I149+1,$H149)=1),$F149,0)</f>
        <v>0</v>
      </c>
      <c r="AB154" s="357">
        <f>=IF(AND($J149="是",AB$209&gt;=$H149+$I149,MOD(AB$209-$I149+1,$H149)=1),$F149,0)</f>
        <v>0</v>
      </c>
      <c r="AC154" s="357">
        <f>=IF(AND($J149="是",AC$209&gt;=$H149+$I149,MOD(AC$209-$I149+1,$H149)=1),$F149,0)</f>
        <v>0</v>
      </c>
      <c r="AD154" s="357">
        <f>=IF(AND($J149="是",AD$209&gt;=$H149+$I149,MOD(AD$209-$I149+1,$H149)=1),$F149,0)</f>
        <v>0</v>
      </c>
      <c r="AE154" s="357">
        <f>=IF(AND($J149="是",AE$209&gt;=$H149+$I149,MOD(AE$209-$I149+1,$H149)=1),$F149,0)</f>
        <v>0</v>
      </c>
      <c r="AF154" s="357">
        <f>=IF(AND($J149="是",AF$209&gt;=$H149+$I149,MOD(AF$209-$I149+1,$H149)=1),$F149,0)</f>
        <v>0</v>
      </c>
    </row>
    <row r="155" spans="1:32" ht="12" hidden="true" customHeight="true">
      <c r="A155" s="297" t="s"/>
      <c r="B155" s="358" t="s">
        <v>709</v>
      </c>
      <c r="C155" s="358" t="s"/>
      <c r="D155" s="358" t="s"/>
      <c r="E155" s="358" t="s"/>
      <c r="F155" s="358" t="s"/>
      <c r="G155" s="358" t="s"/>
      <c r="H155" s="358" t="s"/>
      <c r="I155" s="358" t="s"/>
      <c r="J155" s="358" t="s"/>
      <c r="K155" s="357">
        <f>=IF(K$209=辅助表1评估项目基础数据表!$C$3+辅助表1评估项目基础数据表!$C$5,K151+K153,IF(AND($J149="是",K$209&gt;=$H149+$I149,MOD(K$209-$I149+1,$H149)=1),$F149*$G149,0))</f>
        <v>0</v>
      </c>
      <c r="L155" s="357">
        <f>=IF(L$209=辅助表1评估项目基础数据表!$C$3+辅助表1评估项目基础数据表!$C$5,L151+L153,IF(AND($J149="是",L$209&gt;=$H149+$I149,MOD(L$209-$I149+1,$H149)=1),$F149*$G149,0))</f>
        <v>0</v>
      </c>
      <c r="M155" s="357">
        <f>=IF(M$209=辅助表1评估项目基础数据表!$C$3+辅助表1评估项目基础数据表!$C$5,M151+M153,IF(AND($J149="是",M$209&gt;=$H149+$I149,MOD(M$209-$I149+1,$H149)=1),$F149*$G149,0))</f>
        <v>0</v>
      </c>
      <c r="N155" s="357">
        <f>=IF(N$209=辅助表1评估项目基础数据表!$C$3+辅助表1评估项目基础数据表!$C$5,N151+N153,IF(AND($J149="是",N$209&gt;=$H149+$I149,MOD(N$209-$I149+1,$H149)=1),$F149*$G149,0))</f>
        <v>0</v>
      </c>
      <c r="O155" s="357">
        <f>=IF(O$209=辅助表1评估项目基础数据表!$C$3+辅助表1评估项目基础数据表!$C$5,O151+O153,IF(AND($J149="是",O$209&gt;=$H149+$I149,MOD(O$209-$I149+1,$H149)=1),$F149*$G149,0))</f>
        <v>0</v>
      </c>
      <c r="P155" s="357">
        <f>=IF(P$209=辅助表1评估项目基础数据表!$C$3+辅助表1评估项目基础数据表!$C$5,P151+P153,IF(AND($J149="是",P$209&gt;=$H149+$I149,MOD(P$209-$I149+1,$H149)=1),$F149*$G149,0))</f>
        <v>0</v>
      </c>
      <c r="Q155" s="357">
        <f>=IF(Q$209=辅助表1评估项目基础数据表!$C$3+辅助表1评估项目基础数据表!$C$5,Q151+Q153,IF(AND($J149="是",Q$209&gt;=$H149+$I149,MOD(Q$209-$I149+1,$H149)=1),$F149*$G149,0))</f>
        <v>0</v>
      </c>
      <c r="R155" s="357">
        <f>=IF(R$209=辅助表1评估项目基础数据表!$C$3+辅助表1评估项目基础数据表!$C$5,R151+R153,IF(AND($J149="是",R$209&gt;=$H149+$I149,MOD(R$209-$I149+1,$H149)=1),$F149*$G149,0))</f>
        <v>0</v>
      </c>
      <c r="S155" s="357">
        <f>=IF(S$209=辅助表1评估项目基础数据表!$C$3+辅助表1评估项目基础数据表!$C$5,S151+S153,IF(AND($J149="是",S$209&gt;=$H149+$I149,MOD(S$209-$I149+1,$H149)=1),$F149*$G149,0))</f>
        <v>0</v>
      </c>
      <c r="T155" s="357">
        <f>=IF(T$209=辅助表1评估项目基础数据表!$C$3+辅助表1评估项目基础数据表!$C$5,T151+T153,IF(AND($J149="是",T$209&gt;=$H149+$I149,MOD(T$209-$I149+1,$H149)=1),$F149*$G149,0))</f>
        <v>0</v>
      </c>
      <c r="U155" s="357">
        <f>=IF(U$209=辅助表1评估项目基础数据表!$C$3+辅助表1评估项目基础数据表!$C$5,U151+U153,IF(AND($J149="是",U$209&gt;=$H149+$I149,MOD(U$209-$I149+1,$H149)=1),$F149*$G149,0))</f>
        <v>0</v>
      </c>
      <c r="V155" s="357">
        <f>=IF(V$209=辅助表1评估项目基础数据表!$C$3+辅助表1评估项目基础数据表!$C$5,V151+V153,IF(AND($J149="是",V$209&gt;=$H149+$I149,MOD(V$209-$I149+1,$H149)=1),$F149*$G149,0))</f>
        <v>0</v>
      </c>
      <c r="W155" s="357">
        <f>=IF(W$209=辅助表1评估项目基础数据表!$C$3+辅助表1评估项目基础数据表!$C$5,W151+W153,IF(AND($J149="是",W$209&gt;=$H149+$I149,MOD(W$209-$I149+1,$H149)=1),$F149*$G149,0))</f>
        <v>0</v>
      </c>
      <c r="X155" s="357">
        <f>=IF(X$209=辅助表1评估项目基础数据表!$C$3+辅助表1评估项目基础数据表!$C$5,X151+X153,IF(AND($J149="是",X$209&gt;=$H149+$I149,MOD(X$209-$I149+1,$H149)=1),$F149*$G149,0))</f>
        <v>0</v>
      </c>
      <c r="Y155" s="357">
        <f>=IF(Y$209=辅助表1评估项目基础数据表!$C$3+辅助表1评估项目基础数据表!$C$5,Y151+Y153,IF(AND($J149="是",Y$209&gt;=$H149+$I149,MOD(Y$209-$I149+1,$H149)=1),$F149*$G149,0))</f>
        <v>0</v>
      </c>
      <c r="Z155" s="357">
        <f>=IF(Z$209=辅助表1评估项目基础数据表!$C$3+辅助表1评估项目基础数据表!$C$5,Z151+Z153,IF(AND($J149="是",Z$209&gt;=$H149+$I149,MOD(Z$209-$I149+1,$H149)=1),$F149*$G149,0))</f>
        <v>0</v>
      </c>
      <c r="AA155" s="357">
        <f>=IF(AA$209=辅助表1评估项目基础数据表!$C$3+辅助表1评估项目基础数据表!$C$5,AA151+AA153,IF(AND($J149="是",AA$209&gt;=$H149+$I149,MOD(AA$209-$I149+1,$H149)=1),$F149*$G149,0))</f>
        <v>0</v>
      </c>
      <c r="AB155" s="357">
        <f>=IF(AB$209=辅助表1评估项目基础数据表!$C$3+辅助表1评估项目基础数据表!$C$5,AB151+AB153,IF(AND($J149="是",AB$209&gt;=$H149+$I149,MOD(AB$209-$I149+1,$H149)=1),$F149*$G149,0))</f>
        <v>0</v>
      </c>
      <c r="AC155" s="357">
        <f>=IF(AC$209=辅助表1评估项目基础数据表!$C$3+辅助表1评估项目基础数据表!$C$5,AC151+AC153,IF(AND($J149="是",AC$209&gt;=$H149+$I149,MOD(AC$209-$I149+1,$H149)=1),$F149*$G149,0))</f>
        <v>0</v>
      </c>
      <c r="AD155" s="357">
        <f>=IF(AD$209=辅助表1评估项目基础数据表!$C$3+辅助表1评估项目基础数据表!$C$5,AD151+AD153,IF(AND($J149="是",AD$209&gt;=$H149+$I149,MOD(AD$209-$I149+1,$H149)=1),$F149*$G149,0))</f>
        <v>0</v>
      </c>
      <c r="AE155" s="357">
        <f>=IF(AE$209=辅助表1评估项目基础数据表!$C$3+辅助表1评估项目基础数据表!$C$5,AE151+AE153,IF(AND($J149="是",AE$209&gt;=$H149+$I149,MOD(AE$209-$I149+1,$H149)=1),$F149*$G149,0))</f>
        <v>0</v>
      </c>
      <c r="AF155" s="357">
        <f>=IF(AF$209=辅助表1评估项目基础数据表!$C$3+辅助表1评估项目基础数据表!$C$5,AF151+AF153,IF(AND($J149="是",AF$209&gt;=$H149+$I149,MOD(AF$209-$I149+1,$H149)=1),$F149*$G149,0))</f>
        <v>0</v>
      </c>
    </row>
    <row r="156" spans="1:32" ht="12" hidden="true" customHeight="true">
      <c r="A156" s="297" t="s"/>
      <c r="B156" s="358" t="s">
        <v>710</v>
      </c>
      <c r="C156" s="358" t="s"/>
      <c r="D156" s="358" t="s"/>
      <c r="E156" s="358" t="s"/>
      <c r="F156" s="357">
        <f>=IF($D149="是",$C149*$E149/(1+$E149),0)</f>
        <v>0</v>
      </c>
      <c r="G156" s="358" t="s"/>
      <c r="H156" s="358" t="s"/>
      <c r="I156" s="358" t="s"/>
      <c r="J156" s="358" t="s"/>
      <c r="K156" s="357">
        <f>=IF($J149="是",IF(AND(K$209-$I149+1&gt;0,MOD(K$209-$I149+1,$H149)=1),$F156,0),IF(K$209-$I149+1=1,$F156,0))</f>
        <v>0</v>
      </c>
      <c r="L156" s="357">
        <f>=IF($J149="是",IF(AND(L$209-$I149+1&gt;0,MOD(L$209-$I149+1,$H149)=1),$F156,0),IF(L$209-$I149+1=1,$F156,0))</f>
        <v>0</v>
      </c>
      <c r="M156" s="357">
        <f>=IF($J149="是",IF(AND(M$209-$I149+1&gt;0,MOD(M$209-$I149+1,$H149)=1),$F156,0),IF(M$209-$I149+1=1,$F156,0))</f>
        <v>0</v>
      </c>
      <c r="N156" s="357">
        <f>=IF($J149="是",IF(AND(N$209-$I149+1&gt;0,MOD(N$209-$I149+1,$H149)=1),$F156,0),IF(N$209-$I149+1=1,$F156,0))</f>
        <v>0</v>
      </c>
      <c r="O156" s="357">
        <f>=IF($J149="是",IF(AND(O$209-$I149+1&gt;0,MOD(O$209-$I149+1,$H149)=1),$F156,0),IF(O$209-$I149+1=1,$F156,0))</f>
        <v>0</v>
      </c>
      <c r="P156" s="357">
        <f>=IF($J149="是",IF(AND(P$209-$I149+1&gt;0,MOD(P$209-$I149+1,$H149)=1),$F156,0),IF(P$209-$I149+1=1,$F156,0))</f>
        <v>0</v>
      </c>
      <c r="Q156" s="357">
        <f>=IF($J149="是",IF(AND(Q$209-$I149+1&gt;0,MOD(Q$209-$I149+1,$H149)=1),$F156,0),IF(Q$209-$I149+1=1,$F156,0))</f>
        <v>0</v>
      </c>
      <c r="R156" s="357">
        <f>=IF($J149="是",IF(AND(R$209-$I149+1&gt;0,MOD(R$209-$I149+1,$H149)=1),$F156,0),IF(R$209-$I149+1=1,$F156,0))</f>
        <v>0</v>
      </c>
      <c r="S156" s="357">
        <f>=IF($J149="是",IF(AND(S$209-$I149+1&gt;0,MOD(S$209-$I149+1,$H149)=1),$F156,0),IF(S$209-$I149+1=1,$F156,0))</f>
        <v>0</v>
      </c>
      <c r="T156" s="357">
        <f>=IF($J149="是",IF(AND(T$209-$I149+1&gt;0,MOD(T$209-$I149+1,$H149)=1),$F156,0),IF(T$209-$I149+1=1,$F156,0))</f>
        <v>0</v>
      </c>
      <c r="U156" s="357">
        <f>=IF($J149="是",IF(AND(U$209-$I149+1&gt;0,MOD(U$209-$I149+1,$H149)=1),$F156,0),IF(U$209-$I149+1=1,$F156,0))</f>
        <v>0</v>
      </c>
      <c r="V156" s="357">
        <f>=IF($J149="是",IF(AND(V$209-$I149+1&gt;0,MOD(V$209-$I149+1,$H149)=1),$F156,0),IF(V$209-$I149+1=1,$F156,0))</f>
        <v>0</v>
      </c>
      <c r="W156" s="357">
        <f>=IF($J149="是",IF(AND(W$209-$I149+1&gt;0,MOD(W$209-$I149+1,$H149)=1),$F156,0),IF(W$209-$I149+1=1,$F156,0))</f>
        <v>0</v>
      </c>
      <c r="X156" s="357">
        <f>=IF($J149="是",IF(AND(X$209-$I149+1&gt;0,MOD(X$209-$I149+1,$H149)=1),$F156,0),IF(X$209-$I149+1=1,$F156,0))</f>
        <v>0</v>
      </c>
      <c r="Y156" s="357">
        <f>=IF($J149="是",IF(AND(Y$209-$I149+1&gt;0,MOD(Y$209-$I149+1,$H149)=1),$F156,0),IF(Y$209-$I149+1=1,$F156,0))</f>
        <v>0</v>
      </c>
      <c r="Z156" s="357">
        <f>=IF($J149="是",IF(AND(Z$209-$I149+1&gt;0,MOD(Z$209-$I149+1,$H149)=1),$F156,0),IF(Z$209-$I149+1=1,$F156,0))</f>
        <v>0</v>
      </c>
      <c r="AA156" s="357">
        <f>=IF($J149="是",IF(AND(AA$209-$I149+1&gt;0,MOD(AA$209-$I149+1,$H149)=1),$F156,0),IF(AA$209-$I149+1=1,$F156,0))</f>
        <v>0</v>
      </c>
      <c r="AB156" s="357">
        <f>=IF($J149="是",IF(AND(AB$209-$I149+1&gt;0,MOD(AB$209-$I149+1,$H149)=1),$F156,0),IF(AB$209-$I149+1=1,$F156,0))</f>
        <v>0</v>
      </c>
      <c r="AC156" s="357">
        <f>=IF($J149="是",IF(AND(AC$209-$I149+1&gt;0,MOD(AC$209-$I149+1,$H149)=1),$F156,0),IF(AC$209-$I149+1=1,$F156,0))</f>
        <v>0</v>
      </c>
      <c r="AD156" s="357">
        <f>=IF($J149="是",IF(AND(AD$209-$I149+1&gt;0,MOD(AD$209-$I149+1,$H149)=1),$F156,0),IF(AD$209-$I149+1=1,$F156,0))</f>
        <v>0</v>
      </c>
      <c r="AE156" s="357">
        <f>=IF($J149="是",IF(AND(AE$209-$I149+1&gt;0,MOD(AE$209-$I149+1,$H149)=1),$F156,0),IF(AE$209-$I149+1=1,$F156,0))</f>
        <v>0</v>
      </c>
      <c r="AF156" s="357">
        <f>=IF($J149="是",IF(AND(AF$209-$I149+1&gt;0,MOD(AF$209-$I149+1,$H149)=1),$F156,0),IF(AF$209-$I149+1=1,$F156,0))</f>
        <v>0</v>
      </c>
    </row>
    <row r="157" spans="1:32" ht="12" hidden="true" customHeight="true">
      <c r="A157" s="297">
        <v>2</v>
      </c>
      <c r="B157" s="358" t="s">
        <v>720</v>
      </c>
      <c r="C157" s="379" t="s"/>
      <c r="D157" s="380" t="s">
        <v>185</v>
      </c>
      <c r="E157" s="381">
        <v>0.13</v>
      </c>
      <c r="F157" s="357">
        <f>=IF($D157="是",$C157/(1+$E157),$C157)</f>
        <v>0</v>
      </c>
      <c r="G157" s="382">
        <v>0.05</v>
      </c>
      <c r="H157" s="378">
        <v>30</v>
      </c>
      <c r="I157" s="378">
        <f>=辅助表1评估项目基础数据表!$C$3+1</f>
        <v>3</v>
      </c>
      <c r="J157" s="378" t="s">
        <v>185</v>
      </c>
      <c r="K157" s="371" t="s"/>
      <c r="L157" s="371" t="s"/>
      <c r="M157" s="372" t="s"/>
      <c r="N157" s="372" t="s"/>
      <c r="O157" s="372" t="s"/>
      <c r="P157" s="372" t="s"/>
      <c r="Q157" s="372" t="s"/>
      <c r="R157" s="372" t="s"/>
      <c r="S157" s="372" t="s"/>
      <c r="T157" s="372" t="s"/>
      <c r="U157" s="372" t="s"/>
      <c r="V157" s="372" t="s"/>
      <c r="W157" s="372" t="s"/>
      <c r="X157" s="372" t="s"/>
      <c r="Y157" s="372" t="s"/>
      <c r="Z157" s="372" t="s"/>
      <c r="AA157" s="372" t="s"/>
      <c r="AB157" s="372" t="s"/>
      <c r="AC157" s="372" t="s"/>
      <c r="AD157" s="372" t="s"/>
      <c r="AE157" s="372" t="s"/>
      <c r="AF157" s="372" t="s"/>
    </row>
    <row r="158" spans="1:32" ht="12" hidden="true" customHeight="true">
      <c r="A158" s="297" t="s"/>
      <c r="B158" s="374" t="s">
        <v>704</v>
      </c>
      <c r="C158" s="383" t="s">
        <v>714</v>
      </c>
      <c r="D158" s="358" t="s"/>
      <c r="E158" s="358" t="s"/>
      <c r="F158" s="358" t="s"/>
      <c r="G158" s="358" t="s"/>
      <c r="H158" s="358" t="s"/>
      <c r="I158" s="358" t="s"/>
      <c r="J158" s="358" t="s"/>
      <c r="K158" s="376">
        <f>=IF(K$209&lt;$I157,0,IF($H157&gt;(K$209-$I157),(($F157-$F157*$G157)/$H157),0))</f>
        <v>0</v>
      </c>
      <c r="L158" s="376">
        <f>=IF(L$209&lt;$I157,0,IF($H157&gt;(L$209-$I157),(($F157-$F157*$G157)/$H157),0))</f>
        <v>0</v>
      </c>
      <c r="M158" s="376">
        <f>=IF(M$209&lt;$I157,0,IF($H157&gt;(M$209-$I157),(($F157-$F157*$G157)/$H157),0))</f>
        <v>0</v>
      </c>
      <c r="N158" s="376">
        <f>=IF(N$209&lt;$I157,0,IF($H157&gt;(N$209-$I157),(($F157-$F157*$G157)/$H157),0))</f>
        <v>0</v>
      </c>
      <c r="O158" s="376">
        <f>=IF(O$209&lt;$I157,0,IF($H157&gt;(O$209-$I157),(($F157-$F157*$G157)/$H157),0))</f>
        <v>0</v>
      </c>
      <c r="P158" s="376">
        <f>=IF(P$209&lt;$I157,0,IF($H157&gt;(P$209-$I157),(($F157-$F157*$G157)/$H157),0))</f>
        <v>0</v>
      </c>
      <c r="Q158" s="376">
        <f>=IF(Q$209&lt;$I157,0,IF($H157&gt;(Q$209-$I157),(($F157-$F157*$G157)/$H157),0))</f>
        <v>0</v>
      </c>
      <c r="R158" s="376">
        <f>=IF(R$209&lt;$I157,0,IF($H157&gt;(R$209-$I157),(($F157-$F157*$G157)/$H157),0))</f>
        <v>0</v>
      </c>
      <c r="S158" s="376">
        <f>=IF(S$209&lt;$I157,0,IF($H157&gt;(S$209-$I157),(($F157-$F157*$G157)/$H157),0))</f>
        <v>0</v>
      </c>
      <c r="T158" s="376">
        <f>=IF(T$209&lt;$I157,0,IF($H157&gt;(T$209-$I157),(($F157-$F157*$G157)/$H157),0))</f>
        <v>0</v>
      </c>
      <c r="U158" s="376">
        <f>=IF(U$209&lt;$I157,0,IF($H157&gt;(U$209-$I157),(($F157-$F157*$G157)/$H157),0))</f>
        <v>0</v>
      </c>
      <c r="V158" s="376">
        <f>=IF(V$209&lt;$I157,0,IF($H157&gt;(V$209-$I157),(($F157-$F157*$G157)/$H157),0))</f>
        <v>0</v>
      </c>
      <c r="W158" s="376">
        <f>=IF(W$209&lt;$I157,0,IF($H157&gt;(W$209-$I157),(($F157-$F157*$G157)/$H157),0))</f>
        <v>0</v>
      </c>
      <c r="X158" s="376">
        <f>=IF(X$209&lt;$I157,0,IF($H157&gt;(X$209-$I157),(($F157-$F157*$G157)/$H157),0))</f>
        <v>0</v>
      </c>
      <c r="Y158" s="376">
        <f>=IF(Y$209&lt;$I157,0,IF($H157&gt;(Y$209-$I157),(($F157-$F157*$G157)/$H157),0))</f>
        <v>0</v>
      </c>
      <c r="Z158" s="376">
        <f>=IF(Z$209&lt;$I157,0,IF($H157&gt;(Z$209-$I157),(($F157-$F157*$G157)/$H157),0))</f>
        <v>0</v>
      </c>
      <c r="AA158" s="376">
        <f>=IF(AA$209&lt;$I157,0,IF($H157&gt;(AA$209-$I157),(($F157-$F157*$G157)/$H157),0))</f>
        <v>0</v>
      </c>
      <c r="AB158" s="376">
        <f>=IF(AB$209&lt;$I157,0,IF($H157&gt;(AB$209-$I157),(($F157-$F157*$G157)/$H157),0))</f>
        <v>0</v>
      </c>
      <c r="AC158" s="376">
        <f>=IF(AC$209&lt;$I157,0,IF($H157&gt;(AC$209-$I157),(($F157-$F157*$G157)/$H157),0))</f>
        <v>0</v>
      </c>
      <c r="AD158" s="376">
        <f>=IF(AD$209&lt;$I157,0,IF($H157&gt;(AD$209-$I157),(($F157-$F157*$G157)/$H157),0))</f>
        <v>0</v>
      </c>
      <c r="AE158" s="376">
        <f>=IF(AE$209&lt;$I157,0,IF($H157&gt;(AE$209-$I157),(($F157-$F157*$G157)/$H157),0))</f>
        <v>0</v>
      </c>
      <c r="AF158" s="376">
        <f>=IF(AF$209&lt;$I157,0,IF($H157&gt;(AF$209-$I157),(($F157-$F157*$G157)/$H157),0))</f>
        <v>0</v>
      </c>
    </row>
    <row r="159" spans="1:32" ht="12" hidden="true" customHeight="true">
      <c r="A159" s="297" t="s"/>
      <c r="B159" s="358" t="s">
        <v>705</v>
      </c>
      <c r="C159" s="358" t="s"/>
      <c r="D159" s="358" t="s"/>
      <c r="E159" s="358" t="s"/>
      <c r="F159" s="358" t="s"/>
      <c r="G159" s="358" t="s"/>
      <c r="H159" s="358" t="s"/>
      <c r="I159" s="358" t="s"/>
      <c r="J159" s="358" t="s"/>
      <c r="K159" s="357">
        <f>=IF(K$209=$I157,$F157-K158,0)</f>
        <v>0</v>
      </c>
      <c r="L159" s="357">
        <f>=IF(L$209=$I157,$F157-L158,IF(L$209&gt;$I157,IF(AND($J157="是",L$209&gt;=$I157+$H157),0,K159-L158),0))</f>
        <v>0</v>
      </c>
      <c r="M159" s="357">
        <f>=IF(M$209=$I157,$F157-M158,IF(M$209&gt;$I157,IF(AND($J157="是",M$209&gt;=$I157+$H157),0,L159-M158),0))</f>
        <v>0</v>
      </c>
      <c r="N159" s="357">
        <f>=IF(N$209=$I157,$F157-N158,IF(N$209&gt;$I157,IF(AND($J157="是",N$209&gt;=$I157+$H157),0,M159-N158),0))</f>
        <v>0</v>
      </c>
      <c r="O159" s="357">
        <f>=IF(O$209=$I157,$F157-O158,IF(O$209&gt;$I157,IF(AND($J157="是",O$209&gt;=$I157+$H157),0,N159-O158),0))</f>
        <v>0</v>
      </c>
      <c r="P159" s="357">
        <f>=IF(P$209=$I157,$F157-P158,IF(P$209&gt;$I157,IF(AND($J157="是",P$209&gt;=$I157+$H157),0,O159-P158),0))</f>
        <v>0</v>
      </c>
      <c r="Q159" s="357">
        <f>=IF(Q$209=$I157,$F157-Q158,IF(Q$209&gt;$I157,IF(AND($J157="是",Q$209&gt;=$I157+$H157),0,P159-Q158),0))</f>
        <v>0</v>
      </c>
      <c r="R159" s="357">
        <f>=IF(R$209=$I157,$F157-R158,IF(R$209&gt;$I157,IF(AND($J157="是",R$209&gt;=$I157+$H157),0,Q159-R158),0))</f>
        <v>0</v>
      </c>
      <c r="S159" s="357">
        <f>=IF(S$209=$I157,$F157-S158,IF(S$209&gt;$I157,IF(AND($J157="是",S$209&gt;=$I157+$H157),0,R159-S158),0))</f>
        <v>0</v>
      </c>
      <c r="T159" s="357">
        <f>=IF(T$209=$I157,$F157-T158,IF(T$209&gt;$I157,IF(AND($J157="是",T$209&gt;=$I157+$H157),0,S159-T158),0))</f>
        <v>0</v>
      </c>
      <c r="U159" s="357">
        <f>=IF(U$209=$I157,$F157-U158,IF(U$209&gt;$I157,IF(AND($J157="是",U$209&gt;=$I157+$H157),0,T159-U158),0))</f>
        <v>0</v>
      </c>
      <c r="V159" s="357">
        <f>=IF(V$209=$I157,$F157-V158,IF(V$209&gt;$I157,IF(AND($J157="是",V$209&gt;=$I157+$H157),0,U159-V158),0))</f>
        <v>0</v>
      </c>
      <c r="W159" s="357">
        <f>=IF(W$209=$I157,$F157-W158,IF(W$209&gt;$I157,IF(AND($J157="是",W$209&gt;=$I157+$H157),0,V159-W158),0))</f>
        <v>0</v>
      </c>
      <c r="X159" s="357">
        <f>=IF(X$209=$I157,$F157-X158,IF(X$209&gt;$I157,IF(AND($J157="是",X$209&gt;=$I157+$H157),0,W159-X158),0))</f>
        <v>0</v>
      </c>
      <c r="Y159" s="357">
        <f>=IF(Y$209=$I157,$F157-Y158,IF(Y$209&gt;$I157,IF(AND($J157="是",Y$209&gt;=$I157+$H157),0,X159-Y158),0))</f>
        <v>0</v>
      </c>
      <c r="Z159" s="357">
        <f>=IF(Z$209=$I157,$F157-Z158,IF(Z$209&gt;$I157,IF(AND($J157="是",Z$209&gt;=$I157+$H157),0,Y159-Z158),0))</f>
        <v>0</v>
      </c>
      <c r="AA159" s="357">
        <f>=IF(AA$209=$I157,$F157-AA158,IF(AA$209&gt;$I157,IF(AND($J157="是",AA$209&gt;=$I157+$H157),0,Z159-AA158),0))</f>
        <v>0</v>
      </c>
      <c r="AB159" s="357">
        <f>=IF(AB$209=$I157,$F157-AB158,IF(AB$209&gt;$I157,IF(AND($J157="是",AB$209&gt;=$I157+$H157),0,AA159-AB158),0))</f>
        <v>0</v>
      </c>
      <c r="AC159" s="357">
        <f>=IF(AC$209=$I157,$F157-AC158,IF(AC$209&gt;$I157,IF(AND($J157="是",AC$209&gt;=$I157+$H157),0,AB159-AC158),0))</f>
        <v>0</v>
      </c>
      <c r="AD159" s="357">
        <f>=IF(AD$209=$I157,$F157-AD158,IF(AD$209&gt;$I157,IF(AND($J157="是",AD$209&gt;=$I157+$H157),0,AC159-AD158),0))</f>
        <v>0</v>
      </c>
      <c r="AE159" s="357">
        <f>=IF(AE$209=$I157,$F157-AE158,IF(AE$209&gt;$I157,IF(AND($J157="是",AE$209&gt;=$I157+$H157),0,AD159-AE158),0))</f>
        <v>0</v>
      </c>
      <c r="AF159" s="357">
        <f>=IF(AF$209=$I157,$F157-AF158,IF(AF$209&gt;$I157,IF(AND($J157="是",AF$209&gt;=$I157+$H157),0,AE159-AF158),0))</f>
        <v>0</v>
      </c>
    </row>
    <row r="160" spans="1:32" ht="12" hidden="true" customHeight="true">
      <c r="A160" s="297" t="s"/>
      <c r="B160" s="358" t="s">
        <v>706</v>
      </c>
      <c r="C160" s="358" t="s"/>
      <c r="D160" s="358" t="s"/>
      <c r="E160" s="358" t="s"/>
      <c r="F160" s="358" t="s"/>
      <c r="G160" s="358" t="s"/>
      <c r="H160" s="358" t="s"/>
      <c r="I160" s="358" t="s"/>
      <c r="J160" s="358" t="s"/>
      <c r="K160" s="357">
        <f>=IF(AND($J157="是",K$209&gt;=$H157+$I157),(($F157-$F157*$G157)/$H157),0)</f>
        <v>0</v>
      </c>
      <c r="L160" s="357">
        <f>=IF(AND($J157="是",L$209&gt;=$H157+$I157),(($F157-$F157*$G157)/$H157),0)</f>
        <v>0</v>
      </c>
      <c r="M160" s="357">
        <f>=IF(AND($J157="是",M$209&gt;=$H157+$I157),(($F157-$F157*$G157)/$H157),0)</f>
        <v>0</v>
      </c>
      <c r="N160" s="357">
        <f>=IF(AND($J157="是",N$209&gt;=$H157+$I157),(($F157-$F157*$G157)/$H157),0)</f>
        <v>0</v>
      </c>
      <c r="O160" s="357">
        <f>=IF(AND($J157="是",O$209&gt;=$H157+$I157),(($F157-$F157*$G157)/$H157),0)</f>
        <v>0</v>
      </c>
      <c r="P160" s="357">
        <f>=IF(AND($J157="是",P$209&gt;=$H157+$I157),(($F157-$F157*$G157)/$H157),0)</f>
        <v>0</v>
      </c>
      <c r="Q160" s="357">
        <f>=IF(AND($J157="是",Q$209&gt;=$H157+$I157),(($F157-$F157*$G157)/$H157),0)</f>
        <v>0</v>
      </c>
      <c r="R160" s="357">
        <f>=IF(AND($J157="是",R$209&gt;=$H157+$I157),(($F157-$F157*$G157)/$H157),0)</f>
        <v>0</v>
      </c>
      <c r="S160" s="357">
        <f>=IF(AND($J157="是",S$209&gt;=$H157+$I157),(($F157-$F157*$G157)/$H157),0)</f>
        <v>0</v>
      </c>
      <c r="T160" s="357">
        <f>=IF(AND($J157="是",T$209&gt;=$H157+$I157),(($F157-$F157*$G157)/$H157),0)</f>
        <v>0</v>
      </c>
      <c r="U160" s="357">
        <f>=IF(AND($J157="是",U$209&gt;=$H157+$I157),(($F157-$F157*$G157)/$H157),0)</f>
        <v>0</v>
      </c>
      <c r="V160" s="357">
        <f>=IF(AND($J157="是",V$209&gt;=$H157+$I157),(($F157-$F157*$G157)/$H157),0)</f>
        <v>0</v>
      </c>
      <c r="W160" s="357">
        <f>=IF(AND($J157="是",W$209&gt;=$H157+$I157),(($F157-$F157*$G157)/$H157),0)</f>
        <v>0</v>
      </c>
      <c r="X160" s="357">
        <f>=IF(AND($J157="是",X$209&gt;=$H157+$I157),(($F157-$F157*$G157)/$H157),0)</f>
        <v>0</v>
      </c>
      <c r="Y160" s="357">
        <f>=IF(AND($J157="是",Y$209&gt;=$H157+$I157),(($F157-$F157*$G157)/$H157),0)</f>
        <v>0</v>
      </c>
      <c r="Z160" s="357">
        <f>=IF(AND($J157="是",Z$209&gt;=$H157+$I157),(($F157-$F157*$G157)/$H157),0)</f>
        <v>0</v>
      </c>
      <c r="AA160" s="357">
        <f>=IF(AND($J157="是",AA$209&gt;=$H157+$I157),(($F157-$F157*$G157)/$H157),0)</f>
        <v>0</v>
      </c>
      <c r="AB160" s="357">
        <f>=IF(AND($J157="是",AB$209&gt;=$H157+$I157),(($F157-$F157*$G157)/$H157),0)</f>
        <v>0</v>
      </c>
      <c r="AC160" s="357">
        <f>=IF(AND($J157="是",AC$209&gt;=$H157+$I157),(($F157-$F157*$G157)/$H157),0)</f>
        <v>0</v>
      </c>
      <c r="AD160" s="357">
        <f>=IF(AND($J157="是",AD$209&gt;=$H157+$I157),(($F157-$F157*$G157)/$H157),0)</f>
        <v>0</v>
      </c>
      <c r="AE160" s="357">
        <f>=IF(AND($J157="是",AE$209&gt;=$H157+$I157),(($F157-$F157*$G157)/$H157),0)</f>
        <v>0</v>
      </c>
      <c r="AF160" s="357">
        <f>=IF(AND($J157="是",AF$209&gt;=$H157+$I157),(($F157-$F157*$G157)/$H157),0)</f>
        <v>0</v>
      </c>
    </row>
    <row r="161" spans="1:32" ht="12" hidden="true" customHeight="true">
      <c r="A161" s="297" t="s"/>
      <c r="B161" s="358" t="s">
        <v>707</v>
      </c>
      <c r="C161" s="358" t="s"/>
      <c r="D161" s="358" t="s"/>
      <c r="E161" s="358" t="s"/>
      <c r="F161" s="358" t="s"/>
      <c r="G161" s="358" t="s"/>
      <c r="H161" s="358" t="s"/>
      <c r="I161" s="358" t="s"/>
      <c r="J161" s="358" t="s"/>
      <c r="K161" s="357">
        <f>=IF(K$209&lt;$I157+$H157,0,IF($J157="是",IF(OR($H157=1,MOD(K$209-$I157+1,$H157)=1),$F157-K160,J161-K160),0))</f>
        <v>0</v>
      </c>
      <c r="L161" s="357">
        <f>=IF(L$209&lt;$I157+$H157,0,IF($J157="是",IF(OR($H157=1,MOD(L$209-$I157+1,$H157)=1),$F157-L160,K161-L160),0))</f>
        <v>0</v>
      </c>
      <c r="M161" s="357">
        <f>=IF(M$209&lt;$I157+$H157,0,IF($J157="是",IF(OR($H157=1,MOD(M$209-$I157+1,$H157)=1),$F157-M160,L161-M160),0))</f>
        <v>0</v>
      </c>
      <c r="N161" s="357">
        <f>=IF(N$209&lt;$I157+$H157,0,IF($J157="是",IF(OR($H157=1,MOD(N$209-$I157+1,$H157)=1),$F157-N160,M161-N160),0))</f>
        <v>0</v>
      </c>
      <c r="O161" s="357">
        <f>=IF(O$209&lt;$I157+$H157,0,IF($J157="是",IF(OR($H157=1,MOD(O$209-$I157+1,$H157)=1),$F157-O160,N161-O160),0))</f>
        <v>0</v>
      </c>
      <c r="P161" s="357">
        <f>=IF(P$209&lt;$I157+$H157,0,IF($J157="是",IF(OR($H157=1,MOD(P$209-$I157+1,$H157)=1),$F157-P160,O161-P160),0))</f>
        <v>0</v>
      </c>
      <c r="Q161" s="357">
        <f>=IF(Q$209&lt;$I157+$H157,0,IF($J157="是",IF(OR($H157=1,MOD(Q$209-$I157+1,$H157)=1),$F157-Q160,P161-Q160),0))</f>
        <v>0</v>
      </c>
      <c r="R161" s="357">
        <f>=IF(R$209&lt;$I157+$H157,0,IF($J157="是",IF(OR($H157=1,MOD(R$209-$I157+1,$H157)=1),$F157-R160,Q161-R160),0))</f>
        <v>0</v>
      </c>
      <c r="S161" s="357">
        <f>=IF(S$209&lt;$I157+$H157,0,IF($J157="是",IF(OR($H157=1,MOD(S$209-$I157+1,$H157)=1),$F157-S160,R161-S160),0))</f>
        <v>0</v>
      </c>
      <c r="T161" s="357">
        <f>=IF(T$209&lt;$I157+$H157,0,IF($J157="是",IF(OR($H157=1,MOD(T$209-$I157+1,$H157)=1),$F157-T160,S161-T160),0))</f>
        <v>0</v>
      </c>
      <c r="U161" s="357">
        <f>=IF(U$209&lt;$I157+$H157,0,IF($J157="是",IF(OR($H157=1,MOD(U$209-$I157+1,$H157)=1),$F157-U160,T161-U160),0))</f>
        <v>0</v>
      </c>
      <c r="V161" s="357">
        <f>=IF(V$209&lt;$I157+$H157,0,IF($J157="是",IF(OR($H157=1,MOD(V$209-$I157+1,$H157)=1),$F157-V160,U161-V160),0))</f>
        <v>0</v>
      </c>
      <c r="W161" s="357">
        <f>=IF(W$209&lt;$I157+$H157,0,IF($J157="是",IF(OR($H157=1,MOD(W$209-$I157+1,$H157)=1),$F157-W160,V161-W160),0))</f>
        <v>0</v>
      </c>
      <c r="X161" s="357">
        <f>=IF(X$209&lt;$I157+$H157,0,IF($J157="是",IF(OR($H157=1,MOD(X$209-$I157+1,$H157)=1),$F157-X160,W161-X160),0))</f>
        <v>0</v>
      </c>
      <c r="Y161" s="357">
        <f>=IF(Y$209&lt;$I157+$H157,0,IF($J157="是",IF(OR($H157=1,MOD(Y$209-$I157+1,$H157)=1),$F157-Y160,X161-Y160),0))</f>
        <v>0</v>
      </c>
      <c r="Z161" s="357">
        <f>=IF(Z$209&lt;$I157+$H157,0,IF($J157="是",IF(OR($H157=1,MOD(Z$209-$I157+1,$H157)=1),$F157-Z160,Y161-Z160),0))</f>
        <v>0</v>
      </c>
      <c r="AA161" s="357">
        <f>=IF(AA$209&lt;$I157+$H157,0,IF($J157="是",IF(OR($H157=1,MOD(AA$209-$I157+1,$H157)=1),$F157-AA160,Z161-AA160),0))</f>
        <v>0</v>
      </c>
      <c r="AB161" s="357">
        <f>=IF(AB$209&lt;$I157+$H157,0,IF($J157="是",IF(OR($H157=1,MOD(AB$209-$I157+1,$H157)=1),$F157-AB160,AA161-AB160),0))</f>
        <v>0</v>
      </c>
      <c r="AC161" s="357">
        <f>=IF(AC$209&lt;$I157+$H157,0,IF($J157="是",IF(OR($H157=1,MOD(AC$209-$I157+1,$H157)=1),$F157-AC160,AB161-AC160),0))</f>
        <v>0</v>
      </c>
      <c r="AD161" s="357">
        <f>=IF(AD$209&lt;$I157+$H157,0,IF($J157="是",IF(OR($H157=1,MOD(AD$209-$I157+1,$H157)=1),$F157-AD160,AC161-AD160),0))</f>
        <v>0</v>
      </c>
      <c r="AE161" s="357">
        <f>=IF(AE$209&lt;$I157+$H157,0,IF($J157="是",IF(OR($H157=1,MOD(AE$209-$I157+1,$H157)=1),$F157-AE160,AD161-AE160),0))</f>
        <v>0</v>
      </c>
      <c r="AF161" s="357">
        <f>=IF(AF$209&lt;$I157+$H157,0,IF($J157="是",IF(OR($H157=1,MOD(AF$209-$I157+1,$H157)=1),$F157-AF160,AE161-AF160),0))</f>
        <v>0</v>
      </c>
    </row>
    <row r="162" spans="1:32" ht="12" hidden="true" customHeight="true">
      <c r="A162" s="297" t="s"/>
      <c r="B162" s="358" t="s">
        <v>708</v>
      </c>
      <c r="C162" s="358" t="s"/>
      <c r="D162" s="358" t="s"/>
      <c r="E162" s="358" t="s"/>
      <c r="F162" s="358" t="s"/>
      <c r="G162" s="358" t="s"/>
      <c r="H162" s="358" t="s"/>
      <c r="I162" s="358" t="s"/>
      <c r="J162" s="358" t="s"/>
      <c r="K162" s="357">
        <f>=IF(AND($J157="是",K$209&gt;=$H157+$I157,MOD(K$209-$I157+1,$H157)=1),$F157,0)</f>
        <v>0</v>
      </c>
      <c r="L162" s="357">
        <f>=IF(AND($J157="是",L$209&gt;=$H157+$I157,MOD(L$209-$I157+1,$H157)=1),$F157,0)</f>
        <v>0</v>
      </c>
      <c r="M162" s="357">
        <f>=IF(AND($J157="是",M$209&gt;=$H157+$I157,MOD(M$209-$I157+1,$H157)=1),$F157,0)</f>
        <v>0</v>
      </c>
      <c r="N162" s="357">
        <f>=IF(AND($J157="是",N$209&gt;=$H157+$I157,MOD(N$209-$I157+1,$H157)=1),$F157,0)</f>
        <v>0</v>
      </c>
      <c r="O162" s="357">
        <f>=IF(AND($J157="是",O$209&gt;=$H157+$I157,MOD(O$209-$I157+1,$H157)=1),$F157,0)</f>
        <v>0</v>
      </c>
      <c r="P162" s="357">
        <f>=IF(AND($J157="是",P$209&gt;=$H157+$I157,MOD(P$209-$I157+1,$H157)=1),$F157,0)</f>
        <v>0</v>
      </c>
      <c r="Q162" s="357">
        <f>=IF(AND($J157="是",Q$209&gt;=$H157+$I157,MOD(Q$209-$I157+1,$H157)=1),$F157,0)</f>
        <v>0</v>
      </c>
      <c r="R162" s="357">
        <f>=IF(AND($J157="是",R$209&gt;=$H157+$I157,MOD(R$209-$I157+1,$H157)=1),$F157,0)</f>
        <v>0</v>
      </c>
      <c r="S162" s="357">
        <f>=IF(AND($J157="是",S$209&gt;=$H157+$I157,MOD(S$209-$I157+1,$H157)=1),$F157,0)</f>
        <v>0</v>
      </c>
      <c r="T162" s="357">
        <f>=IF(AND($J157="是",T$209&gt;=$H157+$I157,MOD(T$209-$I157+1,$H157)=1),$F157,0)</f>
        <v>0</v>
      </c>
      <c r="U162" s="357">
        <f>=IF(AND($J157="是",U$209&gt;=$H157+$I157,MOD(U$209-$I157+1,$H157)=1),$F157,0)</f>
        <v>0</v>
      </c>
      <c r="V162" s="357">
        <f>=IF(AND($J157="是",V$209&gt;=$H157+$I157,MOD(V$209-$I157+1,$H157)=1),$F157,0)</f>
        <v>0</v>
      </c>
      <c r="W162" s="357">
        <f>=IF(AND($J157="是",W$209&gt;=$H157+$I157,MOD(W$209-$I157+1,$H157)=1),$F157,0)</f>
        <v>0</v>
      </c>
      <c r="X162" s="357">
        <f>=IF(AND($J157="是",X$209&gt;=$H157+$I157,MOD(X$209-$I157+1,$H157)=1),$F157,0)</f>
        <v>0</v>
      </c>
      <c r="Y162" s="357">
        <f>=IF(AND($J157="是",Y$209&gt;=$H157+$I157,MOD(Y$209-$I157+1,$H157)=1),$F157,0)</f>
        <v>0</v>
      </c>
      <c r="Z162" s="357">
        <f>=IF(AND($J157="是",Z$209&gt;=$H157+$I157,MOD(Z$209-$I157+1,$H157)=1),$F157,0)</f>
        <v>0</v>
      </c>
      <c r="AA162" s="357">
        <f>=IF(AND($J157="是",AA$209&gt;=$H157+$I157,MOD(AA$209-$I157+1,$H157)=1),$F157,0)</f>
        <v>0</v>
      </c>
      <c r="AB162" s="357">
        <f>=IF(AND($J157="是",AB$209&gt;=$H157+$I157,MOD(AB$209-$I157+1,$H157)=1),$F157,0)</f>
        <v>0</v>
      </c>
      <c r="AC162" s="357">
        <f>=IF(AND($J157="是",AC$209&gt;=$H157+$I157,MOD(AC$209-$I157+1,$H157)=1),$F157,0)</f>
        <v>0</v>
      </c>
      <c r="AD162" s="357">
        <f>=IF(AND($J157="是",AD$209&gt;=$H157+$I157,MOD(AD$209-$I157+1,$H157)=1),$F157,0)</f>
        <v>0</v>
      </c>
      <c r="AE162" s="357">
        <f>=IF(AND($J157="是",AE$209&gt;=$H157+$I157,MOD(AE$209-$I157+1,$H157)=1),$F157,0)</f>
        <v>0</v>
      </c>
      <c r="AF162" s="357">
        <f>=IF(AND($J157="是",AF$209&gt;=$H157+$I157,MOD(AF$209-$I157+1,$H157)=1),$F157,0)</f>
        <v>0</v>
      </c>
    </row>
    <row r="163" spans="1:32" ht="12" hidden="true" customHeight="true">
      <c r="A163" s="297" t="s"/>
      <c r="B163" s="358" t="s">
        <v>709</v>
      </c>
      <c r="C163" s="358" t="s"/>
      <c r="D163" s="358" t="s"/>
      <c r="E163" s="358" t="s"/>
      <c r="F163" s="358" t="s"/>
      <c r="G163" s="358" t="s"/>
      <c r="H163" s="358" t="s"/>
      <c r="I163" s="358" t="s"/>
      <c r="J163" s="358" t="s"/>
      <c r="K163" s="357">
        <f>=IF(K$209=辅助表1评估项目基础数据表!$C$3+辅助表1评估项目基础数据表!$C$5,K159+K161,IF(AND($J157="是",K$209&gt;=$H157+$I157,MOD(K$209-$I157+1,$H157)=1),$F157*$G157,0))</f>
        <v>0</v>
      </c>
      <c r="L163" s="357">
        <f>=IF(L$209=辅助表1评估项目基础数据表!$C$3+辅助表1评估项目基础数据表!$C$5,L159+L161,IF(AND($J157="是",L$209&gt;=$H157+$I157,MOD(L$209-$I157+1,$H157)=1),$F157*$G157,0))</f>
        <v>0</v>
      </c>
      <c r="M163" s="357">
        <f>=IF(M$209=辅助表1评估项目基础数据表!$C$3+辅助表1评估项目基础数据表!$C$5,M159+M161,IF(AND($J157="是",M$209&gt;=$H157+$I157,MOD(M$209-$I157+1,$H157)=1),$F157*$G157,0))</f>
        <v>0</v>
      </c>
      <c r="N163" s="357">
        <f>=IF(N$209=辅助表1评估项目基础数据表!$C$3+辅助表1评估项目基础数据表!$C$5,N159+N161,IF(AND($J157="是",N$209&gt;=$H157+$I157,MOD(N$209-$I157+1,$H157)=1),$F157*$G157,0))</f>
        <v>0</v>
      </c>
      <c r="O163" s="357">
        <f>=IF(O$209=辅助表1评估项目基础数据表!$C$3+辅助表1评估项目基础数据表!$C$5,O159+O161,IF(AND($J157="是",O$209&gt;=$H157+$I157,MOD(O$209-$I157+1,$H157)=1),$F157*$G157,0))</f>
        <v>0</v>
      </c>
      <c r="P163" s="357">
        <f>=IF(P$209=辅助表1评估项目基础数据表!$C$3+辅助表1评估项目基础数据表!$C$5,P159+P161,IF(AND($J157="是",P$209&gt;=$H157+$I157,MOD(P$209-$I157+1,$H157)=1),$F157*$G157,0))</f>
        <v>0</v>
      </c>
      <c r="Q163" s="357">
        <f>=IF(Q$209=辅助表1评估项目基础数据表!$C$3+辅助表1评估项目基础数据表!$C$5,Q159+Q161,IF(AND($J157="是",Q$209&gt;=$H157+$I157,MOD(Q$209-$I157+1,$H157)=1),$F157*$G157,0))</f>
        <v>0</v>
      </c>
      <c r="R163" s="357">
        <f>=IF(R$209=辅助表1评估项目基础数据表!$C$3+辅助表1评估项目基础数据表!$C$5,R159+R161,IF(AND($J157="是",R$209&gt;=$H157+$I157,MOD(R$209-$I157+1,$H157)=1),$F157*$G157,0))</f>
        <v>0</v>
      </c>
      <c r="S163" s="357">
        <f>=IF(S$209=辅助表1评估项目基础数据表!$C$3+辅助表1评估项目基础数据表!$C$5,S159+S161,IF(AND($J157="是",S$209&gt;=$H157+$I157,MOD(S$209-$I157+1,$H157)=1),$F157*$G157,0))</f>
        <v>0</v>
      </c>
      <c r="T163" s="357">
        <f>=IF(T$209=辅助表1评估项目基础数据表!$C$3+辅助表1评估项目基础数据表!$C$5,T159+T161,IF(AND($J157="是",T$209&gt;=$H157+$I157,MOD(T$209-$I157+1,$H157)=1),$F157*$G157,0))</f>
        <v>0</v>
      </c>
      <c r="U163" s="357">
        <f>=IF(U$209=辅助表1评估项目基础数据表!$C$3+辅助表1评估项目基础数据表!$C$5,U159+U161,IF(AND($J157="是",U$209&gt;=$H157+$I157,MOD(U$209-$I157+1,$H157)=1),$F157*$G157,0))</f>
        <v>0</v>
      </c>
      <c r="V163" s="357">
        <f>=IF(V$209=辅助表1评估项目基础数据表!$C$3+辅助表1评估项目基础数据表!$C$5,V159+V161,IF(AND($J157="是",V$209&gt;=$H157+$I157,MOD(V$209-$I157+1,$H157)=1),$F157*$G157,0))</f>
        <v>0</v>
      </c>
      <c r="W163" s="357">
        <f>=IF(W$209=辅助表1评估项目基础数据表!$C$3+辅助表1评估项目基础数据表!$C$5,W159+W161,IF(AND($J157="是",W$209&gt;=$H157+$I157,MOD(W$209-$I157+1,$H157)=1),$F157*$G157,0))</f>
        <v>0</v>
      </c>
      <c r="X163" s="357">
        <f>=IF(X$209=辅助表1评估项目基础数据表!$C$3+辅助表1评估项目基础数据表!$C$5,X159+X161,IF(AND($J157="是",X$209&gt;=$H157+$I157,MOD(X$209-$I157+1,$H157)=1),$F157*$G157,0))</f>
        <v>0</v>
      </c>
      <c r="Y163" s="357">
        <f>=IF(Y$209=辅助表1评估项目基础数据表!$C$3+辅助表1评估项目基础数据表!$C$5,Y159+Y161,IF(AND($J157="是",Y$209&gt;=$H157+$I157,MOD(Y$209-$I157+1,$H157)=1),$F157*$G157,0))</f>
        <v>0</v>
      </c>
      <c r="Z163" s="357">
        <f>=IF(Z$209=辅助表1评估项目基础数据表!$C$3+辅助表1评估项目基础数据表!$C$5,Z159+Z161,IF(AND($J157="是",Z$209&gt;=$H157+$I157,MOD(Z$209-$I157+1,$H157)=1),$F157*$G157,0))</f>
        <v>0</v>
      </c>
      <c r="AA163" s="357">
        <f>=IF(AA$209=辅助表1评估项目基础数据表!$C$3+辅助表1评估项目基础数据表!$C$5,AA159+AA161,IF(AND($J157="是",AA$209&gt;=$H157+$I157,MOD(AA$209-$I157+1,$H157)=1),$F157*$G157,0))</f>
        <v>0</v>
      </c>
      <c r="AB163" s="357">
        <f>=IF(AB$209=辅助表1评估项目基础数据表!$C$3+辅助表1评估项目基础数据表!$C$5,AB159+AB161,IF(AND($J157="是",AB$209&gt;=$H157+$I157,MOD(AB$209-$I157+1,$H157)=1),$F157*$G157,0))</f>
        <v>0</v>
      </c>
      <c r="AC163" s="357">
        <f>=IF(AC$209=辅助表1评估项目基础数据表!$C$3+辅助表1评估项目基础数据表!$C$5,AC159+AC161,IF(AND($J157="是",AC$209&gt;=$H157+$I157,MOD(AC$209-$I157+1,$H157)=1),$F157*$G157,0))</f>
        <v>0</v>
      </c>
      <c r="AD163" s="357">
        <f>=IF(AD$209=辅助表1评估项目基础数据表!$C$3+辅助表1评估项目基础数据表!$C$5,AD159+AD161,IF(AND($J157="是",AD$209&gt;=$H157+$I157,MOD(AD$209-$I157+1,$H157)=1),$F157*$G157,0))</f>
        <v>0</v>
      </c>
      <c r="AE163" s="357">
        <f>=IF(AE$209=辅助表1评估项目基础数据表!$C$3+辅助表1评估项目基础数据表!$C$5,AE159+AE161,IF(AND($J157="是",AE$209&gt;=$H157+$I157,MOD(AE$209-$I157+1,$H157)=1),$F157*$G157,0))</f>
        <v>0</v>
      </c>
      <c r="AF163" s="357">
        <f>=IF(AF$209=辅助表1评估项目基础数据表!$C$3+辅助表1评估项目基础数据表!$C$5,AF159+AF161,IF(AND($J157="是",AF$209&gt;=$H157+$I157,MOD(AF$209-$I157+1,$H157)=1),$F157*$G157,0))</f>
        <v>0</v>
      </c>
    </row>
    <row r="164" spans="1:32" ht="12" hidden="true" customHeight="true">
      <c r="A164" s="297" t="s"/>
      <c r="B164" s="358" t="s">
        <v>710</v>
      </c>
      <c r="C164" s="358" t="s"/>
      <c r="D164" s="358" t="s"/>
      <c r="E164" s="358" t="s"/>
      <c r="F164" s="357">
        <f>=IF($D157="是",$C157*$E157/(1+$E157),0)</f>
        <v>0</v>
      </c>
      <c r="G164" s="358" t="s"/>
      <c r="H164" s="358" t="s"/>
      <c r="I164" s="358" t="s"/>
      <c r="J164" s="358" t="s"/>
      <c r="K164" s="357">
        <f>=IF($J157="是",IF(AND(K$209-$I157+1&gt;0,MOD(K$209-$I157+1,$H157)=1),$F164,0),IF(K$209-$I157+1=1,$F164,0))</f>
        <v>0</v>
      </c>
      <c r="L164" s="357">
        <f>=IF($J157="是",IF(AND(L$209-$I157+1&gt;0,MOD(L$209-$I157+1,$H157)=1),$F164,0),IF(L$209-$I157+1=1,$F164,0))</f>
        <v>0</v>
      </c>
      <c r="M164" s="357">
        <f>=IF($J157="是",IF(AND(M$209-$I157+1&gt;0,MOD(M$209-$I157+1,$H157)=1),$F164,0),IF(M$209-$I157+1=1,$F164,0))</f>
        <v>0</v>
      </c>
      <c r="N164" s="357">
        <f>=IF($J157="是",IF(AND(N$209-$I157+1&gt;0,MOD(N$209-$I157+1,$H157)=1),$F164,0),IF(N$209-$I157+1=1,$F164,0))</f>
        <v>0</v>
      </c>
      <c r="O164" s="357">
        <f>=IF($J157="是",IF(AND(O$209-$I157+1&gt;0,MOD(O$209-$I157+1,$H157)=1),$F164,0),IF(O$209-$I157+1=1,$F164,0))</f>
        <v>0</v>
      </c>
      <c r="P164" s="357">
        <f>=IF($J157="是",IF(AND(P$209-$I157+1&gt;0,MOD(P$209-$I157+1,$H157)=1),$F164,0),IF(P$209-$I157+1=1,$F164,0))</f>
        <v>0</v>
      </c>
      <c r="Q164" s="357">
        <f>=IF($J157="是",IF(AND(Q$209-$I157+1&gt;0,MOD(Q$209-$I157+1,$H157)=1),$F164,0),IF(Q$209-$I157+1=1,$F164,0))</f>
        <v>0</v>
      </c>
      <c r="R164" s="357">
        <f>=IF($J157="是",IF(AND(R$209-$I157+1&gt;0,MOD(R$209-$I157+1,$H157)=1),$F164,0),IF(R$209-$I157+1=1,$F164,0))</f>
        <v>0</v>
      </c>
      <c r="S164" s="357">
        <f>=IF($J157="是",IF(AND(S$209-$I157+1&gt;0,MOD(S$209-$I157+1,$H157)=1),$F164,0),IF(S$209-$I157+1=1,$F164,0))</f>
        <v>0</v>
      </c>
      <c r="T164" s="357">
        <f>=IF($J157="是",IF(AND(T$209-$I157+1&gt;0,MOD(T$209-$I157+1,$H157)=1),$F164,0),IF(T$209-$I157+1=1,$F164,0))</f>
        <v>0</v>
      </c>
      <c r="U164" s="357">
        <f>=IF($J157="是",IF(AND(U$209-$I157+1&gt;0,MOD(U$209-$I157+1,$H157)=1),$F164,0),IF(U$209-$I157+1=1,$F164,0))</f>
        <v>0</v>
      </c>
      <c r="V164" s="357">
        <f>=IF($J157="是",IF(AND(V$209-$I157+1&gt;0,MOD(V$209-$I157+1,$H157)=1),$F164,0),IF(V$209-$I157+1=1,$F164,0))</f>
        <v>0</v>
      </c>
      <c r="W164" s="357">
        <f>=IF($J157="是",IF(AND(W$209-$I157+1&gt;0,MOD(W$209-$I157+1,$H157)=1),$F164,0),IF(W$209-$I157+1=1,$F164,0))</f>
        <v>0</v>
      </c>
      <c r="X164" s="357">
        <f>=IF($J157="是",IF(AND(X$209-$I157+1&gt;0,MOD(X$209-$I157+1,$H157)=1),$F164,0),IF(X$209-$I157+1=1,$F164,0))</f>
        <v>0</v>
      </c>
      <c r="Y164" s="357">
        <f>=IF($J157="是",IF(AND(Y$209-$I157+1&gt;0,MOD(Y$209-$I157+1,$H157)=1),$F164,0),IF(Y$209-$I157+1=1,$F164,0))</f>
        <v>0</v>
      </c>
      <c r="Z164" s="357">
        <f>=IF($J157="是",IF(AND(Z$209-$I157+1&gt;0,MOD(Z$209-$I157+1,$H157)=1),$F164,0),IF(Z$209-$I157+1=1,$F164,0))</f>
        <v>0</v>
      </c>
      <c r="AA164" s="357">
        <f>=IF($J157="是",IF(AND(AA$209-$I157+1&gt;0,MOD(AA$209-$I157+1,$H157)=1),$F164,0),IF(AA$209-$I157+1=1,$F164,0))</f>
        <v>0</v>
      </c>
      <c r="AB164" s="357">
        <f>=IF($J157="是",IF(AND(AB$209-$I157+1&gt;0,MOD(AB$209-$I157+1,$H157)=1),$F164,0),IF(AB$209-$I157+1=1,$F164,0))</f>
        <v>0</v>
      </c>
      <c r="AC164" s="357">
        <f>=IF($J157="是",IF(AND(AC$209-$I157+1&gt;0,MOD(AC$209-$I157+1,$H157)=1),$F164,0),IF(AC$209-$I157+1=1,$F164,0))</f>
        <v>0</v>
      </c>
      <c r="AD164" s="357">
        <f>=IF($J157="是",IF(AND(AD$209-$I157+1&gt;0,MOD(AD$209-$I157+1,$H157)=1),$F164,0),IF(AD$209-$I157+1=1,$F164,0))</f>
        <v>0</v>
      </c>
      <c r="AE164" s="357">
        <f>=IF($J157="是",IF(AND(AE$209-$I157+1&gt;0,MOD(AE$209-$I157+1,$H157)=1),$F164,0),IF(AE$209-$I157+1=1,$F164,0))</f>
        <v>0</v>
      </c>
      <c r="AF164" s="357">
        <f>=IF($J157="是",IF(AND(AF$209-$I157+1&gt;0,MOD(AF$209-$I157+1,$H157)=1),$F164,0),IF(AF$209-$I157+1=1,$F164,0))</f>
        <v>0</v>
      </c>
    </row>
    <row r="165" spans="1:32" ht="12" hidden="true" customHeight="true">
      <c r="A165" s="297">
        <v>3</v>
      </c>
      <c r="B165" s="358" t="s">
        <v>720</v>
      </c>
      <c r="C165" s="379" t="s"/>
      <c r="D165" s="380" t="s"/>
      <c r="E165" s="381">
        <v>0.13</v>
      </c>
      <c r="F165" s="357">
        <f>=IF($D165="是",$C165/(1+$E165),$C165)</f>
        <v>0</v>
      </c>
      <c r="G165" s="382">
        <v>0.05</v>
      </c>
      <c r="H165" s="378">
        <v>30</v>
      </c>
      <c r="I165" s="378">
        <f>=辅助表1评估项目基础数据表!$C$3+1</f>
        <v>3</v>
      </c>
      <c r="J165" s="378" t="s">
        <v>185</v>
      </c>
      <c r="K165" s="371" t="s"/>
      <c r="L165" s="371" t="s"/>
      <c r="M165" s="372" t="s"/>
      <c r="N165" s="372" t="s"/>
      <c r="O165" s="372" t="s"/>
      <c r="P165" s="372" t="s"/>
      <c r="Q165" s="372" t="s"/>
      <c r="R165" s="372" t="s"/>
      <c r="S165" s="372" t="s"/>
      <c r="T165" s="372" t="s"/>
      <c r="U165" s="372" t="s"/>
      <c r="V165" s="372" t="s"/>
      <c r="W165" s="372" t="s"/>
      <c r="X165" s="372" t="s"/>
      <c r="Y165" s="372" t="s"/>
      <c r="Z165" s="372" t="s"/>
      <c r="AA165" s="372" t="s"/>
      <c r="AB165" s="372" t="s"/>
      <c r="AC165" s="372" t="s"/>
      <c r="AD165" s="372" t="s"/>
      <c r="AE165" s="372" t="s"/>
      <c r="AF165" s="372" t="s"/>
    </row>
    <row r="166" spans="1:32" ht="12" hidden="true" customHeight="true">
      <c r="A166" s="297" t="s"/>
      <c r="B166" s="374" t="s">
        <v>704</v>
      </c>
      <c r="C166" s="383" t="s">
        <v>714</v>
      </c>
      <c r="D166" s="358" t="s"/>
      <c r="E166" s="358" t="s"/>
      <c r="F166" s="358" t="s"/>
      <c r="G166" s="358" t="s"/>
      <c r="H166" s="358" t="s"/>
      <c r="I166" s="358" t="s"/>
      <c r="J166" s="358" t="s"/>
      <c r="K166" s="386" t="s"/>
      <c r="L166" s="386" t="s"/>
      <c r="M166" s="386" t="s"/>
      <c r="N166" s="386" t="s"/>
      <c r="O166" s="386" t="s"/>
      <c r="P166" s="386" t="s"/>
      <c r="Q166" s="386" t="s"/>
      <c r="R166" s="386" t="s"/>
      <c r="S166" s="386" t="s"/>
      <c r="T166" s="386" t="s"/>
      <c r="U166" s="386" t="s"/>
      <c r="V166" s="386" t="s"/>
      <c r="W166" s="386" t="s"/>
      <c r="X166" s="386" t="s"/>
      <c r="Y166" s="386" t="s"/>
      <c r="Z166" s="386" t="s"/>
      <c r="AA166" s="386" t="s"/>
      <c r="AB166" s="386" t="s"/>
      <c r="AC166" s="386" t="s"/>
      <c r="AD166" s="386" t="s"/>
      <c r="AE166" s="386" t="s"/>
      <c r="AF166" s="386" t="s"/>
    </row>
    <row r="167" spans="1:32" ht="12" hidden="true" customHeight="true">
      <c r="A167" s="297" t="s"/>
      <c r="B167" s="358" t="s">
        <v>705</v>
      </c>
      <c r="C167" s="358" t="s"/>
      <c r="D167" s="358" t="s"/>
      <c r="E167" s="358" t="s"/>
      <c r="F167" s="358" t="s"/>
      <c r="G167" s="358" t="s"/>
      <c r="H167" s="358" t="s"/>
      <c r="I167" s="358" t="s"/>
      <c r="J167" s="358" t="s"/>
      <c r="K167" s="387" t="s"/>
      <c r="L167" s="387" t="s"/>
      <c r="M167" s="387" t="s"/>
      <c r="N167" s="387" t="s"/>
      <c r="O167" s="387" t="s"/>
      <c r="P167" s="387" t="s"/>
      <c r="Q167" s="387" t="s"/>
      <c r="R167" s="387" t="s"/>
      <c r="S167" s="387" t="s"/>
      <c r="T167" s="387" t="s"/>
      <c r="U167" s="387" t="s"/>
      <c r="V167" s="387" t="s"/>
      <c r="W167" s="387" t="s"/>
      <c r="X167" s="387" t="s"/>
      <c r="Y167" s="387" t="s"/>
      <c r="Z167" s="387" t="s"/>
      <c r="AA167" s="387" t="s"/>
      <c r="AB167" s="387" t="s"/>
      <c r="AC167" s="387" t="s"/>
      <c r="AD167" s="387" t="s"/>
      <c r="AE167" s="387" t="s"/>
      <c r="AF167" s="387" t="s"/>
    </row>
    <row r="168" spans="1:32" ht="12" hidden="true" customHeight="true">
      <c r="A168" s="297" t="s"/>
      <c r="B168" s="358" t="s">
        <v>706</v>
      </c>
      <c r="C168" s="358" t="s"/>
      <c r="D168" s="358" t="s"/>
      <c r="E168" s="358" t="s"/>
      <c r="F168" s="358" t="s"/>
      <c r="G168" s="358" t="s"/>
      <c r="H168" s="358" t="s"/>
      <c r="I168" s="358" t="s"/>
      <c r="J168" s="358" t="s"/>
      <c r="K168" s="387" t="s"/>
      <c r="L168" s="387" t="s"/>
      <c r="M168" s="387" t="s"/>
      <c r="N168" s="387" t="s"/>
      <c r="O168" s="387" t="s"/>
      <c r="P168" s="387" t="s"/>
      <c r="Q168" s="387" t="s"/>
      <c r="R168" s="387" t="s"/>
      <c r="S168" s="387" t="s"/>
      <c r="T168" s="387" t="s"/>
      <c r="U168" s="387" t="s"/>
      <c r="V168" s="387" t="s"/>
      <c r="W168" s="387" t="s"/>
      <c r="X168" s="387" t="s"/>
      <c r="Y168" s="387" t="s"/>
      <c r="Z168" s="387" t="s"/>
      <c r="AA168" s="387" t="s"/>
      <c r="AB168" s="387" t="s"/>
      <c r="AC168" s="387" t="s"/>
      <c r="AD168" s="387" t="s"/>
      <c r="AE168" s="387" t="s"/>
      <c r="AF168" s="387" t="s"/>
    </row>
    <row r="169" spans="1:32" ht="12" hidden="true" customHeight="true">
      <c r="A169" s="297" t="s"/>
      <c r="B169" s="358" t="s">
        <v>707</v>
      </c>
      <c r="C169" s="358" t="s"/>
      <c r="D169" s="358" t="s"/>
      <c r="E169" s="358" t="s"/>
      <c r="F169" s="358" t="s"/>
      <c r="G169" s="358" t="s"/>
      <c r="H169" s="358" t="s"/>
      <c r="I169" s="358" t="s"/>
      <c r="J169" s="358" t="s"/>
      <c r="K169" s="387" t="s"/>
      <c r="L169" s="387" t="s"/>
      <c r="M169" s="387" t="s"/>
      <c r="N169" s="387" t="s"/>
      <c r="O169" s="387" t="s"/>
      <c r="P169" s="387" t="s"/>
      <c r="Q169" s="387" t="s"/>
      <c r="R169" s="387" t="s"/>
      <c r="S169" s="387" t="s"/>
      <c r="T169" s="387" t="s"/>
      <c r="U169" s="387" t="s"/>
      <c r="V169" s="387" t="s"/>
      <c r="W169" s="387" t="s"/>
      <c r="X169" s="387" t="s"/>
      <c r="Y169" s="387" t="s"/>
      <c r="Z169" s="387" t="s"/>
      <c r="AA169" s="387" t="s"/>
      <c r="AB169" s="387" t="s"/>
      <c r="AC169" s="387" t="s"/>
      <c r="AD169" s="387" t="s"/>
      <c r="AE169" s="387" t="s"/>
      <c r="AF169" s="387" t="s"/>
    </row>
    <row r="170" spans="1:32" ht="12" hidden="true" customHeight="true">
      <c r="A170" s="297" t="s"/>
      <c r="B170" s="358" t="s">
        <v>708</v>
      </c>
      <c r="C170" s="358" t="s"/>
      <c r="D170" s="358" t="s"/>
      <c r="E170" s="358" t="s"/>
      <c r="F170" s="358" t="s"/>
      <c r="G170" s="358" t="s"/>
      <c r="H170" s="358" t="s"/>
      <c r="I170" s="358" t="s"/>
      <c r="J170" s="358" t="s"/>
      <c r="K170" s="357">
        <f>=IF(AND($J165="是",K$209&gt;=$H165+$I165,MOD(K$209-$I165+1,$H165)=1),$F165,0)</f>
        <v>0</v>
      </c>
      <c r="L170" s="357">
        <f>=IF(AND($J165="是",L$209&gt;=$H165+$I165,MOD(L$209-$I165+1,$H165)=1),$F165,0)</f>
        <v>0</v>
      </c>
      <c r="M170" s="357">
        <f>=IF(AND($J165="是",M$209&gt;=$H165+$I165,MOD(M$209-$I165+1,$H165)=1),$F165,0)</f>
        <v>0</v>
      </c>
      <c r="N170" s="357">
        <f>=IF(AND($J165="是",N$209&gt;=$H165+$I165,MOD(N$209-$I165+1,$H165)=1),$F165,0)</f>
        <v>0</v>
      </c>
      <c r="O170" s="357">
        <f>=IF(AND($J165="是",O$209&gt;=$H165+$I165,MOD(O$209-$I165+1,$H165)=1),$F165,0)</f>
        <v>0</v>
      </c>
      <c r="P170" s="357">
        <f>=IF(AND($J165="是",P$209&gt;=$H165+$I165,MOD(P$209-$I165+1,$H165)=1),$F165,0)</f>
        <v>0</v>
      </c>
      <c r="Q170" s="357">
        <f>=IF(AND($J165="是",Q$209&gt;=$H165+$I165,MOD(Q$209-$I165+1,$H165)=1),$F165,0)</f>
        <v>0</v>
      </c>
      <c r="R170" s="357">
        <f>=IF(AND($J165="是",R$209&gt;=$H165+$I165,MOD(R$209-$I165+1,$H165)=1),$F165,0)</f>
        <v>0</v>
      </c>
      <c r="S170" s="357">
        <f>=IF(AND($J165="是",S$209&gt;=$H165+$I165,MOD(S$209-$I165+1,$H165)=1),$F165,0)</f>
        <v>0</v>
      </c>
      <c r="T170" s="357">
        <f>=IF(AND($J165="是",T$209&gt;=$H165+$I165,MOD(T$209-$I165+1,$H165)=1),$F165,0)</f>
        <v>0</v>
      </c>
      <c r="U170" s="357">
        <f>=IF(AND($J165="是",U$209&gt;=$H165+$I165,MOD(U$209-$I165+1,$H165)=1),$F165,0)</f>
        <v>0</v>
      </c>
      <c r="V170" s="357">
        <f>=IF(AND($J165="是",V$209&gt;=$H165+$I165,MOD(V$209-$I165+1,$H165)=1),$F165,0)</f>
        <v>0</v>
      </c>
      <c r="W170" s="357">
        <f>=IF(AND($J165="是",W$209&gt;=$H165+$I165,MOD(W$209-$I165+1,$H165)=1),$F165,0)</f>
        <v>0</v>
      </c>
      <c r="X170" s="357">
        <f>=IF(AND($J165="是",X$209&gt;=$H165+$I165,MOD(X$209-$I165+1,$H165)=1),$F165,0)</f>
        <v>0</v>
      </c>
      <c r="Y170" s="357">
        <f>=IF(AND($J165="是",Y$209&gt;=$H165+$I165,MOD(Y$209-$I165+1,$H165)=1),$F165,0)</f>
        <v>0</v>
      </c>
      <c r="Z170" s="357">
        <f>=IF(AND($J165="是",Z$209&gt;=$H165+$I165,MOD(Z$209-$I165+1,$H165)=1),$F165,0)</f>
        <v>0</v>
      </c>
      <c r="AA170" s="357">
        <f>=IF(AND($J165="是",AA$209&gt;=$H165+$I165,MOD(AA$209-$I165+1,$H165)=1),$F165,0)</f>
        <v>0</v>
      </c>
      <c r="AB170" s="357">
        <f>=IF(AND($J165="是",AB$209&gt;=$H165+$I165,MOD(AB$209-$I165+1,$H165)=1),$F165,0)</f>
        <v>0</v>
      </c>
      <c r="AC170" s="357">
        <f>=IF(AND($J165="是",AC$209&gt;=$H165+$I165,MOD(AC$209-$I165+1,$H165)=1),$F165,0)</f>
        <v>0</v>
      </c>
      <c r="AD170" s="357">
        <f>=IF(AND($J165="是",AD$209&gt;=$H165+$I165,MOD(AD$209-$I165+1,$H165)=1),$F165,0)</f>
        <v>0</v>
      </c>
      <c r="AE170" s="357">
        <f>=IF(AND($J165="是",AE$209&gt;=$H165+$I165,MOD(AE$209-$I165+1,$H165)=1),$F165,0)</f>
        <v>0</v>
      </c>
      <c r="AF170" s="357">
        <f>=IF(AND($J165="是",AF$209&gt;=$H165+$I165,MOD(AF$209-$I165+1,$H165)=1),$F165,0)</f>
        <v>0</v>
      </c>
    </row>
    <row r="171" spans="1:32" ht="12" hidden="true" customHeight="true">
      <c r="A171" s="297" t="s"/>
      <c r="B171" s="358" t="s">
        <v>709</v>
      </c>
      <c r="C171" s="358" t="s"/>
      <c r="D171" s="358" t="s"/>
      <c r="E171" s="358" t="s"/>
      <c r="F171" s="358" t="s"/>
      <c r="G171" s="358" t="s"/>
      <c r="H171" s="358" t="s"/>
      <c r="I171" s="358" t="s"/>
      <c r="J171" s="358" t="s"/>
      <c r="K171" s="387" t="s"/>
      <c r="L171" s="387" t="s"/>
      <c r="M171" s="387" t="s"/>
      <c r="N171" s="387" t="s"/>
      <c r="O171" s="387" t="s"/>
      <c r="P171" s="387" t="s"/>
      <c r="Q171" s="387" t="s"/>
      <c r="R171" s="387" t="s"/>
      <c r="S171" s="387" t="s"/>
      <c r="T171" s="387" t="s"/>
      <c r="U171" s="387" t="s"/>
      <c r="V171" s="387" t="s"/>
      <c r="W171" s="387" t="s"/>
      <c r="X171" s="387" t="s"/>
      <c r="Y171" s="387" t="s"/>
      <c r="Z171" s="387" t="s"/>
      <c r="AA171" s="387" t="s"/>
      <c r="AB171" s="387" t="s"/>
      <c r="AC171" s="387" t="s"/>
      <c r="AD171" s="387" t="s"/>
      <c r="AE171" s="387" t="s"/>
      <c r="AF171" s="387" t="s"/>
    </row>
    <row r="172" spans="1:32" ht="12" hidden="true" customHeight="true">
      <c r="A172" s="297" t="s"/>
      <c r="B172" s="358" t="s">
        <v>710</v>
      </c>
      <c r="C172" s="358" t="s"/>
      <c r="D172" s="358" t="s"/>
      <c r="E172" s="358" t="s"/>
      <c r="F172" s="357">
        <f>=IF($D165="是",$C165*$E165/(1+$E165),0)</f>
        <v>0</v>
      </c>
      <c r="G172" s="358" t="s"/>
      <c r="H172" s="358" t="s"/>
      <c r="I172" s="358" t="s"/>
      <c r="J172" s="358" t="s"/>
      <c r="K172" s="357">
        <f>=IF($J165="是",IF(AND(K$209-$I165+1&gt;0,MOD(K$209-$I165+1,$H165)=1),$F172,0),IF(K$209-$I165+1=1,$F172,0))</f>
        <v>0</v>
      </c>
      <c r="L172" s="357">
        <f>=IF($J165="是",IF(AND(L$209-$I165+1&gt;0,MOD(L$209-$I165+1,$H165)=1),$F172,0),IF(L$209-$I165+1=1,$F172,0))</f>
        <v>0</v>
      </c>
      <c r="M172" s="357">
        <f>=IF($J165="是",IF(AND(M$209-$I165+1&gt;0,MOD(M$209-$I165+1,$H165)=1),$F172,0),IF(M$209-$I165+1=1,$F172,0))</f>
        <v>0</v>
      </c>
      <c r="N172" s="357">
        <f>=IF($J165="是",IF(AND(N$209-$I165+1&gt;0,MOD(N$209-$I165+1,$H165)=1),$F172,0),IF(N$209-$I165+1=1,$F172,0))</f>
        <v>0</v>
      </c>
      <c r="O172" s="357">
        <f>=IF($J165="是",IF(AND(O$209-$I165+1&gt;0,MOD(O$209-$I165+1,$H165)=1),$F172,0),IF(O$209-$I165+1=1,$F172,0))</f>
        <v>0</v>
      </c>
      <c r="P172" s="357">
        <f>=IF($J165="是",IF(AND(P$209-$I165+1&gt;0,MOD(P$209-$I165+1,$H165)=1),$F172,0),IF(P$209-$I165+1=1,$F172,0))</f>
        <v>0</v>
      </c>
      <c r="Q172" s="357">
        <f>=IF($J165="是",IF(AND(Q$209-$I165+1&gt;0,MOD(Q$209-$I165+1,$H165)=1),$F172,0),IF(Q$209-$I165+1=1,$F172,0))</f>
        <v>0</v>
      </c>
      <c r="R172" s="357">
        <f>=IF($J165="是",IF(AND(R$209-$I165+1&gt;0,MOD(R$209-$I165+1,$H165)=1),$F172,0),IF(R$209-$I165+1=1,$F172,0))</f>
        <v>0</v>
      </c>
      <c r="S172" s="357">
        <f>=IF($J165="是",IF(AND(S$209-$I165+1&gt;0,MOD(S$209-$I165+1,$H165)=1),$F172,0),IF(S$209-$I165+1=1,$F172,0))</f>
        <v>0</v>
      </c>
      <c r="T172" s="357">
        <f>=IF($J165="是",IF(AND(T$209-$I165+1&gt;0,MOD(T$209-$I165+1,$H165)=1),$F172,0),IF(T$209-$I165+1=1,$F172,0))</f>
        <v>0</v>
      </c>
      <c r="U172" s="357">
        <f>=IF($J165="是",IF(AND(U$209-$I165+1&gt;0,MOD(U$209-$I165+1,$H165)=1),$F172,0),IF(U$209-$I165+1=1,$F172,0))</f>
        <v>0</v>
      </c>
      <c r="V172" s="357">
        <f>=IF($J165="是",IF(AND(V$209-$I165+1&gt;0,MOD(V$209-$I165+1,$H165)=1),$F172,0),IF(V$209-$I165+1=1,$F172,0))</f>
        <v>0</v>
      </c>
      <c r="W172" s="357">
        <f>=IF($J165="是",IF(AND(W$209-$I165+1&gt;0,MOD(W$209-$I165+1,$H165)=1),$F172,0),IF(W$209-$I165+1=1,$F172,0))</f>
        <v>0</v>
      </c>
      <c r="X172" s="357">
        <f>=IF($J165="是",IF(AND(X$209-$I165+1&gt;0,MOD(X$209-$I165+1,$H165)=1),$F172,0),IF(X$209-$I165+1=1,$F172,0))</f>
        <v>0</v>
      </c>
      <c r="Y172" s="357">
        <f>=IF($J165="是",IF(AND(Y$209-$I165+1&gt;0,MOD(Y$209-$I165+1,$H165)=1),$F172,0),IF(Y$209-$I165+1=1,$F172,0))</f>
        <v>0</v>
      </c>
      <c r="Z172" s="357">
        <f>=IF($J165="是",IF(AND(Z$209-$I165+1&gt;0,MOD(Z$209-$I165+1,$H165)=1),$F172,0),IF(Z$209-$I165+1=1,$F172,0))</f>
        <v>0</v>
      </c>
      <c r="AA172" s="357">
        <f>=IF($J165="是",IF(AND(AA$209-$I165+1&gt;0,MOD(AA$209-$I165+1,$H165)=1),$F172,0),IF(AA$209-$I165+1=1,$F172,0))</f>
        <v>0</v>
      </c>
      <c r="AB172" s="357">
        <f>=IF($J165="是",IF(AND(AB$209-$I165+1&gt;0,MOD(AB$209-$I165+1,$H165)=1),$F172,0),IF(AB$209-$I165+1=1,$F172,0))</f>
        <v>0</v>
      </c>
      <c r="AC172" s="357">
        <f>=IF($J165="是",IF(AND(AC$209-$I165+1&gt;0,MOD(AC$209-$I165+1,$H165)=1),$F172,0),IF(AC$209-$I165+1=1,$F172,0))</f>
        <v>0</v>
      </c>
      <c r="AD172" s="357">
        <f>=IF($J165="是",IF(AND(AD$209-$I165+1&gt;0,MOD(AD$209-$I165+1,$H165)=1),$F172,0),IF(AD$209-$I165+1=1,$F172,0))</f>
        <v>0</v>
      </c>
      <c r="AE172" s="357">
        <f>=IF($J165="是",IF(AND(AE$209-$I165+1&gt;0,MOD(AE$209-$I165+1,$H165)=1),$F172,0),IF(AE$209-$I165+1=1,$F172,0))</f>
        <v>0</v>
      </c>
      <c r="AF172" s="357">
        <f>=IF($J165="是",IF(AND(AF$209-$I165+1&gt;0,MOD(AF$209-$I165+1,$H165)=1),$F172,0),IF(AF$209-$I165+1=1,$F172,0))</f>
        <v>0</v>
      </c>
    </row>
    <row r="173" spans="1:32" ht="12" customHeight="true">
      <c r="A173" s="297" t="s">
        <v>460</v>
      </c>
      <c r="B173" s="358" t="s">
        <v>461</v>
      </c>
      <c r="C173" s="357">
        <f>=C176+C188</f>
        <v>0</v>
      </c>
      <c r="D173" s="358" t="s"/>
      <c r="E173" s="358" t="s"/>
      <c r="F173" s="358" t="s"/>
      <c r="G173" s="358" t="s"/>
      <c r="H173" s="358" t="s"/>
      <c r="I173" s="358" t="s"/>
      <c r="J173" s="358" t="s"/>
      <c r="K173" s="371" t="s"/>
      <c r="L173" s="371" t="s"/>
      <c r="M173" s="372" t="s"/>
      <c r="N173" s="372" t="s"/>
      <c r="O173" s="372" t="s"/>
      <c r="P173" s="372" t="s"/>
      <c r="Q173" s="372" t="s"/>
      <c r="R173" s="372" t="s"/>
      <c r="S173" s="372" t="s"/>
      <c r="T173" s="372" t="s"/>
      <c r="U173" s="372" t="s"/>
      <c r="V173" s="372" t="s"/>
      <c r="W173" s="372" t="s"/>
      <c r="X173" s="372" t="s"/>
      <c r="Y173" s="372" t="s"/>
      <c r="Z173" s="372" t="s"/>
      <c r="AA173" s="372" t="s"/>
      <c r="AB173" s="372" t="s"/>
      <c r="AC173" s="372" t="s"/>
      <c r="AD173" s="372" t="s"/>
      <c r="AE173" s="372" t="s"/>
      <c r="AF173" s="372" t="s"/>
    </row>
    <row r="174" spans="1:32" ht="12" customHeight="true">
      <c r="A174" s="297" t="s"/>
      <c r="B174" s="358" t="s">
        <v>721</v>
      </c>
      <c r="C174" s="388">
        <f>=C177+C189</f>
        <v>0</v>
      </c>
      <c r="D174" s="358" t="s"/>
      <c r="E174" s="358" t="s"/>
      <c r="F174" s="358" t="s"/>
      <c r="G174" s="358" t="s"/>
      <c r="H174" s="358" t="s"/>
      <c r="I174" s="358" t="s"/>
      <c r="J174" s="358" t="s"/>
      <c r="K174" s="357">
        <f>=K177+K189</f>
        <v>0</v>
      </c>
      <c r="L174" s="357">
        <f>=L177+L189</f>
        <v>0</v>
      </c>
      <c r="M174" s="357">
        <f>=M177+M189</f>
        <v>0</v>
      </c>
      <c r="N174" s="357">
        <f>=N177+N189</f>
        <v>0</v>
      </c>
      <c r="O174" s="357">
        <f>=O177+O189</f>
        <v>0</v>
      </c>
      <c r="P174" s="357">
        <f>=P177+P189</f>
        <v>0</v>
      </c>
      <c r="Q174" s="357">
        <f>=Q177+Q189</f>
        <v>0</v>
      </c>
      <c r="R174" s="357">
        <f>=R177+R189</f>
        <v>0</v>
      </c>
      <c r="S174" s="357">
        <f>=S177+S189</f>
        <v>0</v>
      </c>
      <c r="T174" s="357">
        <f>=T177+T189</f>
        <v>0</v>
      </c>
      <c r="U174" s="357">
        <f>=U177+U189</f>
        <v>0</v>
      </c>
      <c r="V174" s="357">
        <f>=V177+V189</f>
        <v>0</v>
      </c>
      <c r="W174" s="357">
        <f>=W177+W189</f>
        <v>0</v>
      </c>
      <c r="X174" s="357">
        <f>=X177+X189</f>
        <v>0</v>
      </c>
      <c r="Y174" s="357">
        <f>=Y177+Y189</f>
        <v>0</v>
      </c>
      <c r="Z174" s="357">
        <f>=Z177+Z189</f>
        <v>0</v>
      </c>
      <c r="AA174" s="357">
        <f>=AA177+AA189</f>
        <v>0</v>
      </c>
      <c r="AB174" s="357">
        <f>=AB177+AB189</f>
        <v>0</v>
      </c>
      <c r="AC174" s="357">
        <f>=AC177+AC189</f>
        <v>0</v>
      </c>
      <c r="AD174" s="357">
        <f>=AD177+AD189</f>
        <v>0</v>
      </c>
      <c r="AE174" s="357">
        <f>=AE177+AE189</f>
        <v>0</v>
      </c>
      <c r="AF174" s="357">
        <f>=AF177+AF189</f>
        <v>0</v>
      </c>
    </row>
    <row r="175" spans="1:32" ht="12" customHeight="true">
      <c r="A175" s="297" t="s"/>
      <c r="B175" s="358" t="s">
        <v>705</v>
      </c>
      <c r="C175" s="358" t="s"/>
      <c r="D175" s="358" t="s"/>
      <c r="E175" s="358" t="s"/>
      <c r="F175" s="358" t="s"/>
      <c r="G175" s="358" t="s"/>
      <c r="H175" s="358" t="s"/>
      <c r="I175" s="358" t="s"/>
      <c r="J175" s="358" t="s"/>
      <c r="K175" s="357">
        <f>=K178+K190</f>
        <v>0</v>
      </c>
      <c r="L175" s="357">
        <f>=L178+L190</f>
        <v>0</v>
      </c>
      <c r="M175" s="357">
        <f>=M178+M190</f>
        <v>0</v>
      </c>
      <c r="N175" s="357">
        <f>=N178+N190</f>
        <v>0</v>
      </c>
      <c r="O175" s="357">
        <f>=O178+O190</f>
        <v>0</v>
      </c>
      <c r="P175" s="357">
        <f>=P178+P190</f>
        <v>0</v>
      </c>
      <c r="Q175" s="357">
        <f>=Q178+Q190</f>
        <v>0</v>
      </c>
      <c r="R175" s="357">
        <f>=R178+R190</f>
        <v>0</v>
      </c>
      <c r="S175" s="357">
        <f>=S178+S190</f>
        <v>0</v>
      </c>
      <c r="T175" s="357">
        <f>=T178+T190</f>
        <v>0</v>
      </c>
      <c r="U175" s="357">
        <f>=U178+U190</f>
        <v>0</v>
      </c>
      <c r="V175" s="357">
        <f>=V178+V190</f>
        <v>0</v>
      </c>
      <c r="W175" s="357">
        <f>=W178+W190</f>
        <v>0</v>
      </c>
      <c r="X175" s="357">
        <f>=X178+X190</f>
        <v>0</v>
      </c>
      <c r="Y175" s="357">
        <f>=Y178+Y190</f>
        <v>0</v>
      </c>
      <c r="Z175" s="357">
        <f>=Z178+Z190</f>
        <v>0</v>
      </c>
      <c r="AA175" s="357">
        <f>=AA178+AA190</f>
        <v>0</v>
      </c>
      <c r="AB175" s="357">
        <f>=AB178+AB190</f>
        <v>0</v>
      </c>
      <c r="AC175" s="357">
        <f>=AC178+AC190</f>
        <v>0</v>
      </c>
      <c r="AD175" s="357">
        <f>=AD178+AD190</f>
        <v>0</v>
      </c>
      <c r="AE175" s="357">
        <f>=AE178+AE190</f>
        <v>0</v>
      </c>
      <c r="AF175" s="357">
        <f>=AF178+AF190</f>
        <v>0</v>
      </c>
    </row>
    <row r="176" spans="1:32" ht="12" customHeight="true">
      <c r="A176" s="297" t="s">
        <v>537</v>
      </c>
      <c r="B176" s="358" t="s">
        <v>722</v>
      </c>
      <c r="C176" s="357">
        <f>=C179+C182+C185</f>
        <v>0</v>
      </c>
      <c r="D176" s="358" t="s"/>
      <c r="E176" s="358" t="s"/>
      <c r="F176" s="358" t="s"/>
      <c r="G176" s="358" t="s"/>
      <c r="H176" s="358" t="s"/>
      <c r="I176" s="358" t="s"/>
      <c r="J176" s="358" t="s"/>
      <c r="K176" s="371" t="s"/>
      <c r="L176" s="371" t="s"/>
      <c r="M176" s="372" t="s"/>
      <c r="N176" s="372" t="s"/>
      <c r="O176" s="372" t="s"/>
      <c r="P176" s="372" t="s"/>
      <c r="Q176" s="372" t="s"/>
      <c r="R176" s="372" t="s"/>
      <c r="S176" s="372" t="s"/>
      <c r="T176" s="372" t="s"/>
      <c r="U176" s="372" t="s"/>
      <c r="V176" s="372" t="s"/>
      <c r="W176" s="372" t="s"/>
      <c r="X176" s="372" t="s"/>
      <c r="Y176" s="372" t="s"/>
      <c r="Z176" s="372" t="s"/>
      <c r="AA176" s="372" t="s"/>
      <c r="AB176" s="372" t="s"/>
      <c r="AC176" s="372" t="s"/>
      <c r="AD176" s="372" t="s"/>
      <c r="AE176" s="372" t="s"/>
      <c r="AF176" s="372" t="s"/>
    </row>
    <row r="177" spans="1:32" ht="12" customHeight="true">
      <c r="A177" s="297" t="s"/>
      <c r="B177" s="358" t="s">
        <v>721</v>
      </c>
      <c r="C177" s="358" t="s"/>
      <c r="D177" s="358" t="s"/>
      <c r="E177" s="358" t="s"/>
      <c r="F177" s="358" t="s"/>
      <c r="G177" s="358" t="s"/>
      <c r="H177" s="358" t="s"/>
      <c r="I177" s="358" t="s"/>
      <c r="J177" s="358" t="s"/>
      <c r="K177" s="357">
        <f>=K180+K183+K186</f>
        <v>0</v>
      </c>
      <c r="L177" s="357">
        <f>=L180+L183+L186</f>
        <v>0</v>
      </c>
      <c r="M177" s="357">
        <f>=M180+M183+M186</f>
        <v>0</v>
      </c>
      <c r="N177" s="357">
        <f>=N180+N183+N186</f>
        <v>0</v>
      </c>
      <c r="O177" s="357">
        <f>=O180+O183+O186</f>
        <v>0</v>
      </c>
      <c r="P177" s="357">
        <f>=P180+P183+P186</f>
        <v>0</v>
      </c>
      <c r="Q177" s="357">
        <f>=Q180+Q183+Q186</f>
        <v>0</v>
      </c>
      <c r="R177" s="357">
        <f>=R180+R183+R186</f>
        <v>0</v>
      </c>
      <c r="S177" s="357">
        <f>=S180+S183+S186</f>
        <v>0</v>
      </c>
      <c r="T177" s="357">
        <f>=T180+T183+T186</f>
        <v>0</v>
      </c>
      <c r="U177" s="357">
        <f>=U180+U183+U186</f>
        <v>0</v>
      </c>
      <c r="V177" s="357">
        <f>=V180+V183+V186</f>
        <v>0</v>
      </c>
      <c r="W177" s="357">
        <f>=W180+W183+W186</f>
        <v>0</v>
      </c>
      <c r="X177" s="357">
        <f>=X180+X183+X186</f>
        <v>0</v>
      </c>
      <c r="Y177" s="357">
        <f>=Y180+Y183+Y186</f>
        <v>0</v>
      </c>
      <c r="Z177" s="357">
        <f>=Z180+Z183+Z186</f>
        <v>0</v>
      </c>
      <c r="AA177" s="357">
        <f>=AA180+AA183+AA186</f>
        <v>0</v>
      </c>
      <c r="AB177" s="357">
        <f>=AB180+AB183+AB186</f>
        <v>0</v>
      </c>
      <c r="AC177" s="357">
        <f>=AC180+AC183+AC186</f>
        <v>0</v>
      </c>
      <c r="AD177" s="357">
        <f>=AD180+AD183+AD186</f>
        <v>0</v>
      </c>
      <c r="AE177" s="357">
        <f>=AE180+AE183+AE186</f>
        <v>0</v>
      </c>
      <c r="AF177" s="357">
        <f>=AF180+AF183+AF186</f>
        <v>0</v>
      </c>
    </row>
    <row r="178" spans="1:32" ht="12" customHeight="true">
      <c r="A178" s="297" t="s"/>
      <c r="B178" s="358" t="s">
        <v>705</v>
      </c>
      <c r="C178" s="358" t="s"/>
      <c r="D178" s="358" t="s"/>
      <c r="E178" s="358" t="s"/>
      <c r="F178" s="358" t="s"/>
      <c r="G178" s="358" t="s"/>
      <c r="H178" s="358" t="s"/>
      <c r="I178" s="358" t="s"/>
      <c r="J178" s="358" t="s"/>
      <c r="K178" s="357">
        <f>=K181+K184+K187</f>
        <v>0</v>
      </c>
      <c r="L178" s="357">
        <f>=L181+L184+L187</f>
        <v>0</v>
      </c>
      <c r="M178" s="357">
        <f>=M181+M184+M187</f>
        <v>0</v>
      </c>
      <c r="N178" s="357">
        <f>=N181+N184+N187</f>
        <v>0</v>
      </c>
      <c r="O178" s="357">
        <f>=O181+O184+O187</f>
        <v>0</v>
      </c>
      <c r="P178" s="357">
        <f>=P181+P184+P187</f>
        <v>0</v>
      </c>
      <c r="Q178" s="357">
        <f>=Q181+Q184+Q187</f>
        <v>0</v>
      </c>
      <c r="R178" s="357">
        <f>=R181+R184+R187</f>
        <v>0</v>
      </c>
      <c r="S178" s="357">
        <f>=S181+S184+S187</f>
        <v>0</v>
      </c>
      <c r="T178" s="357">
        <f>=T181+T184+T187</f>
        <v>0</v>
      </c>
      <c r="U178" s="357">
        <f>=U181+U184+U187</f>
        <v>0</v>
      </c>
      <c r="V178" s="357">
        <f>=V181+V184+V187</f>
        <v>0</v>
      </c>
      <c r="W178" s="357">
        <f>=W181+W184+W187</f>
        <v>0</v>
      </c>
      <c r="X178" s="357">
        <f>=X181+X184+X187</f>
        <v>0</v>
      </c>
      <c r="Y178" s="357">
        <f>=Y181+Y184+Y187</f>
        <v>0</v>
      </c>
      <c r="Z178" s="357">
        <f>=Z181+Z184+Z187</f>
        <v>0</v>
      </c>
      <c r="AA178" s="357">
        <f>=AA181+AA184+AA187</f>
        <v>0</v>
      </c>
      <c r="AB178" s="357">
        <f>=AB181+AB184+AB187</f>
        <v>0</v>
      </c>
      <c r="AC178" s="357">
        <f>=AC181+AC184+AC187</f>
        <v>0</v>
      </c>
      <c r="AD178" s="357">
        <f>=AD181+AD184+AD187</f>
        <v>0</v>
      </c>
      <c r="AE178" s="357">
        <f>=AE181+AE184+AE187</f>
        <v>0</v>
      </c>
      <c r="AF178" s="357">
        <f>=AF181+AF184+AF187</f>
        <v>0</v>
      </c>
    </row>
    <row r="179" spans="1:33" ht="12" customHeight="true">
      <c r="A179" s="297">
        <v>1</v>
      </c>
      <c r="B179" s="361" t="s">
        <v>463</v>
      </c>
      <c r="C179" s="389" t="s"/>
      <c r="D179" s="358" t="s"/>
      <c r="E179" s="358" t="s"/>
      <c r="F179" s="357">
        <f>=C179</f>
        <v>0</v>
      </c>
      <c r="G179" s="358" t="s"/>
      <c r="H179" s="368" t="s"/>
      <c r="I179" s="369">
        <f>=辅助表1评估项目基础数据表!$C$3+1</f>
        <v>3</v>
      </c>
      <c r="J179" s="384" t="s"/>
      <c r="K179" s="371" t="s"/>
      <c r="L179" s="371" t="s"/>
      <c r="M179" s="372" t="s"/>
      <c r="N179" s="372" t="s"/>
      <c r="O179" s="372" t="s"/>
      <c r="P179" s="372" t="s"/>
      <c r="Q179" s="372" t="s"/>
      <c r="R179" s="372" t="s"/>
      <c r="S179" s="372" t="s"/>
      <c r="T179" s="372" t="s"/>
      <c r="U179" s="372" t="s"/>
      <c r="V179" s="372" t="s"/>
      <c r="W179" s="372" t="s"/>
      <c r="X179" s="372" t="s"/>
      <c r="Y179" s="372" t="s"/>
      <c r="Z179" s="372" t="s"/>
      <c r="AA179" s="372" t="s"/>
      <c r="AB179" s="372" t="s"/>
      <c r="AC179" s="372" t="s"/>
      <c r="AD179" s="372" t="s"/>
      <c r="AE179" s="372" t="s"/>
      <c r="AF179" s="372" t="s"/>
      <c r="AG179" s="188" t="s">
        <v>723</v>
      </c>
    </row>
    <row r="180" spans="1:32" ht="12" customHeight="true">
      <c r="A180" s="297" t="s"/>
      <c r="B180" s="358" t="s">
        <v>721</v>
      </c>
      <c r="C180" s="358" t="s"/>
      <c r="D180" s="358" t="s"/>
      <c r="E180" s="358" t="s"/>
      <c r="F180" s="358" t="s"/>
      <c r="G180" s="358" t="s"/>
      <c r="H180" s="358" t="s"/>
      <c r="I180" s="358" t="s"/>
      <c r="J180" s="358" t="s"/>
      <c r="K180" s="357">
        <f>=IF(K$209&lt;$I179,0,IF($H179&gt;(K$209-$I179),(($F179-0)/$H179),0))</f>
        <v>0</v>
      </c>
      <c r="L180" s="376">
        <f>=IF(L$209&lt;$I179,0,IF($H179&gt;(L$209-$I179),(($F179-0)/$H179),0))</f>
        <v>0</v>
      </c>
      <c r="M180" s="376">
        <f>=IF(M$209&lt;$I179,0,IF($H179&gt;(M$209-$I179),(($F179-0)/$H179),0))</f>
        <v>0</v>
      </c>
      <c r="N180" s="376">
        <f>=IF(N$209&lt;$I179,0,IF($H179&gt;(N$209-$I179),(($F179-0)/$H179),0))</f>
        <v>0</v>
      </c>
      <c r="O180" s="376">
        <f>=IF(O$209&lt;$I179,0,IF($H179&gt;(O$209-$I179),(($F179-0)/$H179),0))</f>
        <v>0</v>
      </c>
      <c r="P180" s="376">
        <f>=IF(P$209&lt;$I179,0,IF($H179&gt;(P$209-$I179),(($F179-0)/$H179),0))</f>
        <v>0</v>
      </c>
      <c r="Q180" s="376">
        <f>=IF(Q$209&lt;$I179,0,IF($H179&gt;(Q$209-$I179),(($F179-0)/$H179),0))</f>
        <v>0</v>
      </c>
      <c r="R180" s="376">
        <f>=IF(R$209&lt;$I179,0,IF($H179&gt;(R$209-$I179),(($F179-0)/$H179),0))</f>
        <v>0</v>
      </c>
      <c r="S180" s="376">
        <f>=IF(S$209&lt;$I179,0,IF($H179&gt;(S$209-$I179),(($F179-0)/$H179),0))</f>
        <v>0</v>
      </c>
      <c r="T180" s="376">
        <f>=IF(T$209&lt;$I179,0,IF($H179&gt;(T$209-$I179),(($F179-0)/$H179),0))</f>
        <v>0</v>
      </c>
      <c r="U180" s="376">
        <f>=IF(U$209&lt;$I179,0,IF($H179&gt;(U$209-$I179),(($F179-0)/$H179),0))</f>
        <v>0</v>
      </c>
      <c r="V180" s="376">
        <f>=IF(V$209&lt;$I179,0,IF($H179&gt;(V$209-$I179),(($F179-0)/$H179),0))</f>
        <v>0</v>
      </c>
      <c r="W180" s="376">
        <f>=IF(W$209&lt;$I179,0,IF($H179&gt;(W$209-$I179),(($F179-0)/$H179),0))</f>
        <v>0</v>
      </c>
      <c r="X180" s="376">
        <f>=IF(X$209&lt;$I179,0,IF($H179&gt;(X$209-$I179),(($F179-0)/$H179),0))</f>
        <v>0</v>
      </c>
      <c r="Y180" s="376">
        <f>=IF(Y$209&lt;$I179,0,IF($H179&gt;(Y$209-$I179),(($F179-0)/$H179),0))</f>
        <v>0</v>
      </c>
      <c r="Z180" s="376">
        <f>=IF(Z$209&lt;$I179,0,IF($H179&gt;(Z$209-$I179),(($F179-0)/$H179),0))</f>
        <v>0</v>
      </c>
      <c r="AA180" s="376">
        <f>=IF(AA$209&lt;$I179,0,IF($H179&gt;(AA$209-$I179),(($F179-0)/$H179),0))</f>
        <v>0</v>
      </c>
      <c r="AB180" s="376">
        <f>=IF(AB$209&lt;$I179,0,IF($H179&gt;(AB$209-$I179),(($F179-0)/$H179),0))</f>
        <v>0</v>
      </c>
      <c r="AC180" s="376">
        <f>=IF(AC$209&lt;$I179,0,IF($H179&gt;(AC$209-$I179),(($F179-0)/$H179),0))</f>
        <v>0</v>
      </c>
      <c r="AD180" s="376">
        <f>=IF(AD$209&lt;$I179,0,IF($H179&gt;(AD$209-$I179),(($F179-0)/$H179),0))</f>
        <v>0</v>
      </c>
      <c r="AE180" s="376">
        <f>=IF(AE$209&lt;$I179,0,IF($H179&gt;(AE$209-$I179),(($F179-0)/$H179),0))</f>
        <v>0</v>
      </c>
      <c r="AF180" s="376">
        <f>=IF(AF$209&lt;$I179,0,IF($H179&gt;(AF$209-$I179),(($F179-0)/$H179),0))</f>
        <v>0</v>
      </c>
    </row>
    <row r="181" spans="1:32" ht="12" customHeight="true">
      <c r="A181" s="297" t="s"/>
      <c r="B181" s="358" t="s">
        <v>705</v>
      </c>
      <c r="C181" s="358" t="s"/>
      <c r="D181" s="358" t="s"/>
      <c r="E181" s="358" t="s"/>
      <c r="F181" s="358" t="s"/>
      <c r="G181" s="358" t="s"/>
      <c r="H181" s="358" t="s"/>
      <c r="I181" s="358" t="s"/>
      <c r="J181" s="358" t="s"/>
      <c r="K181" s="357">
        <f>=IF(K$209=$I179,$F179-K180,0)</f>
        <v>0</v>
      </c>
      <c r="L181" s="357">
        <f>=IF(L$209=$I179,$F179-L180,IF(AND(L$209&gt;$I179,L$209&lt;=$I179+$H179),K181-L180,0))</f>
        <v>0</v>
      </c>
      <c r="M181" s="357">
        <f>=IF(M$209=$I179,$F179-M180,IF(AND(M$209&gt;$I179,M$209&lt;=$I179+$H179),L181-M180,0))</f>
        <v>0</v>
      </c>
      <c r="N181" s="357">
        <f>=IF(N$209=$I179,$F179-N180,IF(AND(N$209&gt;$I179,N$209&lt;=$I179+$H179),M181-N180,0))</f>
        <v>0</v>
      </c>
      <c r="O181" s="357">
        <f>=IF(O$209=$I179,$F179-O180,IF(AND(O$209&gt;$I179,O$209&lt;=$I179+$H179),N181-O180,0))</f>
        <v>0</v>
      </c>
      <c r="P181" s="357">
        <f>=IF(P$209=$I179,$F179-P180,IF(AND(P$209&gt;$I179,P$209&lt;=$I179+$H179),O181-P180,0))</f>
        <v>0</v>
      </c>
      <c r="Q181" s="357">
        <f>=IF(Q$209=$I179,$F179-Q180,IF(AND(Q$209&gt;$I179,Q$209&lt;=$I179+$H179),P181-Q180,0))</f>
        <v>0</v>
      </c>
      <c r="R181" s="357">
        <f>=IF(R$209=$I179,$F179-R180,IF(AND(R$209&gt;$I179,R$209&lt;=$I179+$H179),Q181-R180,0))</f>
        <v>0</v>
      </c>
      <c r="S181" s="357">
        <f>=IF(S$209=$I179,$F179-S180,IF(AND(S$209&gt;$I179,S$209&lt;=$I179+$H179),R181-S180,0))</f>
        <v>0</v>
      </c>
      <c r="T181" s="357">
        <f>=IF(T$209=$I179,$F179-T180,IF(AND(T$209&gt;$I179,T$209&lt;=$I179+$H179),S181-T180,0))</f>
        <v>0</v>
      </c>
      <c r="U181" s="357">
        <f>=IF(U$209=$I179,$F179-U180,IF(AND(U$209&gt;$I179,U$209&lt;=$I179+$H179),T181-U180,0))</f>
        <v>0</v>
      </c>
      <c r="V181" s="357">
        <f>=IF(V$209=$I179,$F179-V180,IF(AND(V$209&gt;$I179,V$209&lt;=$I179+$H179),U181-V180,0))</f>
        <v>0</v>
      </c>
      <c r="W181" s="357">
        <f>=IF(W$209=$I179,$F179-W180,IF(AND(W$209&gt;$I179,W$209&lt;=$I179+$H179),V181-W180,0))</f>
        <v>0</v>
      </c>
      <c r="X181" s="357">
        <f>=IF(X$209=$I179,$F179-X180,IF(AND(X$209&gt;$I179,X$209&lt;=$I179+$H179),W181-X180,0))</f>
        <v>0</v>
      </c>
      <c r="Y181" s="357">
        <f>=IF(Y$209=$I179,$F179-Y180,IF(AND(Y$209&gt;$I179,Y$209&lt;=$I179+$H179),X181-Y180,0))</f>
        <v>0</v>
      </c>
      <c r="Z181" s="357">
        <f>=IF(Z$209=$I179,$F179-Z180,IF(AND(Z$209&gt;$I179,Z$209&lt;=$I179+$H179),Y181-Z180,0))</f>
        <v>0</v>
      </c>
      <c r="AA181" s="357">
        <f>=IF(AA$209=$I179,$F179-AA180,IF(AND(AA$209&gt;$I179,AA$209&lt;=$I179+$H179),Z181-AA180,0))</f>
        <v>0</v>
      </c>
      <c r="AB181" s="357">
        <f>=IF(AB$209=$I179,$F179-AB180,IF(AND(AB$209&gt;$I179,AB$209&lt;=$I179+$H179),AA181-AB180,0))</f>
        <v>0</v>
      </c>
      <c r="AC181" s="357">
        <f>=IF(AC$209=$I179,$F179-AC180,IF(AND(AC$209&gt;$I179,AC$209&lt;=$I179+$H179),AB181-AC180,0))</f>
        <v>0</v>
      </c>
      <c r="AD181" s="357">
        <f>=IF(AD$209=$I179,$F179-AD180,IF(AND(AD$209&gt;$I179,AD$209&lt;=$I179+$H179),AC181-AD180,0))</f>
        <v>0</v>
      </c>
      <c r="AE181" s="357">
        <f>=IF(AE$209=$I179,$F179-AE180,IF(AND(AE$209&gt;$I179,AE$209&lt;=$I179+$H179),AD181-AE180,0))</f>
        <v>0</v>
      </c>
      <c r="AF181" s="357">
        <f>=IF(AF$209=$I179,$F179-AF180,IF(AND(AF$209&gt;$I179,AF$209&lt;=$I179+$H179),AE181-AF180,0))</f>
        <v>0</v>
      </c>
    </row>
    <row r="182" spans="1:32" ht="12" customHeight="true">
      <c r="A182" s="297">
        <v>2</v>
      </c>
      <c r="B182" s="358" t="s">
        <v>724</v>
      </c>
      <c r="C182" s="389" t="s"/>
      <c r="D182" s="358" t="s"/>
      <c r="E182" s="358" t="s"/>
      <c r="F182" s="357">
        <f>=C182</f>
        <v>0</v>
      </c>
      <c r="G182" s="358" t="s"/>
      <c r="H182" s="368" t="s"/>
      <c r="I182" s="369">
        <f>=辅助表1评估项目基础数据表!$C$3+1</f>
        <v>3</v>
      </c>
      <c r="J182" s="358" t="s"/>
      <c r="K182" s="371" t="s"/>
      <c r="L182" s="371" t="s"/>
      <c r="M182" s="372" t="s"/>
      <c r="N182" s="372" t="s"/>
      <c r="O182" s="372" t="s"/>
      <c r="P182" s="372" t="s"/>
      <c r="Q182" s="372" t="s"/>
      <c r="R182" s="372" t="s"/>
      <c r="S182" s="372" t="s"/>
      <c r="T182" s="372" t="s"/>
      <c r="U182" s="372" t="s"/>
      <c r="V182" s="372" t="s"/>
      <c r="W182" s="372" t="s"/>
      <c r="X182" s="372" t="s"/>
      <c r="Y182" s="372" t="s"/>
      <c r="Z182" s="372" t="s"/>
      <c r="AA182" s="372" t="s"/>
      <c r="AB182" s="372" t="s"/>
      <c r="AC182" s="372" t="s"/>
      <c r="AD182" s="372" t="s"/>
      <c r="AE182" s="372" t="s"/>
      <c r="AF182" s="372" t="s"/>
    </row>
    <row r="183" spans="1:32" ht="12" customHeight="true">
      <c r="A183" s="297" t="s"/>
      <c r="B183" s="358" t="s">
        <v>721</v>
      </c>
      <c r="C183" s="358" t="s"/>
      <c r="D183" s="358" t="s"/>
      <c r="E183" s="358" t="s"/>
      <c r="F183" s="358" t="s"/>
      <c r="G183" s="358" t="s"/>
      <c r="H183" s="358" t="s"/>
      <c r="I183" s="358" t="s"/>
      <c r="J183" s="358" t="s"/>
      <c r="K183" s="357">
        <f>=IF(K$209&lt;$I182,0,IF($H182&gt;(K$209-$I182),(($F182-0)/$H182),0))</f>
        <v>0</v>
      </c>
      <c r="L183" s="376">
        <f>=IF(L$209&lt;$I182,0,IF($H182&gt;(L$209-$I182),(($F182-0)/$H182),0))</f>
        <v>0</v>
      </c>
      <c r="M183" s="376">
        <f>=IF(M$209&lt;$I182,0,IF($H182&gt;(M$209-$I182),(($F182-0)/$H182),0))</f>
        <v>0</v>
      </c>
      <c r="N183" s="376">
        <f>=IF(N$209&lt;$I182,0,IF($H182&gt;(N$209-$I182),(($F182-0)/$H182),0))</f>
        <v>0</v>
      </c>
      <c r="O183" s="376">
        <f>=IF(O$209&lt;$I182,0,IF($H182&gt;(O$209-$I182),(($F182-0)/$H182),0))</f>
        <v>0</v>
      </c>
      <c r="P183" s="376">
        <f>=IF(P$209&lt;$I182,0,IF($H182&gt;(P$209-$I182),(($F182-0)/$H182),0))</f>
        <v>0</v>
      </c>
      <c r="Q183" s="376">
        <f>=IF(Q$209&lt;$I182,0,IF($H182&gt;(Q$209-$I182),(($F182-0)/$H182),0))</f>
        <v>0</v>
      </c>
      <c r="R183" s="376">
        <f>=IF(R$209&lt;$I182,0,IF($H182&gt;(R$209-$I182),(($F182-0)/$H182),0))</f>
        <v>0</v>
      </c>
      <c r="S183" s="376">
        <f>=IF(S$209&lt;$I182,0,IF($H182&gt;(S$209-$I182),(($F182-0)/$H182),0))</f>
        <v>0</v>
      </c>
      <c r="T183" s="376">
        <f>=IF(T$209&lt;$I182,0,IF($H182&gt;(T$209-$I182),(($F182-0)/$H182),0))</f>
        <v>0</v>
      </c>
      <c r="U183" s="376">
        <f>=IF(U$209&lt;$I182,0,IF($H182&gt;(U$209-$I182),(($F182-0)/$H182),0))</f>
        <v>0</v>
      </c>
      <c r="V183" s="376">
        <f>=IF(V$209&lt;$I182,0,IF($H182&gt;(V$209-$I182),(($F182-0)/$H182),0))</f>
        <v>0</v>
      </c>
      <c r="W183" s="376">
        <f>=IF(W$209&lt;$I182,0,IF($H182&gt;(W$209-$I182),(($F182-0)/$H182),0))</f>
        <v>0</v>
      </c>
      <c r="X183" s="376">
        <f>=IF(X$209&lt;$I182,0,IF($H182&gt;(X$209-$I182),(($F182-0)/$H182),0))</f>
        <v>0</v>
      </c>
      <c r="Y183" s="376">
        <f>=IF(Y$209&lt;$I182,0,IF($H182&gt;(Y$209-$I182),(($F182-0)/$H182),0))</f>
        <v>0</v>
      </c>
      <c r="Z183" s="376">
        <f>=IF(Z$209&lt;$I182,0,IF($H182&gt;(Z$209-$I182),(($F182-0)/$H182),0))</f>
        <v>0</v>
      </c>
      <c r="AA183" s="376">
        <f>=IF(AA$209&lt;$I182,0,IF($H182&gt;(AA$209-$I182),(($F182-0)/$H182),0))</f>
        <v>0</v>
      </c>
      <c r="AB183" s="376">
        <f>=IF(AB$209&lt;$I182,0,IF($H182&gt;(AB$209-$I182),(($F182-0)/$H182),0))</f>
        <v>0</v>
      </c>
      <c r="AC183" s="376">
        <f>=IF(AC$209&lt;$I182,0,IF($H182&gt;(AC$209-$I182),(($F182-0)/$H182),0))</f>
        <v>0</v>
      </c>
      <c r="AD183" s="376">
        <f>=IF(AD$209&lt;$I182,0,IF($H182&gt;(AD$209-$I182),(($F182-0)/$H182),0))</f>
        <v>0</v>
      </c>
      <c r="AE183" s="376">
        <f>=IF(AE$209&lt;$I182,0,IF($H182&gt;(AE$209-$I182),(($F182-0)/$H182),0))</f>
        <v>0</v>
      </c>
      <c r="AF183" s="376">
        <f>=IF(AF$209&lt;$I182,0,IF($H182&gt;(AF$209-$I182),(($F182-0)/$H182),0))</f>
        <v>0</v>
      </c>
    </row>
    <row r="184" spans="1:32" ht="12" customHeight="true">
      <c r="A184" s="297" t="s"/>
      <c r="B184" s="358" t="s">
        <v>705</v>
      </c>
      <c r="C184" s="358" t="s"/>
      <c r="D184" s="358" t="s"/>
      <c r="E184" s="358" t="s"/>
      <c r="F184" s="358" t="s"/>
      <c r="G184" s="358" t="s"/>
      <c r="H184" s="358" t="s"/>
      <c r="I184" s="358" t="s"/>
      <c r="J184" s="358" t="s"/>
      <c r="K184" s="357">
        <f>=IF(K$209=$I182,$F182-K183,0)</f>
        <v>0</v>
      </c>
      <c r="L184" s="357">
        <f>=IF(L$209=$I182,$F182-L183,IF(AND(L$209&gt;$I182,L$209&lt;=$I182+$H182),K184-L183,0))</f>
        <v>0</v>
      </c>
      <c r="M184" s="357">
        <f>=IF(M$209=$I182,$F182-M183,IF(AND(M$209&gt;$I182,M$209&lt;=$I182+$H182),L184-M183,0))</f>
        <v>0</v>
      </c>
      <c r="N184" s="357">
        <f>=IF(N$209=$I182,$F182-N183,IF(AND(N$209&gt;$I182,N$209&lt;=$I182+$H182),M184-N183,0))</f>
        <v>0</v>
      </c>
      <c r="O184" s="357">
        <f>=IF(O$209=$I182,$F182-O183,IF(AND(O$209&gt;$I182,O$209&lt;=$I182+$H182),N184-O183,0))</f>
        <v>0</v>
      </c>
      <c r="P184" s="357">
        <f>=IF(P$209=$I182,$F182-P183,IF(AND(P$209&gt;$I182,P$209&lt;=$I182+$H182),O184-P183,0))</f>
        <v>0</v>
      </c>
      <c r="Q184" s="357">
        <f>=IF(Q$209=$I182,$F182-Q183,IF(AND(Q$209&gt;$I182,Q$209&lt;=$I182+$H182),P184-Q183,0))</f>
        <v>0</v>
      </c>
      <c r="R184" s="357">
        <f>=IF(R$209=$I182,$F182-R183,IF(AND(R$209&gt;$I182,R$209&lt;=$I182+$H182),Q184-R183,0))</f>
        <v>0</v>
      </c>
      <c r="S184" s="357">
        <f>=IF(S$209=$I182,$F182-S183,IF(AND(S$209&gt;$I182,S$209&lt;=$I182+$H182),R184-S183,0))</f>
        <v>0</v>
      </c>
      <c r="T184" s="357">
        <f>=IF(T$209=$I182,$F182-T183,IF(AND(T$209&gt;$I182,T$209&lt;=$I182+$H182),S184-T183,0))</f>
        <v>0</v>
      </c>
      <c r="U184" s="357">
        <f>=IF(U$209=$I182,$F182-U183,IF(AND(U$209&gt;$I182,U$209&lt;=$I182+$H182),T184-U183,0))</f>
        <v>0</v>
      </c>
      <c r="V184" s="357">
        <f>=IF(V$209=$I182,$F182-V183,IF(AND(V$209&gt;$I182,V$209&lt;=$I182+$H182),U184-V183,0))</f>
        <v>0</v>
      </c>
      <c r="W184" s="357">
        <f>=IF(W$209=$I182,$F182-W183,IF(AND(W$209&gt;$I182,W$209&lt;=$I182+$H182),V184-W183,0))</f>
        <v>0</v>
      </c>
      <c r="X184" s="357">
        <f>=IF(X$209=$I182,$F182-X183,IF(AND(X$209&gt;$I182,X$209&lt;=$I182+$H182),W184-X183,0))</f>
        <v>0</v>
      </c>
      <c r="Y184" s="357">
        <f>=IF(Y$209=$I182,$F182-Y183,IF(AND(Y$209&gt;$I182,Y$209&lt;=$I182+$H182),X184-Y183,0))</f>
        <v>0</v>
      </c>
      <c r="Z184" s="357">
        <f>=IF(Z$209=$I182,$F182-Z183,IF(AND(Z$209&gt;$I182,Z$209&lt;=$I182+$H182),Y184-Z183,0))</f>
        <v>0</v>
      </c>
      <c r="AA184" s="357">
        <f>=IF(AA$209=$I182,$F182-AA183,IF(AND(AA$209&gt;$I182,AA$209&lt;=$I182+$H182),Z184-AA183,0))</f>
        <v>0</v>
      </c>
      <c r="AB184" s="357">
        <f>=IF(AB$209=$I182,$F182-AB183,IF(AND(AB$209&gt;$I182,AB$209&lt;=$I182+$H182),AA184-AB183,0))</f>
        <v>0</v>
      </c>
      <c r="AC184" s="357">
        <f>=IF(AC$209=$I182,$F182-AC183,IF(AND(AC$209&gt;$I182,AC$209&lt;=$I182+$H182),AB184-AC183,0))</f>
        <v>0</v>
      </c>
      <c r="AD184" s="357">
        <f>=IF(AD$209=$I182,$F182-AD183,IF(AND(AD$209&gt;$I182,AD$209&lt;=$I182+$H182),AC184-AD183,0))</f>
        <v>0</v>
      </c>
      <c r="AE184" s="357">
        <f>=IF(AE$209=$I182,$F182-AE183,IF(AND(AE$209&gt;$I182,AE$209&lt;=$I182+$H182),AD184-AE183,0))</f>
        <v>0</v>
      </c>
      <c r="AF184" s="357">
        <f>=IF(AF$209=$I182,$F182-AF183,IF(AND(AF$209&gt;$I182,AF$209&lt;=$I182+$H182),AE184-AF183,0))</f>
        <v>0</v>
      </c>
    </row>
    <row r="185" spans="1:32" ht="12" customHeight="true">
      <c r="A185" s="297">
        <v>3</v>
      </c>
      <c r="B185" s="358" t="s">
        <v>725</v>
      </c>
      <c r="C185" s="372" t="s"/>
      <c r="D185" s="358" t="s"/>
      <c r="E185" s="358" t="s"/>
      <c r="F185" s="357">
        <f>=C185</f>
        <v>0</v>
      </c>
      <c r="G185" s="358" t="s"/>
      <c r="H185" s="368">
        <v>20</v>
      </c>
      <c r="I185" s="369">
        <f>=辅助表1评估项目基础数据表!$C$3+1</f>
        <v>3</v>
      </c>
      <c r="J185" s="358" t="s"/>
      <c r="K185" s="371" t="s"/>
      <c r="L185" s="371" t="s"/>
      <c r="M185" s="372" t="s"/>
      <c r="N185" s="372" t="s"/>
      <c r="O185" s="372" t="s"/>
      <c r="P185" s="372" t="s"/>
      <c r="Q185" s="372" t="s"/>
      <c r="R185" s="372" t="s"/>
      <c r="S185" s="372" t="s"/>
      <c r="T185" s="372" t="s"/>
      <c r="U185" s="372" t="s"/>
      <c r="V185" s="372" t="s"/>
      <c r="W185" s="372" t="s"/>
      <c r="X185" s="372" t="s"/>
      <c r="Y185" s="372" t="s"/>
      <c r="Z185" s="372" t="s"/>
      <c r="AA185" s="372" t="s"/>
      <c r="AB185" s="372" t="s"/>
      <c r="AC185" s="372" t="s"/>
      <c r="AD185" s="372" t="s"/>
      <c r="AE185" s="372" t="s"/>
      <c r="AF185" s="372" t="s"/>
    </row>
    <row r="186" spans="1:32" ht="12" customHeight="true">
      <c r="A186" s="297" t="s"/>
      <c r="B186" s="358" t="s">
        <v>721</v>
      </c>
      <c r="C186" s="358" t="s"/>
      <c r="D186" s="358" t="s"/>
      <c r="E186" s="358" t="s"/>
      <c r="F186" s="358" t="s"/>
      <c r="G186" s="358" t="s"/>
      <c r="H186" s="358" t="s"/>
      <c r="I186" s="358" t="s"/>
      <c r="J186" s="358" t="s"/>
      <c r="K186" s="376">
        <f>=IF(K$209&lt;$I185,0,IF($H185&gt;(K$209-$I185),(($F185-0)/$H185),0))</f>
        <v>0</v>
      </c>
      <c r="L186" s="376">
        <f>=IF(L$209&lt;$I185,0,IF($H185&gt;(L$209-$I185),(($F185-0)/$H185),0))</f>
        <v>0</v>
      </c>
      <c r="M186" s="376">
        <f>=IF(M$209&lt;$I185,0,IF($H185&gt;(M$209-$I185),(($F185-0)/$H185),0))</f>
        <v>0</v>
      </c>
      <c r="N186" s="376">
        <f>=IF(N$209&lt;$I185,0,IF($H185&gt;(N$209-$I185),(($F185-0)/$H185),0))</f>
        <v>0</v>
      </c>
      <c r="O186" s="376">
        <f>=IF(O$209&lt;$I185,0,IF($H185&gt;(O$209-$I185),(($F185-0)/$H185),0))</f>
        <v>0</v>
      </c>
      <c r="P186" s="376">
        <f>=IF(P$209&lt;$I185,0,IF($H185&gt;(P$209-$I185),(($F185-0)/$H185),0))</f>
        <v>0</v>
      </c>
      <c r="Q186" s="376">
        <f>=IF(Q$209&lt;$I185,0,IF($H185&gt;(Q$209-$I185),(($F185-0)/$H185),0))</f>
        <v>0</v>
      </c>
      <c r="R186" s="376">
        <f>=IF(R$209&lt;$I185,0,IF($H185&gt;(R$209-$I185),(($F185-0)/$H185),0))</f>
        <v>0</v>
      </c>
      <c r="S186" s="376">
        <f>=IF(S$209&lt;$I185,0,IF($H185&gt;(S$209-$I185),(($F185-0)/$H185),0))</f>
        <v>0</v>
      </c>
      <c r="T186" s="376">
        <f>=IF(T$209&lt;$I185,0,IF($H185&gt;(T$209-$I185),(($F185-0)/$H185),0))</f>
        <v>0</v>
      </c>
      <c r="U186" s="376">
        <f>=IF(U$209&lt;$I185,0,IF($H185&gt;(U$209-$I185),(($F185-0)/$H185),0))</f>
        <v>0</v>
      </c>
      <c r="V186" s="376">
        <f>=IF(V$209&lt;$I185,0,IF($H185&gt;(V$209-$I185),(($F185-0)/$H185),0))</f>
        <v>0</v>
      </c>
      <c r="W186" s="376">
        <f>=IF(W$209&lt;$I185,0,IF($H185&gt;(W$209-$I185),(($F185-0)/$H185),0))</f>
        <v>0</v>
      </c>
      <c r="X186" s="376">
        <f>=IF(X$209&lt;$I185,0,IF($H185&gt;(X$209-$I185),(($F185-0)/$H185),0))</f>
        <v>0</v>
      </c>
      <c r="Y186" s="376">
        <f>=IF(Y$209&lt;$I185,0,IF($H185&gt;(Y$209-$I185),(($F185-0)/$H185),0))</f>
        <v>0</v>
      </c>
      <c r="Z186" s="376">
        <f>=IF(Z$209&lt;$I185,0,IF($H185&gt;(Z$209-$I185),(($F185-0)/$H185),0))</f>
        <v>0</v>
      </c>
      <c r="AA186" s="376">
        <f>=IF(AA$209&lt;$I185,0,IF($H185&gt;(AA$209-$I185),(($F185-0)/$H185),0))</f>
        <v>0</v>
      </c>
      <c r="AB186" s="376">
        <f>=IF(AB$209&lt;$I185,0,IF($H185&gt;(AB$209-$I185),(($F185-0)/$H185),0))</f>
        <v>0</v>
      </c>
      <c r="AC186" s="376">
        <f>=IF(AC$209&lt;$I185,0,IF($H185&gt;(AC$209-$I185),(($F185-0)/$H185),0))</f>
        <v>0</v>
      </c>
      <c r="AD186" s="376">
        <f>=IF(AD$209&lt;$I185,0,IF($H185&gt;(AD$209-$I185),(($F185-0)/$H185),0))</f>
        <v>0</v>
      </c>
      <c r="AE186" s="376">
        <f>=IF(AE$209&lt;$I185,0,IF($H185&gt;(AE$209-$I185),(($F185-0)/$H185),0))</f>
        <v>0</v>
      </c>
      <c r="AF186" s="376">
        <f>=IF(AF$209&lt;$I185,0,IF($H185&gt;(AF$209-$I185),(($F185-0)/$H185),0))</f>
        <v>0</v>
      </c>
    </row>
    <row r="187" spans="1:32" ht="12" customHeight="true">
      <c r="A187" s="297" t="s"/>
      <c r="B187" s="358" t="s">
        <v>705</v>
      </c>
      <c r="C187" s="358" t="s"/>
      <c r="D187" s="358" t="s"/>
      <c r="E187" s="358" t="s"/>
      <c r="F187" s="358" t="s"/>
      <c r="G187" s="358" t="s"/>
      <c r="H187" s="358" t="s"/>
      <c r="I187" s="358" t="s"/>
      <c r="J187" s="358" t="s"/>
      <c r="K187" s="357">
        <f>=IF(K$209=$I185,$F185-K186,0)</f>
        <v>0</v>
      </c>
      <c r="L187" s="357">
        <f>=IF(L$209=$I185,$F185-L186,IF(AND(L$209&gt;$I185,L$209&lt;=$I185+$H185),K187-L186,0))</f>
        <v>0</v>
      </c>
      <c r="M187" s="357">
        <f>=IF(M$209=$I185,$F185-M186,IF(AND(M$209&gt;$I185,M$209&lt;=$I185+$H185),L187-M186,0))</f>
        <v>0</v>
      </c>
      <c r="N187" s="357">
        <f>=IF(N$209=$I185,$F185-N186,IF(AND(N$209&gt;$I185,N$209&lt;=$I185+$H185),M187-N186,0))</f>
        <v>0</v>
      </c>
      <c r="O187" s="357">
        <f>=IF(O$209=$I185,$F185-O186,IF(AND(O$209&gt;$I185,O$209&lt;=$I185+$H185),N187-O186,0))</f>
        <v>0</v>
      </c>
      <c r="P187" s="357">
        <f>=IF(P$209=$I185,$F185-P186,IF(AND(P$209&gt;$I185,P$209&lt;=$I185+$H185),O187-P186,0))</f>
        <v>0</v>
      </c>
      <c r="Q187" s="357">
        <f>=IF(Q$209=$I185,$F185-Q186,IF(AND(Q$209&gt;$I185,Q$209&lt;=$I185+$H185),P187-Q186,0))</f>
        <v>0</v>
      </c>
      <c r="R187" s="357">
        <f>=IF(R$209=$I185,$F185-R186,IF(AND(R$209&gt;$I185,R$209&lt;=$I185+$H185),Q187-R186,0))</f>
        <v>0</v>
      </c>
      <c r="S187" s="357">
        <f>=IF(S$209=$I185,$F185-S186,IF(AND(S$209&gt;$I185,S$209&lt;=$I185+$H185),R187-S186,0))</f>
        <v>0</v>
      </c>
      <c r="T187" s="357">
        <f>=IF(T$209=$I185,$F185-T186,IF(AND(T$209&gt;$I185,T$209&lt;=$I185+$H185),S187-T186,0))</f>
        <v>0</v>
      </c>
      <c r="U187" s="357">
        <f>=IF(U$209=$I185,$F185-U186,IF(AND(U$209&gt;$I185,U$209&lt;=$I185+$H185),T187-U186,0))</f>
        <v>0</v>
      </c>
      <c r="V187" s="357">
        <f>=IF(V$209=$I185,$F185-V186,IF(AND(V$209&gt;$I185,V$209&lt;=$I185+$H185),U187-V186,0))</f>
        <v>0</v>
      </c>
      <c r="W187" s="357">
        <f>=IF(W$209=$I185,$F185-W186,IF(AND(W$209&gt;$I185,W$209&lt;=$I185+$H185),V187-W186,0))</f>
        <v>0</v>
      </c>
      <c r="X187" s="357">
        <f>=IF(X$209=$I185,$F185-X186,IF(AND(X$209&gt;$I185,X$209&lt;=$I185+$H185),W187-X186,0))</f>
        <v>0</v>
      </c>
      <c r="Y187" s="357">
        <f>=IF(Y$209=$I185,$F185-Y186,IF(AND(Y$209&gt;$I185,Y$209&lt;=$I185+$H185),X187-Y186,0))</f>
        <v>0</v>
      </c>
      <c r="Z187" s="357">
        <f>=IF(Z$209=$I185,$F185-Z186,IF(AND(Z$209&gt;$I185,Z$209&lt;=$I185+$H185),Y187-Z186,0))</f>
        <v>0</v>
      </c>
      <c r="AA187" s="357">
        <f>=IF(AA$209=$I185,$F185-AA186,IF(AND(AA$209&gt;$I185,AA$209&lt;=$I185+$H185),Z187-AA186,0))</f>
        <v>0</v>
      </c>
      <c r="AB187" s="357">
        <f>=IF(AB$209=$I185,$F185-AB186,IF(AND(AB$209&gt;$I185,AB$209&lt;=$I185+$H185),AA187-AB186,0))</f>
        <v>0</v>
      </c>
      <c r="AC187" s="357">
        <f>=IF(AC$209=$I185,$F185-AC186,IF(AND(AC$209&gt;$I185,AC$209&lt;=$I185+$H185),AB187-AC186,0))</f>
        <v>0</v>
      </c>
      <c r="AD187" s="357">
        <f>=IF(AD$209=$I185,$F185-AD186,IF(AND(AD$209&gt;$I185,AD$209&lt;=$I185+$H185),AC187-AD186,0))</f>
        <v>0</v>
      </c>
      <c r="AE187" s="357">
        <f>=IF(AE$209=$I185,$F185-AE186,IF(AND(AE$209&gt;$I185,AE$209&lt;=$I185+$H185),AD187-AE186,0))</f>
        <v>0</v>
      </c>
      <c r="AF187" s="357">
        <f>=IF(AF$209=$I185,$F185-AF186,IF(AND(AF$209&gt;$I185,AF$209&lt;=$I185+$H185),AE187-AF186,0))</f>
        <v>0</v>
      </c>
    </row>
    <row r="188" spans="1:32" ht="12" hidden="true" customHeight="true">
      <c r="A188" s="297" t="s">
        <v>549</v>
      </c>
      <c r="B188" s="358" t="s">
        <v>726</v>
      </c>
      <c r="C188" s="357">
        <f>=C191+C194+C197</f>
        <v>0</v>
      </c>
      <c r="D188" s="358" t="s"/>
      <c r="E188" s="358" t="s"/>
      <c r="F188" s="357">
        <f>=F191+F194+F197</f>
        <v>0</v>
      </c>
      <c r="G188" s="358" t="s"/>
      <c r="H188" s="358" t="s"/>
      <c r="I188" s="358" t="s"/>
      <c r="J188" s="358" t="s"/>
      <c r="K188" s="371" t="s"/>
      <c r="L188" s="371" t="s"/>
      <c r="M188" s="372" t="s"/>
      <c r="N188" s="372" t="s"/>
      <c r="O188" s="372" t="s"/>
      <c r="P188" s="372" t="s"/>
      <c r="Q188" s="372" t="s"/>
      <c r="R188" s="372" t="s"/>
      <c r="S188" s="372" t="s"/>
      <c r="T188" s="372" t="s"/>
      <c r="U188" s="372" t="s"/>
      <c r="V188" s="372" t="s"/>
      <c r="W188" s="372" t="s"/>
      <c r="X188" s="372" t="s"/>
      <c r="Y188" s="372" t="s"/>
      <c r="Z188" s="372" t="s"/>
      <c r="AA188" s="372" t="s"/>
      <c r="AB188" s="372" t="s"/>
      <c r="AC188" s="372" t="s"/>
      <c r="AD188" s="372" t="s"/>
      <c r="AE188" s="372" t="s"/>
      <c r="AF188" s="372" t="s"/>
    </row>
    <row r="189" spans="1:32" ht="12" hidden="true" customHeight="true">
      <c r="A189" s="297" t="s"/>
      <c r="B189" s="358" t="s">
        <v>721</v>
      </c>
      <c r="C189" s="358" t="s"/>
      <c r="D189" s="358" t="s"/>
      <c r="E189" s="358" t="s"/>
      <c r="F189" s="358" t="s"/>
      <c r="G189" s="358" t="s"/>
      <c r="H189" s="358" t="s"/>
      <c r="I189" s="358" t="s"/>
      <c r="J189" s="358" t="s"/>
      <c r="K189" s="357">
        <f>=K192+K195+K198</f>
        <v>0</v>
      </c>
      <c r="L189" s="357">
        <f>=L192+L195+L198</f>
        <v>0</v>
      </c>
      <c r="M189" s="357">
        <f>=M192+M195+M198</f>
        <v>0</v>
      </c>
      <c r="N189" s="357">
        <f>=N192+N195+N198</f>
        <v>0</v>
      </c>
      <c r="O189" s="357">
        <f>=O192+O195+O198</f>
        <v>0</v>
      </c>
      <c r="P189" s="357">
        <f>=P192+P195+P198</f>
        <v>0</v>
      </c>
      <c r="Q189" s="357">
        <f>=Q192+Q195+Q198</f>
        <v>0</v>
      </c>
      <c r="R189" s="357">
        <f>=R192+R195+R198</f>
        <v>0</v>
      </c>
      <c r="S189" s="357">
        <f>=S192+S195+S198</f>
        <v>0</v>
      </c>
      <c r="T189" s="357">
        <f>=T192+T195+T198</f>
        <v>0</v>
      </c>
      <c r="U189" s="357">
        <f>=U192+U195+U198</f>
        <v>0</v>
      </c>
      <c r="V189" s="357">
        <f>=V192+V195+V198</f>
        <v>0</v>
      </c>
      <c r="W189" s="357">
        <f>=W192+W195+W198</f>
        <v>0</v>
      </c>
      <c r="X189" s="357">
        <f>=X192+X195+X198</f>
        <v>0</v>
      </c>
      <c r="Y189" s="357">
        <f>=Y192+Y195+Y198</f>
        <v>0</v>
      </c>
      <c r="Z189" s="357">
        <f>=Z192+Z195+Z198</f>
        <v>0</v>
      </c>
      <c r="AA189" s="357">
        <f>=AA192+AA195+AA198</f>
        <v>0</v>
      </c>
      <c r="AB189" s="357">
        <f>=AB192+AB195+AB198</f>
        <v>0</v>
      </c>
      <c r="AC189" s="357">
        <f>=AC192+AC195+AC198</f>
        <v>0</v>
      </c>
      <c r="AD189" s="357">
        <f>=AD192+AD195+AD198</f>
        <v>0</v>
      </c>
      <c r="AE189" s="357">
        <f>=AE192+AE195+AE198</f>
        <v>0</v>
      </c>
      <c r="AF189" s="357">
        <f>=AF192+AF195+AF198</f>
        <v>0</v>
      </c>
    </row>
    <row r="190" spans="1:32" ht="12" hidden="true" customHeight="true">
      <c r="A190" s="297" t="s"/>
      <c r="B190" s="358" t="s">
        <v>705</v>
      </c>
      <c r="C190" s="358" t="s"/>
      <c r="D190" s="358" t="s"/>
      <c r="E190" s="358" t="s"/>
      <c r="F190" s="358" t="s"/>
      <c r="G190" s="358" t="s"/>
      <c r="H190" s="358" t="s"/>
      <c r="I190" s="358" t="s"/>
      <c r="J190" s="358" t="s"/>
      <c r="K190" s="357">
        <f>=K193+K196+K199</f>
        <v>0</v>
      </c>
      <c r="L190" s="357">
        <f>=L193+L196+L199</f>
        <v>0</v>
      </c>
      <c r="M190" s="357">
        <f>=M193+M196+M199</f>
        <v>0</v>
      </c>
      <c r="N190" s="357">
        <f>=N193+N196+N199</f>
        <v>0</v>
      </c>
      <c r="O190" s="357">
        <f>=O193+O196+O199</f>
        <v>0</v>
      </c>
      <c r="P190" s="357">
        <f>=P193+P196+P199</f>
        <v>0</v>
      </c>
      <c r="Q190" s="357">
        <f>=Q193+Q196+Q199</f>
        <v>0</v>
      </c>
      <c r="R190" s="357">
        <f>=R193+R196+R199</f>
        <v>0</v>
      </c>
      <c r="S190" s="357">
        <f>=S193+S196+S199</f>
        <v>0</v>
      </c>
      <c r="T190" s="357">
        <f>=T193+T196+T199</f>
        <v>0</v>
      </c>
      <c r="U190" s="357">
        <f>=U193+U196+U199</f>
        <v>0</v>
      </c>
      <c r="V190" s="357">
        <f>=V193+V196+V199</f>
        <v>0</v>
      </c>
      <c r="W190" s="357">
        <f>=W193+W196+W199</f>
        <v>0</v>
      </c>
      <c r="X190" s="357">
        <f>=X193+X196+X199</f>
        <v>0</v>
      </c>
      <c r="Y190" s="357">
        <f>=Y193+Y196+Y199</f>
        <v>0</v>
      </c>
      <c r="Z190" s="357">
        <f>=Z193+Z196+Z199</f>
        <v>0</v>
      </c>
      <c r="AA190" s="357">
        <f>=AA193+AA196+AA199</f>
        <v>0</v>
      </c>
      <c r="AB190" s="357">
        <f>=AB193+AB196+AB199</f>
        <v>0</v>
      </c>
      <c r="AC190" s="357">
        <f>=AC193+AC196+AC199</f>
        <v>0</v>
      </c>
      <c r="AD190" s="357">
        <f>=AD193+AD196+AD199</f>
        <v>0</v>
      </c>
      <c r="AE190" s="357">
        <f>=AE193+AE196+AE199</f>
        <v>0</v>
      </c>
      <c r="AF190" s="357">
        <f>=AF193+AF196+AF199</f>
        <v>0</v>
      </c>
    </row>
    <row r="191" spans="1:32" ht="12" hidden="true" customHeight="true">
      <c r="A191" s="297">
        <v>1</v>
      </c>
      <c r="B191" s="358" t="s">
        <v>463</v>
      </c>
      <c r="C191" s="387" t="s"/>
      <c r="D191" s="358" t="s"/>
      <c r="E191" s="358" t="s"/>
      <c r="F191" s="357">
        <f>=C191</f>
        <v>0</v>
      </c>
      <c r="G191" s="358" t="s"/>
      <c r="H191" s="368" t="s"/>
      <c r="I191" s="369">
        <f>=辅助表1评估项目基础数据表!$C$3+1</f>
        <v>3</v>
      </c>
      <c r="J191" s="384" t="s"/>
      <c r="K191" s="371" t="s"/>
      <c r="L191" s="371" t="s"/>
      <c r="M191" s="372" t="s"/>
      <c r="N191" s="372" t="s"/>
      <c r="O191" s="372" t="s"/>
      <c r="P191" s="372" t="s"/>
      <c r="Q191" s="372" t="s"/>
      <c r="R191" s="372" t="s"/>
      <c r="S191" s="372" t="s"/>
      <c r="T191" s="372" t="s"/>
      <c r="U191" s="372" t="s"/>
      <c r="V191" s="372" t="s"/>
      <c r="W191" s="372" t="s"/>
      <c r="X191" s="372" t="s"/>
      <c r="Y191" s="372" t="s"/>
      <c r="Z191" s="372" t="s"/>
      <c r="AA191" s="372" t="s"/>
      <c r="AB191" s="372" t="s"/>
      <c r="AC191" s="372" t="s"/>
      <c r="AD191" s="372" t="s"/>
      <c r="AE191" s="372" t="s"/>
      <c r="AF191" s="372" t="s"/>
    </row>
    <row r="192" spans="1:32" ht="12" hidden="true" customHeight="true">
      <c r="A192" s="297" t="s"/>
      <c r="B192" s="358" t="s">
        <v>721</v>
      </c>
      <c r="C192" s="358" t="s"/>
      <c r="D192" s="358" t="s"/>
      <c r="E192" s="358" t="s"/>
      <c r="F192" s="358" t="s"/>
      <c r="G192" s="358" t="s"/>
      <c r="H192" s="358" t="s"/>
      <c r="I192" s="358" t="s"/>
      <c r="J192" s="358" t="s"/>
      <c r="K192" s="376">
        <f>=IF(K$209&lt;$I191,0,IF($H191&gt;(K$209-$I191),(($F191-0)/$H191),0))</f>
        <v>0</v>
      </c>
      <c r="L192" s="376">
        <f>=IF(L$209&lt;$I191,0,IF($H191&gt;(L$209-$I191),(($F191-0)/$H191),0))</f>
        <v>0</v>
      </c>
      <c r="M192" s="376">
        <f>=IF(M$209&lt;$I191,0,IF($H191&gt;(M$209-$I191),(($F191-0)/$H191),0))</f>
        <v>0</v>
      </c>
      <c r="N192" s="376">
        <f>=IF(N$209&lt;$I191,0,IF($H191&gt;(N$209-$I191),(($F191-0)/$H191),0))</f>
        <v>0</v>
      </c>
      <c r="O192" s="376">
        <f>=IF(O$209&lt;$I191,0,IF($H191&gt;(O$209-$I191),(($F191-0)/$H191),0))</f>
        <v>0</v>
      </c>
      <c r="P192" s="376">
        <f>=IF(P$209&lt;$I191,0,IF($H191&gt;(P$209-$I191),(($F191-0)/$H191),0))</f>
        <v>0</v>
      </c>
      <c r="Q192" s="376">
        <f>=IF(Q$209&lt;$I191,0,IF($H191&gt;(Q$209-$I191),(($F191-0)/$H191),0))</f>
        <v>0</v>
      </c>
      <c r="R192" s="376">
        <f>=IF(R$209&lt;$I191,0,IF($H191&gt;(R$209-$I191),(($F191-0)/$H191),0))</f>
        <v>0</v>
      </c>
      <c r="S192" s="376">
        <f>=IF(S$209&lt;$I191,0,IF($H191&gt;(S$209-$I191),(($F191-0)/$H191),0))</f>
        <v>0</v>
      </c>
      <c r="T192" s="376">
        <f>=IF(T$209&lt;$I191,0,IF($H191&gt;(T$209-$I191),(($F191-0)/$H191),0))</f>
        <v>0</v>
      </c>
      <c r="U192" s="376">
        <f>=IF(U$209&lt;$I191,0,IF($H191&gt;(U$209-$I191),(($F191-0)/$H191),0))</f>
        <v>0</v>
      </c>
      <c r="V192" s="376">
        <f>=IF(V$209&lt;$I191,0,IF($H191&gt;(V$209-$I191),(($F191-0)/$H191),0))</f>
        <v>0</v>
      </c>
      <c r="W192" s="376">
        <f>=IF(W$209&lt;$I191,0,IF($H191&gt;(W$209-$I191),(($F191-0)/$H191),0))</f>
        <v>0</v>
      </c>
      <c r="X192" s="376">
        <f>=IF(X$209&lt;$I191,0,IF($H191&gt;(X$209-$I191),(($F191-0)/$H191),0))</f>
        <v>0</v>
      </c>
      <c r="Y192" s="376">
        <f>=IF(Y$209&lt;$I191,0,IF($H191&gt;(Y$209-$I191),(($F191-0)/$H191),0))</f>
        <v>0</v>
      </c>
      <c r="Z192" s="376">
        <f>=IF(Z$209&lt;$I191,0,IF($H191&gt;(Z$209-$I191),(($F191-0)/$H191),0))</f>
        <v>0</v>
      </c>
      <c r="AA192" s="376">
        <f>=IF(AA$209&lt;$I191,0,IF($H191&gt;(AA$209-$I191),(($F191-0)/$H191),0))</f>
        <v>0</v>
      </c>
      <c r="AB192" s="376">
        <f>=IF(AB$209&lt;$I191,0,IF($H191&gt;(AB$209-$I191),(($F191-0)/$H191),0))</f>
        <v>0</v>
      </c>
      <c r="AC192" s="376">
        <f>=IF(AC$209&lt;$I191,0,IF($H191&gt;(AC$209-$I191),(($F191-0)/$H191),0))</f>
        <v>0</v>
      </c>
      <c r="AD192" s="376">
        <f>=IF(AD$209&lt;$I191,0,IF($H191&gt;(AD$209-$I191),(($F191-0)/$H191),0))</f>
        <v>0</v>
      </c>
      <c r="AE192" s="376">
        <f>=IF(AE$209&lt;$I191,0,IF($H191&gt;(AE$209-$I191),(($F191-0)/$H191),0))</f>
        <v>0</v>
      </c>
      <c r="AF192" s="376">
        <f>=IF(AF$209&lt;$I191,0,IF($H191&gt;(AF$209-$I191),(($F191-0)/$H191),0))</f>
        <v>0</v>
      </c>
    </row>
    <row r="193" spans="1:32" ht="12" hidden="true" customHeight="true">
      <c r="A193" s="297" t="s"/>
      <c r="B193" s="358" t="s">
        <v>705</v>
      </c>
      <c r="C193" s="358" t="s"/>
      <c r="D193" s="358" t="s"/>
      <c r="E193" s="358" t="s"/>
      <c r="F193" s="358" t="s"/>
      <c r="G193" s="358" t="s"/>
      <c r="H193" s="358" t="s"/>
      <c r="I193" s="358" t="s"/>
      <c r="J193" s="358" t="s"/>
      <c r="K193" s="357">
        <f>=IF(K$209=$I191,$F191-K192,0)</f>
        <v>0</v>
      </c>
      <c r="L193" s="357">
        <f>=IF(L$209=$I191,$F191-L192,IF(AND(L$209&gt;$I191,L$209&lt;=$I191+$H191),K193-L192,0))</f>
        <v>0</v>
      </c>
      <c r="M193" s="357">
        <f>=IF(M$209=$I191,$F191-M192,IF(AND(M$209&gt;$I191,M$209&lt;=$I191+$H191),L193-M192,0))</f>
        <v>0</v>
      </c>
      <c r="N193" s="357">
        <f>=IF(N$209=$I191,$F191-N192,IF(AND(N$209&gt;$I191,N$209&lt;=$I191+$H191),M193-N192,0))</f>
        <v>0</v>
      </c>
      <c r="O193" s="357">
        <f>=IF(O$209=$I191,$F191-O192,IF(AND(O$209&gt;$I191,O$209&lt;=$I191+$H191),N193-O192,0))</f>
        <v>0</v>
      </c>
      <c r="P193" s="357">
        <f>=IF(P$209=$I191,$F191-P192,IF(AND(P$209&gt;$I191,P$209&lt;=$I191+$H191),O193-P192,0))</f>
        <v>0</v>
      </c>
      <c r="Q193" s="357">
        <f>=IF(Q$209=$I191,$F191-Q192,IF(AND(Q$209&gt;$I191,Q$209&lt;=$I191+$H191),P193-Q192,0))</f>
        <v>0</v>
      </c>
      <c r="R193" s="357">
        <f>=IF(R$209=$I191,$F191-R192,IF(AND(R$209&gt;$I191,R$209&lt;=$I191+$H191),Q193-R192,0))</f>
        <v>0</v>
      </c>
      <c r="S193" s="357">
        <f>=IF(S$209=$I191,$F191-S192,IF(AND(S$209&gt;$I191,S$209&lt;=$I191+$H191),R193-S192,0))</f>
        <v>0</v>
      </c>
      <c r="T193" s="357">
        <f>=IF(T$209=$I191,$F191-T192,IF(AND(T$209&gt;$I191,T$209&lt;=$I191+$H191),S193-T192,0))</f>
        <v>0</v>
      </c>
      <c r="U193" s="357">
        <f>=IF(U$209=$I191,$F191-U192,IF(AND(U$209&gt;$I191,U$209&lt;=$I191+$H191),T193-U192,0))</f>
        <v>0</v>
      </c>
      <c r="V193" s="357">
        <f>=IF(V$209=$I191,$F191-V192,IF(AND(V$209&gt;$I191,V$209&lt;=$I191+$H191),U193-V192,0))</f>
        <v>0</v>
      </c>
      <c r="W193" s="357">
        <f>=IF(W$209=$I191,$F191-W192,IF(AND(W$209&gt;$I191,W$209&lt;=$I191+$H191),V193-W192,0))</f>
        <v>0</v>
      </c>
      <c r="X193" s="357">
        <f>=IF(X$209=$I191,$F191-X192,IF(AND(X$209&gt;$I191,X$209&lt;=$I191+$H191),W193-X192,0))</f>
        <v>0</v>
      </c>
      <c r="Y193" s="357">
        <f>=IF(Y$209=$I191,$F191-Y192,IF(AND(Y$209&gt;$I191,Y$209&lt;=$I191+$H191),X193-Y192,0))</f>
        <v>0</v>
      </c>
      <c r="Z193" s="357">
        <f>=IF(Z$209=$I191,$F191-Z192,IF(AND(Z$209&gt;$I191,Z$209&lt;=$I191+$H191),Y193-Z192,0))</f>
        <v>0</v>
      </c>
      <c r="AA193" s="357">
        <f>=IF(AA$209=$I191,$F191-AA192,IF(AND(AA$209&gt;$I191,AA$209&lt;=$I191+$H191),Z193-AA192,0))</f>
        <v>0</v>
      </c>
      <c r="AB193" s="357">
        <f>=IF(AB$209=$I191,$F191-AB192,IF(AND(AB$209&gt;$I191,AB$209&lt;=$I191+$H191),AA193-AB192,0))</f>
        <v>0</v>
      </c>
      <c r="AC193" s="357">
        <f>=IF(AC$209=$I191,$F191-AC192,IF(AND(AC$209&gt;$I191,AC$209&lt;=$I191+$H191),AB193-AC192,0))</f>
        <v>0</v>
      </c>
      <c r="AD193" s="357">
        <f>=IF(AD$209=$I191,$F191-AD192,IF(AND(AD$209&gt;$I191,AD$209&lt;=$I191+$H191),AC193-AD192,0))</f>
        <v>0</v>
      </c>
      <c r="AE193" s="357">
        <f>=IF(AE$209=$I191,$F191-AE192,IF(AND(AE$209&gt;$I191,AE$209&lt;=$I191+$H191),AD193-AE192,0))</f>
        <v>0</v>
      </c>
      <c r="AF193" s="357">
        <f>=IF(AF$209=$I191,$F191-AF192,IF(AND(AF$209&gt;$I191,AF$209&lt;=$I191+$H191),AE193-AF192,0))</f>
        <v>0</v>
      </c>
    </row>
    <row r="194" spans="1:32" ht="12" hidden="true" customHeight="true">
      <c r="A194" s="297">
        <v>2</v>
      </c>
      <c r="B194" s="358" t="s">
        <v>724</v>
      </c>
      <c r="C194" s="387" t="s"/>
      <c r="D194" s="358" t="s"/>
      <c r="E194" s="358" t="s"/>
      <c r="F194" s="357">
        <f>=C194</f>
        <v>0</v>
      </c>
      <c r="G194" s="358" t="s"/>
      <c r="H194" s="368" t="s"/>
      <c r="I194" s="369">
        <f>=辅助表1评估项目基础数据表!$C$3+1</f>
        <v>3</v>
      </c>
      <c r="J194" s="358" t="s"/>
      <c r="K194" s="371" t="s"/>
      <c r="L194" s="371" t="s"/>
      <c r="M194" s="372" t="s"/>
      <c r="N194" s="372" t="s"/>
      <c r="O194" s="372" t="s"/>
      <c r="P194" s="372" t="s"/>
      <c r="Q194" s="372" t="s"/>
      <c r="R194" s="372" t="s"/>
      <c r="S194" s="372" t="s"/>
      <c r="T194" s="372" t="s"/>
      <c r="U194" s="372" t="s"/>
      <c r="V194" s="372" t="s"/>
      <c r="W194" s="372" t="s"/>
      <c r="X194" s="372" t="s"/>
      <c r="Y194" s="372" t="s"/>
      <c r="Z194" s="372" t="s"/>
      <c r="AA194" s="372" t="s"/>
      <c r="AB194" s="372" t="s"/>
      <c r="AC194" s="372" t="s"/>
      <c r="AD194" s="372" t="s"/>
      <c r="AE194" s="372" t="s"/>
      <c r="AF194" s="372" t="s"/>
    </row>
    <row r="195" spans="1:32" ht="12" hidden="true" customHeight="true">
      <c r="A195" s="297" t="s"/>
      <c r="B195" s="358" t="s">
        <v>721</v>
      </c>
      <c r="C195" s="358" t="s"/>
      <c r="D195" s="358" t="s"/>
      <c r="E195" s="358" t="s"/>
      <c r="F195" s="358" t="s"/>
      <c r="G195" s="358" t="s"/>
      <c r="H195" s="358" t="s"/>
      <c r="I195" s="358" t="s"/>
      <c r="J195" s="358" t="s"/>
      <c r="K195" s="376">
        <f>=IF(K$209&lt;$I194,0,IF($H194&gt;(K$209-$I194),(($F194-0)/$H194),0))</f>
        <v>0</v>
      </c>
      <c r="L195" s="376">
        <f>=IF(L$209&lt;$I194,0,IF($H194&gt;(L$209-$I194),(($F194-0)/$H194),0))</f>
        <v>0</v>
      </c>
      <c r="M195" s="376">
        <f>=IF(M$209&lt;$I194,0,IF($H194&gt;(M$209-$I194),(($F194-0)/$H194),0))</f>
        <v>0</v>
      </c>
      <c r="N195" s="376">
        <f>=IF(N$209&lt;$I194,0,IF($H194&gt;(N$209-$I194),(($F194-0)/$H194),0))</f>
        <v>0</v>
      </c>
      <c r="O195" s="376">
        <f>=IF(O$209&lt;$I194,0,IF($H194&gt;(O$209-$I194),(($F194-0)/$H194),0))</f>
        <v>0</v>
      </c>
      <c r="P195" s="376">
        <f>=IF(P$209&lt;$I194,0,IF($H194&gt;(P$209-$I194),(($F194-0)/$H194),0))</f>
        <v>0</v>
      </c>
      <c r="Q195" s="376">
        <f>=IF(Q$209&lt;$I194,0,IF($H194&gt;(Q$209-$I194),(($F194-0)/$H194),0))</f>
        <v>0</v>
      </c>
      <c r="R195" s="376">
        <f>=IF(R$209&lt;$I194,0,IF($H194&gt;(R$209-$I194),(($F194-0)/$H194),0))</f>
        <v>0</v>
      </c>
      <c r="S195" s="376">
        <f>=IF(S$209&lt;$I194,0,IF($H194&gt;(S$209-$I194),(($F194-0)/$H194),0))</f>
        <v>0</v>
      </c>
      <c r="T195" s="376">
        <f>=IF(T$209&lt;$I194,0,IF($H194&gt;(T$209-$I194),(($F194-0)/$H194),0))</f>
        <v>0</v>
      </c>
      <c r="U195" s="376">
        <f>=IF(U$209&lt;$I194,0,IF($H194&gt;(U$209-$I194),(($F194-0)/$H194),0))</f>
        <v>0</v>
      </c>
      <c r="V195" s="376">
        <f>=IF(V$209&lt;$I194,0,IF($H194&gt;(V$209-$I194),(($F194-0)/$H194),0))</f>
        <v>0</v>
      </c>
      <c r="W195" s="376">
        <f>=IF(W$209&lt;$I194,0,IF($H194&gt;(W$209-$I194),(($F194-0)/$H194),0))</f>
        <v>0</v>
      </c>
      <c r="X195" s="376">
        <f>=IF(X$209&lt;$I194,0,IF($H194&gt;(X$209-$I194),(($F194-0)/$H194),0))</f>
        <v>0</v>
      </c>
      <c r="Y195" s="376">
        <f>=IF(Y$209&lt;$I194,0,IF($H194&gt;(Y$209-$I194),(($F194-0)/$H194),0))</f>
        <v>0</v>
      </c>
      <c r="Z195" s="376">
        <f>=IF(Z$209&lt;$I194,0,IF($H194&gt;(Z$209-$I194),(($F194-0)/$H194),0))</f>
        <v>0</v>
      </c>
      <c r="AA195" s="376">
        <f>=IF(AA$209&lt;$I194,0,IF($H194&gt;(AA$209-$I194),(($F194-0)/$H194),0))</f>
        <v>0</v>
      </c>
      <c r="AB195" s="376">
        <f>=IF(AB$209&lt;$I194,0,IF($H194&gt;(AB$209-$I194),(($F194-0)/$H194),0))</f>
        <v>0</v>
      </c>
      <c r="AC195" s="376">
        <f>=IF(AC$209&lt;$I194,0,IF($H194&gt;(AC$209-$I194),(($F194-0)/$H194),0))</f>
        <v>0</v>
      </c>
      <c r="AD195" s="376">
        <f>=IF(AD$209&lt;$I194,0,IF($H194&gt;(AD$209-$I194),(($F194-0)/$H194),0))</f>
        <v>0</v>
      </c>
      <c r="AE195" s="376">
        <f>=IF(AE$209&lt;$I194,0,IF($H194&gt;(AE$209-$I194),(($F194-0)/$H194),0))</f>
        <v>0</v>
      </c>
      <c r="AF195" s="376">
        <f>=IF(AF$209&lt;$I194,0,IF($H194&gt;(AF$209-$I194),(($F194-0)/$H194),0))</f>
        <v>0</v>
      </c>
    </row>
    <row r="196" spans="1:32" ht="12" hidden="true" customHeight="true">
      <c r="A196" s="297" t="s"/>
      <c r="B196" s="358" t="s">
        <v>705</v>
      </c>
      <c r="C196" s="358" t="s"/>
      <c r="D196" s="358" t="s"/>
      <c r="E196" s="358" t="s"/>
      <c r="F196" s="358" t="s"/>
      <c r="G196" s="358" t="s"/>
      <c r="H196" s="358" t="s"/>
      <c r="I196" s="358" t="s"/>
      <c r="J196" s="358" t="s"/>
      <c r="K196" s="357">
        <f>=IF(K$209=$I194,$F194-K195,0)</f>
        <v>0</v>
      </c>
      <c r="L196" s="357">
        <f>=IF(L$209=$I194,$F194-L195,IF(AND(L$209&gt;$I194,L$209&lt;=$I194+$H194),K196-L195,0))</f>
        <v>0</v>
      </c>
      <c r="M196" s="357">
        <f>=IF(M$209=$I194,$F194-M195,IF(AND(M$209&gt;$I194,M$209&lt;=$I194+$H194),L196-M195,0))</f>
        <v>0</v>
      </c>
      <c r="N196" s="357">
        <f>=IF(N$209=$I194,$F194-N195,IF(AND(N$209&gt;$I194,N$209&lt;=$I194+$H194),M196-N195,0))</f>
        <v>0</v>
      </c>
      <c r="O196" s="357">
        <f>=IF(O$209=$I194,$F194-O195,IF(AND(O$209&gt;$I194,O$209&lt;=$I194+$H194),N196-O195,0))</f>
        <v>0</v>
      </c>
      <c r="P196" s="357">
        <f>=IF(P$209=$I194,$F194-P195,IF(AND(P$209&gt;$I194,P$209&lt;=$I194+$H194),O196-P195,0))</f>
        <v>0</v>
      </c>
      <c r="Q196" s="357">
        <f>=IF(Q$209=$I194,$F194-Q195,IF(AND(Q$209&gt;$I194,Q$209&lt;=$I194+$H194),P196-Q195,0))</f>
        <v>0</v>
      </c>
      <c r="R196" s="357">
        <f>=IF(R$209=$I194,$F194-R195,IF(AND(R$209&gt;$I194,R$209&lt;=$I194+$H194),Q196-R195,0))</f>
        <v>0</v>
      </c>
      <c r="S196" s="357">
        <f>=IF(S$209=$I194,$F194-S195,IF(AND(S$209&gt;$I194,S$209&lt;=$I194+$H194),R196-S195,0))</f>
        <v>0</v>
      </c>
      <c r="T196" s="357">
        <f>=IF(T$209=$I194,$F194-T195,IF(AND(T$209&gt;$I194,T$209&lt;=$I194+$H194),S196-T195,0))</f>
        <v>0</v>
      </c>
      <c r="U196" s="357">
        <f>=IF(U$209=$I194,$F194-U195,IF(AND(U$209&gt;$I194,U$209&lt;=$I194+$H194),T196-U195,0))</f>
        <v>0</v>
      </c>
      <c r="V196" s="357">
        <f>=IF(V$209=$I194,$F194-V195,IF(AND(V$209&gt;$I194,V$209&lt;=$I194+$H194),U196-V195,0))</f>
        <v>0</v>
      </c>
      <c r="W196" s="357">
        <f>=IF(W$209=$I194,$F194-W195,IF(AND(W$209&gt;$I194,W$209&lt;=$I194+$H194),V196-W195,0))</f>
        <v>0</v>
      </c>
      <c r="X196" s="357">
        <f>=IF(X$209=$I194,$F194-X195,IF(AND(X$209&gt;$I194,X$209&lt;=$I194+$H194),W196-X195,0))</f>
        <v>0</v>
      </c>
      <c r="Y196" s="357">
        <f>=IF(Y$209=$I194,$F194-Y195,IF(AND(Y$209&gt;$I194,Y$209&lt;=$I194+$H194),X196-Y195,0))</f>
        <v>0</v>
      </c>
      <c r="Z196" s="357">
        <f>=IF(Z$209=$I194,$F194-Z195,IF(AND(Z$209&gt;$I194,Z$209&lt;=$I194+$H194),Y196-Z195,0))</f>
        <v>0</v>
      </c>
      <c r="AA196" s="357">
        <f>=IF(AA$209=$I194,$F194-AA195,IF(AND(AA$209&gt;$I194,AA$209&lt;=$I194+$H194),Z196-AA195,0))</f>
        <v>0</v>
      </c>
      <c r="AB196" s="357">
        <f>=IF(AB$209=$I194,$F194-AB195,IF(AND(AB$209&gt;$I194,AB$209&lt;=$I194+$H194),AA196-AB195,0))</f>
        <v>0</v>
      </c>
      <c r="AC196" s="357">
        <f>=IF(AC$209=$I194,$F194-AC195,IF(AND(AC$209&gt;$I194,AC$209&lt;=$I194+$H194),AB196-AC195,0))</f>
        <v>0</v>
      </c>
      <c r="AD196" s="357">
        <f>=IF(AD$209=$I194,$F194-AD195,IF(AND(AD$209&gt;$I194,AD$209&lt;=$I194+$H194),AC196-AD195,0))</f>
        <v>0</v>
      </c>
      <c r="AE196" s="357">
        <f>=IF(AE$209=$I194,$F194-AE195,IF(AND(AE$209&gt;$I194,AE$209&lt;=$I194+$H194),AD196-AE195,0))</f>
        <v>0</v>
      </c>
      <c r="AF196" s="357">
        <f>=IF(AF$209=$I194,$F194-AF195,IF(AND(AF$209&gt;$I194,AF$209&lt;=$I194+$H194),AE196-AF195,0))</f>
        <v>0</v>
      </c>
    </row>
    <row r="197" spans="1:32" ht="12" hidden="true" customHeight="true">
      <c r="A197" s="297">
        <v>3</v>
      </c>
      <c r="B197" s="358" t="s">
        <v>725</v>
      </c>
      <c r="C197" s="387" t="s"/>
      <c r="D197" s="358" t="s"/>
      <c r="E197" s="358" t="s"/>
      <c r="F197" s="357">
        <f>=C197</f>
        <v>0</v>
      </c>
      <c r="G197" s="358" t="s"/>
      <c r="H197" s="368" t="s"/>
      <c r="I197" s="369">
        <f>=辅助表1评估项目基础数据表!$C$3+1</f>
        <v>3</v>
      </c>
      <c r="J197" s="358" t="s"/>
      <c r="K197" s="371" t="s"/>
      <c r="L197" s="371" t="s"/>
      <c r="M197" s="372" t="s"/>
      <c r="N197" s="372" t="s"/>
      <c r="O197" s="372" t="s"/>
      <c r="P197" s="372" t="s"/>
      <c r="Q197" s="372" t="s"/>
      <c r="R197" s="372" t="s"/>
      <c r="S197" s="372" t="s"/>
      <c r="T197" s="372" t="s"/>
      <c r="U197" s="372" t="s"/>
      <c r="V197" s="372" t="s"/>
      <c r="W197" s="372" t="s"/>
      <c r="X197" s="372" t="s"/>
      <c r="Y197" s="372" t="s"/>
      <c r="Z197" s="372" t="s"/>
      <c r="AA197" s="372" t="s"/>
      <c r="AB197" s="372" t="s"/>
      <c r="AC197" s="372" t="s"/>
      <c r="AD197" s="372" t="s"/>
      <c r="AE197" s="372" t="s"/>
      <c r="AF197" s="372" t="s"/>
    </row>
    <row r="198" spans="1:32" ht="12" hidden="true" customHeight="true">
      <c r="A198" s="297" t="s"/>
      <c r="B198" s="358" t="s">
        <v>721</v>
      </c>
      <c r="C198" s="358" t="s"/>
      <c r="D198" s="358" t="s"/>
      <c r="E198" s="358" t="s"/>
      <c r="F198" s="358" t="s"/>
      <c r="G198" s="358" t="s"/>
      <c r="H198" s="358" t="s"/>
      <c r="I198" s="358" t="s"/>
      <c r="J198" s="358" t="s"/>
      <c r="K198" s="376">
        <f>=IF(K$209&lt;$I197,0,IF($H197&gt;(K$209-$I197),(($F197-0)/$H197),0))</f>
        <v>0</v>
      </c>
      <c r="L198" s="376">
        <f>=IF(L$209&lt;$I197,0,IF($H197&gt;(L$209-$I197),(($F197-0)/$H197),0))</f>
        <v>0</v>
      </c>
      <c r="M198" s="376">
        <f>=IF(M$209&lt;$I197,0,IF($H197&gt;(M$209-$I197),(($F197-0)/$H197),0))</f>
        <v>0</v>
      </c>
      <c r="N198" s="376">
        <f>=IF(N$209&lt;$I197,0,IF($H197&gt;(N$209-$I197),(($F197-0)/$H197),0))</f>
        <v>0</v>
      </c>
      <c r="O198" s="376">
        <f>=IF(O$209&lt;$I197,0,IF($H197&gt;(O$209-$I197),(($F197-0)/$H197),0))</f>
        <v>0</v>
      </c>
      <c r="P198" s="376">
        <f>=IF(P$209&lt;$I197,0,IF($H197&gt;(P$209-$I197),(($F197-0)/$H197),0))</f>
        <v>0</v>
      </c>
      <c r="Q198" s="376">
        <f>=IF(Q$209&lt;$I197,0,IF($H197&gt;(Q$209-$I197),(($F197-0)/$H197),0))</f>
        <v>0</v>
      </c>
      <c r="R198" s="376">
        <f>=IF(R$209&lt;$I197,0,IF($H197&gt;(R$209-$I197),(($F197-0)/$H197),0))</f>
        <v>0</v>
      </c>
      <c r="S198" s="376">
        <f>=IF(S$209&lt;$I197,0,IF($H197&gt;(S$209-$I197),(($F197-0)/$H197),0))</f>
        <v>0</v>
      </c>
      <c r="T198" s="376">
        <f>=IF(T$209&lt;$I197,0,IF($H197&gt;(T$209-$I197),(($F197-0)/$H197),0))</f>
        <v>0</v>
      </c>
      <c r="U198" s="376">
        <f>=IF(U$209&lt;$I197,0,IF($H197&gt;(U$209-$I197),(($F197-0)/$H197),0))</f>
        <v>0</v>
      </c>
      <c r="V198" s="376">
        <f>=IF(V$209&lt;$I197,0,IF($H197&gt;(V$209-$I197),(($F197-0)/$H197),0))</f>
        <v>0</v>
      </c>
      <c r="W198" s="376">
        <f>=IF(W$209&lt;$I197,0,IF($H197&gt;(W$209-$I197),(($F197-0)/$H197),0))</f>
        <v>0</v>
      </c>
      <c r="X198" s="376">
        <f>=IF(X$209&lt;$I197,0,IF($H197&gt;(X$209-$I197),(($F197-0)/$H197),0))</f>
        <v>0</v>
      </c>
      <c r="Y198" s="376">
        <f>=IF(Y$209&lt;$I197,0,IF($H197&gt;(Y$209-$I197),(($F197-0)/$H197),0))</f>
        <v>0</v>
      </c>
      <c r="Z198" s="376">
        <f>=IF(Z$209&lt;$I197,0,IF($H197&gt;(Z$209-$I197),(($F197-0)/$H197),0))</f>
        <v>0</v>
      </c>
      <c r="AA198" s="376">
        <f>=IF(AA$209&lt;$I197,0,IF($H197&gt;(AA$209-$I197),(($F197-0)/$H197),0))</f>
        <v>0</v>
      </c>
      <c r="AB198" s="376">
        <f>=IF(AB$209&lt;$I197,0,IF($H197&gt;(AB$209-$I197),(($F197-0)/$H197),0))</f>
        <v>0</v>
      </c>
      <c r="AC198" s="376">
        <f>=IF(AC$209&lt;$I197,0,IF($H197&gt;(AC$209-$I197),(($F197-0)/$H197),0))</f>
        <v>0</v>
      </c>
      <c r="AD198" s="376">
        <f>=IF(AD$209&lt;$I197,0,IF($H197&gt;(AD$209-$I197),(($F197-0)/$H197),0))</f>
        <v>0</v>
      </c>
      <c r="AE198" s="376">
        <f>=IF(AE$209&lt;$I197,0,IF($H197&gt;(AE$209-$I197),(($F197-0)/$H197),0))</f>
        <v>0</v>
      </c>
      <c r="AF198" s="376">
        <f>=IF(AF$209&lt;$I197,0,IF($H197&gt;(AF$209-$I197),(($F197-0)/$H197),0))</f>
        <v>0</v>
      </c>
    </row>
    <row r="199" spans="1:32" ht="12" hidden="true" customHeight="true">
      <c r="A199" s="297" t="s"/>
      <c r="B199" s="358" t="s">
        <v>705</v>
      </c>
      <c r="C199" s="358" t="s"/>
      <c r="D199" s="358" t="s"/>
      <c r="E199" s="358" t="s"/>
      <c r="F199" s="358" t="s"/>
      <c r="G199" s="358" t="s"/>
      <c r="H199" s="358" t="s"/>
      <c r="I199" s="358" t="s"/>
      <c r="J199" s="358" t="s"/>
      <c r="K199" s="357">
        <f>=IF(K$209=$I197,$F197-K198,0)</f>
        <v>0</v>
      </c>
      <c r="L199" s="357">
        <f>=IF(L$209=$I197,$F197-L198,IF(AND(L$209&gt;$I197,L$209&lt;=$I197+$H197),K199-L198,0))</f>
        <v>0</v>
      </c>
      <c r="M199" s="357">
        <f>=IF(M$209=$I197,$F197-M198,IF(AND(M$209&gt;$I197,M$209&lt;=$I197+$H197),L199-M198,0))</f>
        <v>0</v>
      </c>
      <c r="N199" s="357">
        <f>=IF(N$209=$I197,$F197-N198,IF(AND(N$209&gt;$I197,N$209&lt;=$I197+$H197),M199-N198,0))</f>
        <v>0</v>
      </c>
      <c r="O199" s="357">
        <f>=IF(O$209=$I197,$F197-O198,IF(AND(O$209&gt;$I197,O$209&lt;=$I197+$H197),N199-O198,0))</f>
        <v>0</v>
      </c>
      <c r="P199" s="357">
        <f>=IF(P$209=$I197,$F197-P198,IF(AND(P$209&gt;$I197,P$209&lt;=$I197+$H197),O199-P198,0))</f>
        <v>0</v>
      </c>
      <c r="Q199" s="357">
        <f>=IF(Q$209=$I197,$F197-Q198,IF(AND(Q$209&gt;$I197,Q$209&lt;=$I197+$H197),P199-Q198,0))</f>
        <v>0</v>
      </c>
      <c r="R199" s="357">
        <f>=IF(R$209=$I197,$F197-R198,IF(AND(R$209&gt;$I197,R$209&lt;=$I197+$H197),Q199-R198,0))</f>
        <v>0</v>
      </c>
      <c r="S199" s="357">
        <f>=IF(S$209=$I197,$F197-S198,IF(AND(S$209&gt;$I197,S$209&lt;=$I197+$H197),R199-S198,0))</f>
        <v>0</v>
      </c>
      <c r="T199" s="357">
        <f>=IF(T$209=$I197,$F197-T198,IF(AND(T$209&gt;$I197,T$209&lt;=$I197+$H197),S199-T198,0))</f>
        <v>0</v>
      </c>
      <c r="U199" s="357">
        <f>=IF(U$209=$I197,$F197-U198,IF(AND(U$209&gt;$I197,U$209&lt;=$I197+$H197),T199-U198,0))</f>
        <v>0</v>
      </c>
      <c r="V199" s="357">
        <f>=IF(V$209=$I197,$F197-V198,IF(AND(V$209&gt;$I197,V$209&lt;=$I197+$H197),U199-V198,0))</f>
        <v>0</v>
      </c>
      <c r="W199" s="357">
        <f>=IF(W$209=$I197,$F197-W198,IF(AND(W$209&gt;$I197,W$209&lt;=$I197+$H197),V199-W198,0))</f>
        <v>0</v>
      </c>
      <c r="X199" s="357">
        <f>=IF(X$209=$I197,$F197-X198,IF(AND(X$209&gt;$I197,X$209&lt;=$I197+$H197),W199-X198,0))</f>
        <v>0</v>
      </c>
      <c r="Y199" s="357">
        <f>=IF(Y$209=$I197,$F197-Y198,IF(AND(Y$209&gt;$I197,Y$209&lt;=$I197+$H197),X199-Y198,0))</f>
        <v>0</v>
      </c>
      <c r="Z199" s="357">
        <f>=IF(Z$209=$I197,$F197-Z198,IF(AND(Z$209&gt;$I197,Z$209&lt;=$I197+$H197),Y199-Z198,0))</f>
        <v>0</v>
      </c>
      <c r="AA199" s="357">
        <f>=IF(AA$209=$I197,$F197-AA198,IF(AND(AA$209&gt;$I197,AA$209&lt;=$I197+$H197),Z199-AA198,0))</f>
        <v>0</v>
      </c>
      <c r="AB199" s="357">
        <f>=IF(AB$209=$I197,$F197-AB198,IF(AND(AB$209&gt;$I197,AB$209&lt;=$I197+$H197),AA199-AB198,0))</f>
        <v>0</v>
      </c>
      <c r="AC199" s="357">
        <f>=IF(AC$209=$I197,$F197-AC198,IF(AND(AC$209&gt;$I197,AC$209&lt;=$I197+$H197),AB199-AC198,0))</f>
        <v>0</v>
      </c>
      <c r="AD199" s="357">
        <f>=IF(AD$209=$I197,$F197-AD198,IF(AND(AD$209&gt;$I197,AD$209&lt;=$I197+$H197),AC199-AD198,0))</f>
        <v>0</v>
      </c>
      <c r="AE199" s="357">
        <f>=IF(AE$209=$I197,$F197-AE198,IF(AND(AE$209&gt;$I197,AE$209&lt;=$I197+$H197),AD199-AE198,0))</f>
        <v>0</v>
      </c>
      <c r="AF199" s="357">
        <f>=IF(AF$209=$I197,$F197-AF198,IF(AND(AF$209&gt;$I197,AF$209&lt;=$I197+$H197),AE199-AF198,0))</f>
        <v>0</v>
      </c>
    </row>
    <row r="200" spans="1:32" ht="12" customHeight="true">
      <c r="A200" s="297" t="s">
        <v>469</v>
      </c>
      <c r="B200" s="358" t="s">
        <v>727</v>
      </c>
      <c r="C200" s="357">
        <f>=C203+C206</f>
        <v>0</v>
      </c>
      <c r="D200" s="358" t="s"/>
      <c r="E200" s="358" t="s"/>
      <c r="F200" s="357">
        <f>=F203+F206</f>
        <v>0</v>
      </c>
      <c r="G200" s="358" t="s"/>
      <c r="H200" s="358" t="s"/>
      <c r="I200" s="358" t="s"/>
      <c r="J200" s="358" t="s"/>
      <c r="K200" s="371" t="s"/>
      <c r="L200" s="371" t="s"/>
      <c r="M200" s="372" t="s"/>
      <c r="N200" s="372" t="s"/>
      <c r="O200" s="372" t="s"/>
      <c r="P200" s="372" t="s"/>
      <c r="Q200" s="372" t="s"/>
      <c r="R200" s="372" t="s"/>
      <c r="S200" s="372" t="s"/>
      <c r="T200" s="372" t="s"/>
      <c r="U200" s="372" t="s"/>
      <c r="V200" s="372" t="s"/>
      <c r="W200" s="372" t="s"/>
      <c r="X200" s="372" t="s"/>
      <c r="Y200" s="372" t="s"/>
      <c r="Z200" s="372" t="s"/>
      <c r="AA200" s="372" t="s"/>
      <c r="AB200" s="372" t="s"/>
      <c r="AC200" s="372" t="s"/>
      <c r="AD200" s="372" t="s"/>
      <c r="AE200" s="372" t="s"/>
      <c r="AF200" s="372" t="s"/>
    </row>
    <row r="201" spans="1:32" ht="12" customHeight="true">
      <c r="A201" s="297" t="s"/>
      <c r="B201" s="358" t="s">
        <v>721</v>
      </c>
      <c r="C201" s="358" t="s"/>
      <c r="D201" s="358" t="s"/>
      <c r="E201" s="358" t="s"/>
      <c r="F201" s="358" t="s"/>
      <c r="G201" s="358" t="s"/>
      <c r="H201" s="358" t="s"/>
      <c r="I201" s="358" t="s"/>
      <c r="J201" s="358" t="s"/>
      <c r="K201" s="376">
        <f>=K204+K207</f>
        <v>0</v>
      </c>
      <c r="L201" s="376">
        <f>=L204+L207</f>
        <v>0</v>
      </c>
      <c r="M201" s="376">
        <f>=M204+M207</f>
        <v>0</v>
      </c>
      <c r="N201" s="376">
        <f>=N204+N207</f>
        <v>0</v>
      </c>
      <c r="O201" s="376">
        <f>=O204+O207</f>
        <v>0</v>
      </c>
      <c r="P201" s="376">
        <f>=P204+P207</f>
        <v>0</v>
      </c>
      <c r="Q201" s="376">
        <f>=Q204+Q207</f>
        <v>0</v>
      </c>
      <c r="R201" s="376">
        <f>=R204+R207</f>
        <v>0</v>
      </c>
      <c r="S201" s="376">
        <f>=S204+S207</f>
        <v>0</v>
      </c>
      <c r="T201" s="376">
        <f>=T204+T207</f>
        <v>0</v>
      </c>
      <c r="U201" s="376">
        <f>=U204+U207</f>
        <v>0</v>
      </c>
      <c r="V201" s="376">
        <f>=V204+V207</f>
        <v>0</v>
      </c>
      <c r="W201" s="376">
        <f>=W204+W207</f>
        <v>0</v>
      </c>
      <c r="X201" s="376">
        <f>=X204+X207</f>
        <v>0</v>
      </c>
      <c r="Y201" s="376">
        <f>=Y204+Y207</f>
        <v>0</v>
      </c>
      <c r="Z201" s="376">
        <f>=Z204+Z207</f>
        <v>0</v>
      </c>
      <c r="AA201" s="376">
        <f>=AA204+AA207</f>
        <v>0</v>
      </c>
      <c r="AB201" s="376">
        <f>=AB204+AB207</f>
        <v>0</v>
      </c>
      <c r="AC201" s="376">
        <f>=AC204+AC207</f>
        <v>0</v>
      </c>
      <c r="AD201" s="376">
        <f>=AD204+AD207</f>
        <v>0</v>
      </c>
      <c r="AE201" s="376">
        <f>=AE204+AE207</f>
        <v>0</v>
      </c>
      <c r="AF201" s="376">
        <f>=AF204+AF207</f>
        <v>0</v>
      </c>
    </row>
    <row r="202" spans="1:32" ht="12" customHeight="true">
      <c r="A202" s="297" t="s"/>
      <c r="B202" s="358" t="s">
        <v>705</v>
      </c>
      <c r="C202" s="358" t="s"/>
      <c r="D202" s="358" t="s"/>
      <c r="E202" s="358" t="s"/>
      <c r="F202" s="358" t="s"/>
      <c r="G202" s="358" t="s"/>
      <c r="H202" s="358" t="s"/>
      <c r="I202" s="358" t="s"/>
      <c r="J202" s="358" t="s"/>
      <c r="K202" s="376">
        <f>=K205+K208</f>
        <v>0</v>
      </c>
      <c r="L202" s="376">
        <f>=L205+L208</f>
        <v>0</v>
      </c>
      <c r="M202" s="376">
        <f>=M205+M208</f>
        <v>0</v>
      </c>
      <c r="N202" s="376">
        <f>=N205+N208</f>
        <v>0</v>
      </c>
      <c r="O202" s="376">
        <f>=O205+O208</f>
        <v>0</v>
      </c>
      <c r="P202" s="376">
        <f>=P205+P208</f>
        <v>0</v>
      </c>
      <c r="Q202" s="376">
        <f>=Q205+Q208</f>
        <v>0</v>
      </c>
      <c r="R202" s="376">
        <f>=R205+R208</f>
        <v>0</v>
      </c>
      <c r="S202" s="376">
        <f>=S205+S208</f>
        <v>0</v>
      </c>
      <c r="T202" s="376">
        <f>=T205+T208</f>
        <v>0</v>
      </c>
      <c r="U202" s="376">
        <f>=U205+U208</f>
        <v>0</v>
      </c>
      <c r="V202" s="376">
        <f>=V205+V208</f>
        <v>0</v>
      </c>
      <c r="W202" s="376">
        <f>=W205+W208</f>
        <v>0</v>
      </c>
      <c r="X202" s="376">
        <f>=X205+X208</f>
        <v>0</v>
      </c>
      <c r="Y202" s="376">
        <f>=Y205+Y208</f>
        <v>0</v>
      </c>
      <c r="Z202" s="376">
        <f>=Z205+Z208</f>
        <v>0</v>
      </c>
      <c r="AA202" s="376">
        <f>=AA205+AA208</f>
        <v>0</v>
      </c>
      <c r="AB202" s="376">
        <f>=AB205+AB208</f>
        <v>0</v>
      </c>
      <c r="AC202" s="376">
        <f>=AC205+AC208</f>
        <v>0</v>
      </c>
      <c r="AD202" s="376">
        <f>=AD205+AD208</f>
        <v>0</v>
      </c>
      <c r="AE202" s="376">
        <f>=AE205+AE208</f>
        <v>0</v>
      </c>
      <c r="AF202" s="376">
        <f>=AF205+AF208</f>
        <v>0</v>
      </c>
    </row>
    <row r="203" spans="1:32" ht="12" customHeight="true">
      <c r="A203" s="297" t="s">
        <v>537</v>
      </c>
      <c r="B203" s="361" t="s">
        <v>728</v>
      </c>
      <c r="C203" s="357">
        <f>=评估表2固定资产投资资产分类表!C25</f>
        <v>0</v>
      </c>
      <c r="D203" s="358" t="s"/>
      <c r="E203" s="358" t="s"/>
      <c r="F203" s="357">
        <f>=C203</f>
        <v>0</v>
      </c>
      <c r="G203" s="358">
        <v>0</v>
      </c>
      <c r="H203" s="368">
        <v>20</v>
      </c>
      <c r="I203" s="369">
        <f>=辅助表1评估项目基础数据表!$C$3+1</f>
        <v>3</v>
      </c>
      <c r="J203" s="358" t="s"/>
      <c r="K203" s="371" t="s"/>
      <c r="L203" s="371" t="s"/>
      <c r="M203" s="372" t="s"/>
      <c r="N203" s="372" t="s"/>
      <c r="O203" s="372" t="s"/>
      <c r="P203" s="372" t="s"/>
      <c r="Q203" s="372" t="s"/>
      <c r="R203" s="372" t="s"/>
      <c r="S203" s="372" t="s"/>
      <c r="T203" s="372" t="s"/>
      <c r="U203" s="372" t="s"/>
      <c r="V203" s="372" t="s"/>
      <c r="W203" s="372" t="s"/>
      <c r="X203" s="372" t="s"/>
      <c r="Y203" s="372" t="s"/>
      <c r="Z203" s="372" t="s"/>
      <c r="AA203" s="372" t="s"/>
      <c r="AB203" s="372" t="s"/>
      <c r="AC203" s="372" t="s"/>
      <c r="AD203" s="372" t="s"/>
      <c r="AE203" s="372" t="s"/>
      <c r="AF203" s="372" t="s"/>
    </row>
    <row r="204" spans="1:32" ht="12" customHeight="true">
      <c r="A204" s="297" t="s"/>
      <c r="B204" s="358" t="s">
        <v>721</v>
      </c>
      <c r="C204" s="358" t="s"/>
      <c r="D204" s="358" t="s"/>
      <c r="E204" s="358" t="s"/>
      <c r="F204" s="358" t="s"/>
      <c r="G204" s="358" t="s"/>
      <c r="H204" s="358" t="s"/>
      <c r="I204" s="358" t="s"/>
      <c r="J204" s="358" t="s"/>
      <c r="K204" s="376">
        <f>=IF(K$209&lt;$I203,0,IF($H203&gt;(K$209-$I203),(($F203-0)/$H203),0))</f>
        <v>0</v>
      </c>
      <c r="L204" s="376">
        <f>=IF(L$209&lt;$I203,0,IF($H203&gt;(L$209-$I203),(($F203-0)/$H203),0))</f>
        <v>0</v>
      </c>
      <c r="M204" s="376">
        <f>=IF(M$209&lt;$I203,0,IF($H203&gt;(M$209-$I203),(($F203-0)/$H203),0))</f>
        <v>0</v>
      </c>
      <c r="N204" s="376">
        <f>=IF(N$209&lt;$I203,0,IF($H203&gt;(N$209-$I203),(($F203-0)/$H203),0))</f>
        <v>0</v>
      </c>
      <c r="O204" s="376">
        <f>=IF(O$209&lt;$I203,0,IF($H203&gt;(O$209-$I203),(($F203-0)/$H203),0))</f>
        <v>0</v>
      </c>
      <c r="P204" s="376">
        <f>=IF(P$209&lt;$I203,0,IF($H203&gt;(P$209-$I203),(($F203-0)/$H203),0))</f>
        <v>0</v>
      </c>
      <c r="Q204" s="376">
        <f>=IF(Q$209&lt;$I203,0,IF($H203&gt;(Q$209-$I203),(($F203-0)/$H203),0))</f>
        <v>0</v>
      </c>
      <c r="R204" s="376">
        <f>=IF(R$209&lt;$I203,0,IF($H203&gt;(R$209-$I203),(($F203-0)/$H203),0))</f>
        <v>0</v>
      </c>
      <c r="S204" s="376">
        <f>=IF(S$209&lt;$I203,0,IF($H203&gt;(S$209-$I203),(($F203-0)/$H203),0))</f>
        <v>0</v>
      </c>
      <c r="T204" s="376">
        <f>=IF(T$209&lt;$I203,0,IF($H203&gt;(T$209-$I203),(($F203-0)/$H203),0))</f>
        <v>0</v>
      </c>
      <c r="U204" s="376">
        <f>=IF(U$209&lt;$I203,0,IF($H203&gt;(U$209-$I203),(($F203-0)/$H203),0))</f>
        <v>0</v>
      </c>
      <c r="V204" s="376">
        <f>=IF(V$209&lt;$I203,0,IF($H203&gt;(V$209-$I203),(($F203-0)/$H203),0))</f>
        <v>0</v>
      </c>
      <c r="W204" s="376">
        <f>=IF(W$209&lt;$I203,0,IF($H203&gt;(W$209-$I203),(($F203-0)/$H203),0))</f>
        <v>0</v>
      </c>
      <c r="X204" s="376">
        <f>=IF(X$209&lt;$I203,0,IF($H203&gt;(X$209-$I203),(($F203-0)/$H203),0))</f>
        <v>0</v>
      </c>
      <c r="Y204" s="376">
        <f>=IF(Y$209&lt;$I203,0,IF($H203&gt;(Y$209-$I203),(($F203-0)/$H203),0))</f>
        <v>0</v>
      </c>
      <c r="Z204" s="376">
        <f>=IF(Z$209&lt;$I203,0,IF($H203&gt;(Z$209-$I203),(($F203-0)/$H203),0))</f>
        <v>0</v>
      </c>
      <c r="AA204" s="376">
        <f>=IF(AA$209&lt;$I203,0,IF($H203&gt;(AA$209-$I203),(($F203-0)/$H203),0))</f>
        <v>0</v>
      </c>
      <c r="AB204" s="376">
        <f>=IF(AB$209&lt;$I203,0,IF($H203&gt;(AB$209-$I203),(($F203-0)/$H203),0))</f>
        <v>0</v>
      </c>
      <c r="AC204" s="376">
        <f>=IF(AC$209&lt;$I203,0,IF($H203&gt;(AC$209-$I203),(($F203-0)/$H203),0))</f>
        <v>0</v>
      </c>
      <c r="AD204" s="376">
        <f>=IF(AD$209&lt;$I203,0,IF($H203&gt;(AD$209-$I203),(($F203-0)/$H203),0))</f>
        <v>0</v>
      </c>
      <c r="AE204" s="376">
        <f>=IF(AE$209&lt;$I203,0,IF($H203&gt;(AE$209-$I203),(($F203-0)/$H203),0))</f>
        <v>0</v>
      </c>
      <c r="AF204" s="376">
        <f>=IF(AF$209&lt;$I203,0,IF($H203&gt;(AF$209-$I203),(($F203-0)/$H203),0))</f>
        <v>0</v>
      </c>
    </row>
    <row r="205" spans="1:32" ht="10.8">
      <c r="A205" s="297" t="s"/>
      <c r="B205" s="297" t="s">
        <v>705</v>
      </c>
      <c r="C205" s="358" t="s"/>
      <c r="D205" s="358" t="s"/>
      <c r="E205" s="358" t="s"/>
      <c r="F205" s="358" t="s"/>
      <c r="G205" s="358" t="s"/>
      <c r="H205" s="358" t="s"/>
      <c r="I205" s="358" t="s"/>
      <c r="J205" s="358" t="s"/>
      <c r="K205" s="357">
        <f>=IF(K$209=$I203,$F203-K204,0)</f>
        <v>0</v>
      </c>
      <c r="L205" s="357">
        <f>=IF(L$209=$I203,$F203-L204,IF(AND(L$209&gt;$I203,L$209&lt;=$I203+$H203),K205-L204,0))</f>
        <v>0</v>
      </c>
      <c r="M205" s="357">
        <f>=IF(M$209=$I203,$F203-M204,IF(AND(M$209&gt;$I203,M$209&lt;=$I203+$H203),L205-M204,0))</f>
        <v>0</v>
      </c>
      <c r="N205" s="357">
        <f>=IF(N$209=$I203,$F203-N204,IF(AND(N$209&gt;$I203,N$209&lt;=$I203+$H203),M205-N204,0))</f>
        <v>0</v>
      </c>
      <c r="O205" s="357">
        <f>=IF(O$209=$I203,$F203-O204,IF(AND(O$209&gt;$I203,O$209&lt;=$I203+$H203),N205-O204,0))</f>
        <v>0</v>
      </c>
      <c r="P205" s="357">
        <f>=IF(P$209=$I203,$F203-P204,IF(AND(P$209&gt;$I203,P$209&lt;=$I203+$H203),O205-P204,0))</f>
        <v>0</v>
      </c>
      <c r="Q205" s="357">
        <f>=IF(Q$209=$I203,$F203-Q204,IF(AND(Q$209&gt;$I203,Q$209&lt;=$I203+$H203),P205-Q204,0))</f>
        <v>0</v>
      </c>
      <c r="R205" s="357">
        <f>=IF(R$209=$I203,$F203-R204,IF(AND(R$209&gt;$I203,R$209&lt;=$I203+$H203),Q205-R204,0))</f>
        <v>0</v>
      </c>
      <c r="S205" s="357">
        <f>=IF(S$209=$I203,$F203-S204,IF(AND(S$209&gt;$I203,S$209&lt;=$I203+$H203),R205-S204,0))</f>
        <v>0</v>
      </c>
      <c r="T205" s="357">
        <f>=IF(T$209=$I203,$F203-T204,IF(AND(T$209&gt;$I203,T$209&lt;=$I203+$H203),S205-T204,0))</f>
        <v>0</v>
      </c>
      <c r="U205" s="357">
        <f>=IF(U$209=$I203,$F203-U204,IF(AND(U$209&gt;$I203,U$209&lt;=$I203+$H203),T205-U204,0))</f>
        <v>0</v>
      </c>
      <c r="V205" s="357">
        <f>=IF(V$209=$I203,$F203-V204,IF(AND(V$209&gt;$I203,V$209&lt;=$I203+$H203),U205-V204,0))</f>
        <v>0</v>
      </c>
      <c r="W205" s="357">
        <f>=IF(W$209=$I203,$F203-W204,IF(AND(W$209&gt;$I203,W$209&lt;=$I203+$H203),V205-W204,0))</f>
        <v>0</v>
      </c>
      <c r="X205" s="357">
        <f>=IF(X$209=$I203,$F203-X204,IF(AND(X$209&gt;$I203,X$209&lt;=$I203+$H203),W205-X204,0))</f>
        <v>0</v>
      </c>
      <c r="Y205" s="357">
        <f>=IF(Y$209=$I203,$F203-Y204,IF(AND(Y$209&gt;$I203,Y$209&lt;=$I203+$H203),X205-Y204,0))</f>
        <v>0</v>
      </c>
      <c r="Z205" s="357">
        <f>=IF(Z$209=$I203,$F203-Z204,IF(AND(Z$209&gt;$I203,Z$209&lt;=$I203+$H203),Y205-Z204,0))</f>
        <v>0</v>
      </c>
      <c r="AA205" s="357">
        <f>=IF(AA$209=$I203,$F203-AA204,IF(AND(AA$209&gt;$I203,AA$209&lt;=$I203+$H203),Z205-AA204,0))</f>
        <v>0</v>
      </c>
      <c r="AB205" s="357">
        <f>=IF(AB$209=$I203,$F203-AB204,IF(AND(AB$209&gt;$I203,AB$209&lt;=$I203+$H203),AA205-AB204,0))</f>
        <v>0</v>
      </c>
      <c r="AC205" s="357">
        <f>=IF(AC$209=$I203,$F203-AC204,IF(AND(AC$209&gt;$I203,AC$209&lt;=$I203+$H203),AB205-AC204,0))</f>
        <v>0</v>
      </c>
      <c r="AD205" s="357">
        <f>=IF(AD$209=$I203,$F203-AD204,IF(AND(AD$209&gt;$I203,AD$209&lt;=$I203+$H203),AC205-AD204,0))</f>
        <v>0</v>
      </c>
      <c r="AE205" s="357">
        <f>=IF(AE$209=$I203,$F203-AE204,IF(AND(AE$209&gt;$I203,AE$209&lt;=$I203+$H203),AD205-AE204,0))</f>
        <v>0</v>
      </c>
      <c r="AF205" s="357">
        <f>=IF(AF$209=$I203,$F203-AF204,IF(AND(AF$209&gt;$I203,AF$209&lt;=$I203+$H203),AE205-AF204,0))</f>
        <v>0</v>
      </c>
    </row>
    <row r="206" spans="1:32" ht="12" customHeight="true">
      <c r="A206" s="297" t="s">
        <v>549</v>
      </c>
      <c r="B206" s="297" t="s">
        <v>729</v>
      </c>
      <c r="C206" s="364" t="s"/>
      <c r="D206" s="358" t="s"/>
      <c r="E206" s="358" t="s"/>
      <c r="F206" s="357">
        <f>=C206</f>
        <v>0</v>
      </c>
      <c r="G206" s="358" t="s"/>
      <c r="H206" s="368" t="s"/>
      <c r="I206" s="369">
        <f>=辅助表1评估项目基础数据表!$C$3+1</f>
        <v>3</v>
      </c>
      <c r="J206" s="358" t="s"/>
      <c r="K206" s="371" t="s"/>
      <c r="L206" s="371" t="s"/>
      <c r="M206" s="372" t="s"/>
      <c r="N206" s="372" t="s"/>
      <c r="O206" s="372" t="s"/>
      <c r="P206" s="372" t="s"/>
      <c r="Q206" s="372" t="s"/>
      <c r="R206" s="372" t="s"/>
      <c r="S206" s="372" t="s"/>
      <c r="T206" s="372" t="s"/>
      <c r="U206" s="372" t="s"/>
      <c r="V206" s="372" t="s"/>
      <c r="W206" s="372" t="s"/>
      <c r="X206" s="372" t="s"/>
      <c r="Y206" s="372" t="s"/>
      <c r="Z206" s="372" t="s"/>
      <c r="AA206" s="372" t="s"/>
      <c r="AB206" s="372" t="s"/>
      <c r="AC206" s="372" t="s"/>
      <c r="AD206" s="372" t="s"/>
      <c r="AE206" s="372" t="s"/>
      <c r="AF206" s="372" t="s"/>
    </row>
    <row r="207" spans="1:32" ht="12" customHeight="true">
      <c r="A207" s="297" t="s"/>
      <c r="B207" s="297" t="s">
        <v>721</v>
      </c>
      <c r="C207" s="358" t="s"/>
      <c r="D207" s="358" t="s"/>
      <c r="E207" s="358" t="s"/>
      <c r="F207" s="358" t="s"/>
      <c r="G207" s="358" t="s"/>
      <c r="H207" s="358" t="s"/>
      <c r="I207" s="358" t="s"/>
      <c r="J207" s="358" t="s"/>
      <c r="K207" s="376">
        <f>=IF(K$209&lt;$I206,0,IF($H206&gt;(K$209-$I206),(($F206-0)/$H206),0))</f>
        <v>0</v>
      </c>
      <c r="L207" s="376">
        <f>=IF(L$209&lt;$I206,0,IF($H206&gt;(L$209-$I206),(($F206-0)/$H206),0))</f>
        <v>0</v>
      </c>
      <c r="M207" s="376">
        <f>=IF(M$209&lt;$I206,0,IF($H206&gt;(M$209-$I206),(($F206-0)/$H206),0))</f>
        <v>0</v>
      </c>
      <c r="N207" s="376">
        <f>=IF(N$209&lt;$I206,0,IF($H206&gt;(N$209-$I206),(($F206-0)/$H206),0))</f>
        <v>0</v>
      </c>
      <c r="O207" s="376">
        <f>=IF(O$209&lt;$I206,0,IF($H206&gt;(O$209-$I206),(($F206-0)/$H206),0))</f>
        <v>0</v>
      </c>
      <c r="P207" s="376">
        <f>=IF(P$209&lt;$I206,0,IF($H206&gt;(P$209-$I206),(($F206-0)/$H206),0))</f>
        <v>0</v>
      </c>
      <c r="Q207" s="376">
        <f>=IF(Q$209&lt;$I206,0,IF($H206&gt;(Q$209-$I206),(($F206-0)/$H206),0))</f>
        <v>0</v>
      </c>
      <c r="R207" s="376">
        <f>=IF(R$209&lt;$I206,0,IF($H206&gt;(R$209-$I206),(($F206-0)/$H206),0))</f>
        <v>0</v>
      </c>
      <c r="S207" s="376">
        <f>=IF(S$209&lt;$I206,0,IF($H206&gt;(S$209-$I206),(($F206-0)/$H206),0))</f>
        <v>0</v>
      </c>
      <c r="T207" s="376">
        <f>=IF(T$209&lt;$I206,0,IF($H206&gt;(T$209-$I206),(($F206-0)/$H206),0))</f>
        <v>0</v>
      </c>
      <c r="U207" s="376">
        <f>=IF(U$209&lt;$I206,0,IF($H206&gt;(U$209-$I206),(($F206-0)/$H206),0))</f>
        <v>0</v>
      </c>
      <c r="V207" s="376">
        <f>=IF(V$209&lt;$I206,0,IF($H206&gt;(V$209-$I206),(($F206-0)/$H206),0))</f>
        <v>0</v>
      </c>
      <c r="W207" s="376">
        <f>=IF(W$209&lt;$I206,0,IF($H206&gt;(W$209-$I206),(($F206-0)/$H206),0))</f>
        <v>0</v>
      </c>
      <c r="X207" s="376">
        <f>=IF(X$209&lt;$I206,0,IF($H206&gt;(X$209-$I206),(($F206-0)/$H206),0))</f>
        <v>0</v>
      </c>
      <c r="Y207" s="376">
        <f>=IF(Y$209&lt;$I206,0,IF($H206&gt;(Y$209-$I206),(($F206-0)/$H206),0))</f>
        <v>0</v>
      </c>
      <c r="Z207" s="376">
        <f>=IF(Z$209&lt;$I206,0,IF($H206&gt;(Z$209-$I206),(($F206-0)/$H206),0))</f>
        <v>0</v>
      </c>
      <c r="AA207" s="376">
        <f>=IF(AA$209&lt;$I206,0,IF($H206&gt;(AA$209-$I206),(($F206-0)/$H206),0))</f>
        <v>0</v>
      </c>
      <c r="AB207" s="376">
        <f>=IF(AB$209&lt;$I206,0,IF($H206&gt;(AB$209-$I206),(($F206-0)/$H206),0))</f>
        <v>0</v>
      </c>
      <c r="AC207" s="376">
        <f>=IF(AC$209&lt;$I206,0,IF($H206&gt;(AC$209-$I206),(($F206-0)/$H206),0))</f>
        <v>0</v>
      </c>
      <c r="AD207" s="376">
        <f>=IF(AD$209&lt;$I206,0,IF($H206&gt;(AD$209-$I206),(($F206-0)/$H206),0))</f>
        <v>0</v>
      </c>
      <c r="AE207" s="376">
        <f>=IF(AE$209&lt;$I206,0,IF($H206&gt;(AE$209-$I206),(($F206-0)/$H206),0))</f>
        <v>0</v>
      </c>
      <c r="AF207" s="376">
        <f>=IF(AF$209&lt;$I206,0,IF($H206&gt;(AF$209-$I206),(($F206-0)/$H206),0))</f>
        <v>0</v>
      </c>
    </row>
    <row r="208" spans="1:32" ht="12" customHeight="true">
      <c r="A208" s="297" t="s"/>
      <c r="B208" s="297" t="s">
        <v>705</v>
      </c>
      <c r="C208" s="358" t="s"/>
      <c r="D208" s="358" t="s"/>
      <c r="E208" s="358" t="s"/>
      <c r="F208" s="358" t="s"/>
      <c r="G208" s="358" t="s"/>
      <c r="H208" s="358" t="s"/>
      <c r="I208" s="358" t="s"/>
      <c r="J208" s="358" t="s"/>
      <c r="K208" s="357">
        <f>=IF(K$209=$I206,$F206-K207,0)</f>
        <v>0</v>
      </c>
      <c r="L208" s="357">
        <f>=IF(L$209=$I206,$F206-L207,IF(AND(L$209&gt;$I206,L$209&lt;=$I206+$H206),K208-L207,0))</f>
        <v>0</v>
      </c>
      <c r="M208" s="357">
        <f>=IF(M$209=$I206,$F206-M207,IF(AND(M$209&gt;$I206,M$209&lt;=$I206+$H206),L208-M207,0))</f>
        <v>0</v>
      </c>
      <c r="N208" s="357">
        <f>=IF(N$209=$I206,$F206-N207,IF(AND(N$209&gt;$I206,N$209&lt;=$I206+$H206),M208-N207,0))</f>
        <v>0</v>
      </c>
      <c r="O208" s="357">
        <f>=IF(O$209=$I206,$F206-O207,IF(AND(O$209&gt;$I206,O$209&lt;=$I206+$H206),N208-O207,0))</f>
        <v>0</v>
      </c>
      <c r="P208" s="357">
        <f>=IF(P$209=$I206,$F206-P207,IF(AND(P$209&gt;$I206,P$209&lt;=$I206+$H206),O208-P207,0))</f>
        <v>0</v>
      </c>
      <c r="Q208" s="357">
        <f>=IF(Q$209=$I206,$F206-Q207,IF(AND(Q$209&gt;$I206,Q$209&lt;=$I206+$H206),P208-Q207,0))</f>
        <v>0</v>
      </c>
      <c r="R208" s="357">
        <f>=IF(R$209=$I206,$F206-R207,IF(AND(R$209&gt;$I206,R$209&lt;=$I206+$H206),Q208-R207,0))</f>
        <v>0</v>
      </c>
      <c r="S208" s="357">
        <f>=IF(S$209=$I206,$F206-S207,IF(AND(S$209&gt;$I206,S$209&lt;=$I206+$H206),R208-S207,0))</f>
        <v>0</v>
      </c>
      <c r="T208" s="357">
        <f>=IF(T$209=$I206,$F206-T207,IF(AND(T$209&gt;$I206,T$209&lt;=$I206+$H206),S208-T207,0))</f>
        <v>0</v>
      </c>
      <c r="U208" s="357">
        <f>=IF(U$209=$I206,$F206-U207,IF(AND(U$209&gt;$I206,U$209&lt;=$I206+$H206),T208-U207,0))</f>
        <v>0</v>
      </c>
      <c r="V208" s="357">
        <f>=IF(V$209=$I206,$F206-V207,IF(AND(V$209&gt;$I206,V$209&lt;=$I206+$H206),U208-V207,0))</f>
        <v>0</v>
      </c>
      <c r="W208" s="357">
        <f>=IF(W$209=$I206,$F206-W207,IF(AND(W$209&gt;$I206,W$209&lt;=$I206+$H206),V208-W207,0))</f>
        <v>0</v>
      </c>
      <c r="X208" s="357">
        <f>=IF(X$209=$I206,$F206-X207,IF(AND(X$209&gt;$I206,X$209&lt;=$I206+$H206),W208-X207,0))</f>
        <v>0</v>
      </c>
      <c r="Y208" s="357">
        <f>=IF(Y$209=$I206,$F206-Y207,IF(AND(Y$209&gt;$I206,Y$209&lt;=$I206+$H206),X208-Y207,0))</f>
        <v>0</v>
      </c>
      <c r="Z208" s="357">
        <f>=IF(Z$209=$I206,$F206-Z207,IF(AND(Z$209&gt;$I206,Z$209&lt;=$I206+$H206),Y208-Z207,0))</f>
        <v>0</v>
      </c>
      <c r="AA208" s="357">
        <f>=IF(AA$209=$I206,$F206-AA207,IF(AND(AA$209&gt;$I206,AA$209&lt;=$I206+$H206),Z208-AA207,0))</f>
        <v>0</v>
      </c>
      <c r="AB208" s="357">
        <f>=IF(AB$209=$I206,$F206-AB207,IF(AND(AB$209&gt;$I206,AB$209&lt;=$I206+$H206),AA208-AB207,0))</f>
        <v>0</v>
      </c>
      <c r="AC208" s="357">
        <f>=IF(AC$209=$I206,$F206-AC207,IF(AND(AC$209&gt;$I206,AC$209&lt;=$I206+$H206),AB208-AC207,0))</f>
        <v>0</v>
      </c>
      <c r="AD208" s="357">
        <f>=IF(AD$209=$I206,$F206-AD207,IF(AND(AD$209&gt;$I206,AD$209&lt;=$I206+$H206),AC208-AD207,0))</f>
        <v>0</v>
      </c>
      <c r="AE208" s="357">
        <f>=IF(AE$209=$I206,$F206-AE207,IF(AND(AE$209&gt;$I206,AE$209&lt;=$I206+$H206),AD208-AE207,0))</f>
        <v>0</v>
      </c>
      <c r="AF208" s="357">
        <f>=IF(AF$209=$I206,$F206-AF207,IF(AND(AF$209&gt;$I206,AF$209&lt;=$I206+$H206),AE208-AF207,0))</f>
        <v>0</v>
      </c>
    </row>
    <row r="209" spans="1:32" ht="10.8">
      <c r="A209" s="390" t="s"/>
      <c r="B209" s="390" t="s"/>
      <c r="C209" s="390" t="s"/>
      <c r="D209" s="390" t="s"/>
      <c r="E209" s="390" t="s"/>
      <c r="F209" s="390" t="s"/>
      <c r="G209" s="390" t="s"/>
      <c r="H209" s="390" t="s"/>
      <c r="I209" s="390" t="s"/>
      <c r="J209" s="390" t="s"/>
      <c r="K209" s="391">
        <v>1</v>
      </c>
      <c r="L209" s="391">
        <f>=K209+1</f>
        <v>2</v>
      </c>
      <c r="M209" s="391">
        <f>=辅助表1评估项目基础数据表!$C$3+1</f>
        <v>3</v>
      </c>
      <c r="N209" s="391">
        <f>=M209+1</f>
        <v>4</v>
      </c>
      <c r="O209" s="391">
        <f>=N209+1</f>
        <v>5</v>
      </c>
      <c r="P209" s="391">
        <f>=O209+1</f>
        <v>6</v>
      </c>
      <c r="Q209" s="391">
        <f>=P209+1</f>
        <v>7</v>
      </c>
      <c r="R209" s="391">
        <f>=Q209+1</f>
        <v>8</v>
      </c>
      <c r="S209" s="391">
        <f>=R209+1</f>
        <v>9</v>
      </c>
      <c r="T209" s="391">
        <f>=S209+1</f>
        <v>10</v>
      </c>
      <c r="U209" s="391">
        <f>=T209+1</f>
        <v>11</v>
      </c>
      <c r="V209" s="391">
        <f>=U209+1</f>
        <v>12</v>
      </c>
      <c r="W209" s="391">
        <f>=V209+1</f>
        <v>13</v>
      </c>
      <c r="X209" s="391">
        <f>=W209+1</f>
        <v>14</v>
      </c>
      <c r="Y209" s="391">
        <f>=X209+1</f>
        <v>15</v>
      </c>
      <c r="Z209" s="391">
        <f>=Y209+1</f>
        <v>16</v>
      </c>
      <c r="AA209" s="391">
        <f>=Z209+1</f>
        <v>17</v>
      </c>
      <c r="AB209" s="391">
        <f>=AA209+1</f>
        <v>18</v>
      </c>
      <c r="AC209" s="391">
        <f>=AB209+1</f>
        <v>19</v>
      </c>
      <c r="AD209" s="391">
        <f>=AC209+1</f>
        <v>20</v>
      </c>
      <c r="AE209" s="391">
        <f>=AD209+1</f>
        <v>21</v>
      </c>
      <c r="AF209" s="391">
        <f>=AE209+1</f>
        <v>22</v>
      </c>
    </row>
    <row r="210" spans="1:32" ht="10.8">
      <c r="A210" s="392" t="s">
        <v>730</v>
      </c>
      <c r="B210" s="393" t="s"/>
      <c r="C210" s="393" t="s"/>
      <c r="D210" s="393" t="s"/>
      <c r="E210" s="393" t="s"/>
      <c r="F210" s="393" t="s"/>
      <c r="G210" s="393" t="s"/>
      <c r="H210" s="393" t="s"/>
      <c r="I210" s="393" t="s"/>
      <c r="J210" s="393" t="s"/>
      <c r="K210" s="393" t="s"/>
      <c r="L210" s="393" t="s"/>
      <c r="M210" s="393" t="s"/>
      <c r="N210" s="393" t="s"/>
      <c r="O210" s="393" t="s"/>
      <c r="P210" s="393" t="s"/>
      <c r="Q210" s="393" t="s"/>
      <c r="R210" s="393" t="s"/>
      <c r="S210" s="393" t="s"/>
      <c r="T210" s="393" t="s"/>
      <c r="U210" s="393" t="s"/>
      <c r="V210" s="393" t="s"/>
      <c r="W210" s="393" t="s"/>
      <c r="X210" s="393" t="s"/>
      <c r="Y210" s="393" t="s"/>
      <c r="Z210" s="393" t="s"/>
      <c r="AA210" s="393" t="s"/>
      <c r="AB210" s="393" t="s"/>
      <c r="AC210" s="393" t="s"/>
      <c r="AD210" s="393" t="s"/>
      <c r="AE210" s="393" t="s"/>
      <c r="AF210" s="393" t="s"/>
    </row>
    <row r="211" spans="1:32" ht="10.8">
      <c r="A211" s="392" t="s">
        <v>731</v>
      </c>
      <c r="B211" s="393" t="s"/>
      <c r="C211" s="393" t="s"/>
      <c r="D211" s="393" t="s"/>
      <c r="E211" s="393" t="s"/>
      <c r="F211" s="393" t="s"/>
      <c r="G211" s="393" t="s"/>
      <c r="H211" s="393" t="s"/>
      <c r="I211" s="393" t="s"/>
      <c r="J211" s="393" t="s"/>
      <c r="K211" s="393" t="s"/>
      <c r="L211" s="393" t="s"/>
      <c r="M211" s="393" t="s"/>
      <c r="N211" s="393" t="s"/>
      <c r="O211" s="393" t="s"/>
      <c r="P211" s="393" t="s"/>
      <c r="Q211" s="393" t="s"/>
      <c r="R211" s="393" t="s"/>
      <c r="S211" s="393" t="s"/>
      <c r="T211" s="393" t="s"/>
      <c r="U211" s="393" t="s"/>
      <c r="V211" s="393" t="s"/>
      <c r="W211" s="393" t="s"/>
      <c r="X211" s="393" t="s"/>
      <c r="Y211" s="393" t="s"/>
      <c r="Z211" s="393" t="s"/>
      <c r="AA211" s="393" t="s"/>
      <c r="AB211" s="393" t="s"/>
      <c r="AC211" s="393" t="s"/>
      <c r="AD211" s="393" t="s"/>
      <c r="AE211" s="393" t="s"/>
      <c r="AF211" s="393" t="s"/>
    </row>
    <row r="212" spans="1:32" ht="10.8">
      <c r="A212" s="392" t="s">
        <v>732</v>
      </c>
      <c r="B212" s="393" t="s"/>
      <c r="C212" s="393" t="s"/>
      <c r="D212" s="393" t="s"/>
      <c r="E212" s="393" t="s"/>
      <c r="F212" s="393" t="s"/>
      <c r="G212" s="393" t="s"/>
      <c r="H212" s="393" t="s"/>
      <c r="I212" s="393" t="s"/>
      <c r="J212" s="393" t="s"/>
      <c r="K212" s="393" t="s"/>
      <c r="L212" s="393" t="s"/>
      <c r="M212" s="393" t="s"/>
      <c r="N212" s="393" t="s"/>
      <c r="O212" s="393" t="s"/>
      <c r="P212" s="393" t="s"/>
      <c r="Q212" s="393" t="s"/>
      <c r="R212" s="393" t="s"/>
      <c r="S212" s="393" t="s"/>
      <c r="T212" s="393" t="s"/>
      <c r="U212" s="393" t="s"/>
      <c r="V212" s="393" t="s"/>
      <c r="W212" s="393" t="s"/>
      <c r="X212" s="393" t="s"/>
      <c r="Y212" s="393" t="s"/>
      <c r="Z212" s="393" t="s"/>
      <c r="AA212" s="393" t="s"/>
      <c r="AB212" s="393" t="s"/>
      <c r="AC212" s="393" t="s"/>
      <c r="AD212" s="393" t="s"/>
      <c r="AE212" s="393" t="s"/>
      <c r="AF212" s="393" t="s"/>
    </row>
    <row r="213" spans="1:32" ht="10.8">
      <c r="A213" s="392" t="s">
        <v>733</v>
      </c>
      <c r="B213" s="393" t="s"/>
      <c r="C213" s="393" t="s"/>
      <c r="D213" s="393" t="s"/>
      <c r="E213" s="393" t="s"/>
      <c r="F213" s="393" t="s"/>
      <c r="G213" s="393" t="s"/>
      <c r="H213" s="393" t="s"/>
      <c r="I213" s="393" t="s"/>
      <c r="J213" s="393" t="s"/>
      <c r="K213" s="393" t="s"/>
      <c r="L213" s="393" t="s"/>
      <c r="M213" s="393" t="s"/>
      <c r="N213" s="393" t="s"/>
      <c r="O213" s="393" t="s"/>
      <c r="P213" s="393" t="s"/>
      <c r="Q213" s="393" t="s"/>
      <c r="R213" s="393" t="s"/>
      <c r="S213" s="393" t="s"/>
      <c r="T213" s="393" t="s"/>
      <c r="U213" s="393" t="s"/>
      <c r="V213" s="393" t="s"/>
      <c r="W213" s="393" t="s"/>
      <c r="X213" s="393" t="s"/>
      <c r="Y213" s="393" t="s"/>
      <c r="Z213" s="393" t="s"/>
      <c r="AA213" s="393" t="s"/>
      <c r="AB213" s="393" t="s"/>
      <c r="AC213" s="393" t="s"/>
      <c r="AD213" s="393" t="s"/>
      <c r="AE213" s="393" t="s"/>
      <c r="AF213" s="393" t="s"/>
    </row>
    <row r="214" spans="1:32" ht="10.8">
      <c r="A214" s="392" t="s">
        <v>734</v>
      </c>
      <c r="B214" s="393" t="s"/>
      <c r="C214" s="393" t="s"/>
      <c r="D214" s="393" t="s"/>
      <c r="E214" s="393" t="s"/>
      <c r="F214" s="393" t="s"/>
      <c r="G214" s="393" t="s"/>
      <c r="H214" s="393" t="s"/>
      <c r="I214" s="393" t="s"/>
      <c r="J214" s="393" t="s"/>
      <c r="K214" s="393" t="s"/>
      <c r="L214" s="393" t="s"/>
      <c r="M214" s="393" t="s"/>
      <c r="N214" s="393" t="s"/>
      <c r="O214" s="393" t="s"/>
      <c r="P214" s="393" t="s"/>
      <c r="Q214" s="393" t="s"/>
      <c r="R214" s="393" t="s"/>
      <c r="S214" s="393" t="s"/>
      <c r="T214" s="393" t="s"/>
      <c r="U214" s="393" t="s"/>
      <c r="V214" s="393" t="s"/>
      <c r="W214" s="393" t="s"/>
      <c r="X214" s="393" t="s"/>
      <c r="Y214" s="393" t="s"/>
      <c r="Z214" s="393" t="s"/>
      <c r="AA214" s="393" t="s"/>
      <c r="AB214" s="393" t="s"/>
      <c r="AC214" s="393" t="s"/>
      <c r="AD214" s="393" t="s"/>
      <c r="AE214" s="393" t="s"/>
      <c r="AF214" s="393" t="s"/>
    </row>
    <row r="215" spans="1:32" ht="10.8">
      <c r="A215" s="393" t="s"/>
      <c r="B215" s="393" t="s"/>
      <c r="C215" s="393" t="s"/>
      <c r="D215" s="393" t="s"/>
      <c r="E215" s="393" t="s"/>
      <c r="F215" s="393" t="s"/>
      <c r="G215" s="393" t="s"/>
      <c r="H215" s="393" t="s"/>
      <c r="I215" s="393" t="s"/>
      <c r="J215" s="393" t="s"/>
      <c r="K215" s="393" t="s"/>
      <c r="L215" s="393" t="s"/>
      <c r="M215" s="393" t="s"/>
      <c r="N215" s="393" t="s"/>
      <c r="O215" s="393" t="s"/>
      <c r="P215" s="393" t="s"/>
      <c r="Q215" s="393" t="s"/>
      <c r="R215" s="393" t="s"/>
      <c r="S215" s="393" t="s"/>
      <c r="T215" s="393" t="s"/>
      <c r="U215" s="393" t="s"/>
      <c r="V215" s="393" t="s"/>
      <c r="W215" s="393" t="s"/>
      <c r="X215" s="393" t="s"/>
      <c r="Y215" s="393" t="s"/>
      <c r="Z215" s="393" t="s"/>
      <c r="AA215" s="393" t="s"/>
      <c r="AB215" s="393" t="s"/>
      <c r="AC215" s="393" t="s"/>
      <c r="AD215" s="393" t="s"/>
      <c r="AE215" s="393" t="s"/>
      <c r="AF215" s="393" t="s"/>
    </row>
    <row r="216" spans="1:32" ht="10.8">
      <c r="A216" s="393" t="s"/>
      <c r="B216" s="393" t="s"/>
      <c r="C216" s="393" t="s"/>
      <c r="D216" s="393" t="s"/>
      <c r="E216" s="393" t="s"/>
      <c r="F216" s="393" t="s"/>
      <c r="G216" s="393" t="s"/>
      <c r="H216" s="393" t="s"/>
      <c r="I216" s="393" t="s"/>
      <c r="J216" s="393" t="s"/>
      <c r="K216" s="393" t="s"/>
      <c r="L216" s="393" t="s"/>
      <c r="M216" s="393" t="s"/>
      <c r="N216" s="393" t="s"/>
      <c r="O216" s="393" t="s"/>
      <c r="P216" s="393" t="s"/>
      <c r="Q216" s="393" t="s"/>
      <c r="R216" s="393" t="s"/>
      <c r="S216" s="393" t="s"/>
      <c r="T216" s="393" t="s"/>
      <c r="U216" s="393" t="s"/>
      <c r="V216" s="393" t="s"/>
      <c r="W216" s="393" t="s"/>
      <c r="X216" s="393" t="s"/>
      <c r="Y216" s="393" t="s"/>
      <c r="Z216" s="393" t="s"/>
      <c r="AA216" s="393" t="s"/>
      <c r="AB216" s="393" t="s"/>
      <c r="AC216" s="393" t="s"/>
      <c r="AD216" s="393" t="s"/>
      <c r="AE216" s="393" t="s"/>
      <c r="AF216" s="393" t="s"/>
    </row>
    <row r="217" spans="1:32" ht="10.8">
      <c r="A217" s="393" t="s"/>
      <c r="B217" s="393" t="s"/>
      <c r="C217" s="393" t="s"/>
      <c r="D217" s="393" t="s"/>
      <c r="E217" s="393" t="s"/>
      <c r="F217" s="393" t="s"/>
      <c r="G217" s="393" t="s"/>
      <c r="H217" s="393" t="s"/>
      <c r="I217" s="393" t="s"/>
      <c r="J217" s="393" t="s"/>
      <c r="K217" s="393" t="s"/>
      <c r="L217" s="393" t="s"/>
      <c r="M217" s="393" t="s"/>
      <c r="N217" s="393" t="s"/>
      <c r="O217" s="393" t="s"/>
      <c r="P217" s="393" t="s"/>
      <c r="Q217" s="393" t="s"/>
      <c r="R217" s="393" t="s"/>
      <c r="S217" s="393" t="s"/>
      <c r="T217" s="393" t="s"/>
      <c r="U217" s="393" t="s"/>
      <c r="V217" s="393" t="s"/>
      <c r="W217" s="393" t="s"/>
      <c r="X217" s="393" t="s"/>
      <c r="Y217" s="393" t="s"/>
      <c r="Z217" s="393" t="s"/>
      <c r="AA217" s="393" t="s"/>
      <c r="AB217" s="393" t="s"/>
      <c r="AC217" s="393" t="s"/>
      <c r="AD217" s="393" t="s"/>
      <c r="AE217" s="393" t="s"/>
      <c r="AF217" s="393" t="s"/>
    </row>
    <row r="218" spans="1:32" ht="10.8">
      <c r="A218" s="393" t="s"/>
      <c r="B218" s="393" t="s"/>
      <c r="C218" s="393" t="s"/>
      <c r="D218" s="393" t="s">
        <v>735</v>
      </c>
      <c r="E218" s="393" t="s"/>
      <c r="F218" s="393" t="s"/>
      <c r="G218" s="393" t="s"/>
      <c r="H218" s="393" t="s"/>
      <c r="I218" s="393" t="s"/>
      <c r="J218" s="393" t="s"/>
      <c r="K218" s="393" t="s"/>
      <c r="L218" s="393" t="s"/>
      <c r="M218" s="393" t="s"/>
      <c r="N218" s="393" t="s"/>
      <c r="O218" s="393" t="s"/>
      <c r="P218" s="393" t="s"/>
      <c r="Q218" s="393" t="s"/>
      <c r="R218" s="393" t="s"/>
      <c r="S218" s="393" t="s"/>
      <c r="T218" s="393" t="s"/>
      <c r="U218" s="393" t="s"/>
      <c r="V218" s="393" t="s"/>
      <c r="W218" s="393" t="s"/>
      <c r="X218" s="393" t="s"/>
      <c r="Y218" s="393" t="s"/>
      <c r="Z218" s="393" t="s"/>
      <c r="AA218" s="393" t="s"/>
      <c r="AB218" s="393" t="s"/>
      <c r="AC218" s="393" t="s"/>
      <c r="AD218" s="393" t="s"/>
      <c r="AE218" s="393" t="s"/>
      <c r="AF218" s="393" t="s"/>
    </row>
  </sheetData>
  <sheetProtection/>
  <mergeCells count="10">
    <mergeCell ref="A3:A4"/>
    <mergeCell ref="B3:B4"/>
    <mergeCell ref="C3:C4"/>
    <mergeCell ref="D3:D4"/>
    <mergeCell ref="E3:E4"/>
    <mergeCell ref="F3:F4"/>
    <mergeCell ref="G3:G4"/>
    <mergeCell ref="H3:H4"/>
    <mergeCell ref="I3:I4"/>
    <mergeCell ref="J3:J4"/>
  </mergeCells>
  <dataValidations>
    <dataValidation type="list" operator="between" allowBlank="true" showInputMessage="true" showErrorMessage="true" sqref="D21">
      <formula1>"是,否"</formula1>
    </dataValidation>
    <dataValidation type="list" operator="between" allowBlank="true" showInputMessage="true" showErrorMessage="true" sqref="D29">
      <formula1>"是,否"</formula1>
    </dataValidation>
    <dataValidation type="list" operator="between" allowBlank="true" showInputMessage="true" showErrorMessage="true" sqref="D37">
      <formula1>"是,否"</formula1>
    </dataValidation>
    <dataValidation type="list" operator="between" allowBlank="true" showInputMessage="true" showErrorMessage="true" sqref="D45">
      <formula1>"是,否"</formula1>
    </dataValidation>
    <dataValidation type="list" operator="between" allowBlank="true" showInputMessage="true" showErrorMessage="true" sqref="D53">
      <formula1>"是,否"</formula1>
    </dataValidation>
    <dataValidation type="list" operator="between" allowBlank="true" showInputMessage="true" showErrorMessage="true" sqref="D61">
      <formula1>"是,否"</formula1>
    </dataValidation>
    <dataValidation type="list" operator="between" allowBlank="true" showInputMessage="true" showErrorMessage="true" sqref="D69">
      <formula1>"是,否"</formula1>
    </dataValidation>
    <dataValidation type="list" operator="between" allowBlank="true" showInputMessage="true" showErrorMessage="true" sqref="D77">
      <formula1>"是,否"</formula1>
    </dataValidation>
    <dataValidation type="list" operator="between" allowBlank="true" showInputMessage="true" showErrorMessage="true" sqref="D85">
      <formula1>"是,否"</formula1>
    </dataValidation>
    <dataValidation type="list" operator="between" allowBlank="true" showInputMessage="true" showErrorMessage="true" sqref="D93">
      <formula1>"是,否"</formula1>
    </dataValidation>
    <dataValidation type="list" operator="between" allowBlank="true" showInputMessage="true" showErrorMessage="true" sqref="D101">
      <formula1>"是,否"</formula1>
    </dataValidation>
    <dataValidation type="list" operator="between" allowBlank="true" showInputMessage="true" showErrorMessage="true" sqref="D109">
      <formula1>"是,否"</formula1>
    </dataValidation>
    <dataValidation type="list" operator="between" allowBlank="true" showInputMessage="true" showErrorMessage="true" sqref="D117">
      <formula1>"是,否"</formula1>
    </dataValidation>
    <dataValidation type="list" operator="between" allowBlank="true" showInputMessage="true" showErrorMessage="true" sqref="D125">
      <formula1>"是,否"</formula1>
    </dataValidation>
    <dataValidation type="list" operator="between" allowBlank="true" showInputMessage="true" showErrorMessage="true" sqref="D133">
      <formula1>"是,否"</formula1>
    </dataValidation>
    <dataValidation type="list" operator="between" allowBlank="true" showInputMessage="true" showErrorMessage="true" sqref="D149">
      <formula1>"是,否"</formula1>
    </dataValidation>
    <dataValidation type="list" operator="between" allowBlank="true" showInputMessage="true" showErrorMessage="true" sqref="D157">
      <formula1>"是,否"</formula1>
    </dataValidation>
    <dataValidation type="list" operator="between" allowBlank="true" showInputMessage="true" showErrorMessage="true" sqref="D165">
      <formula1>"是,否"</formula1>
    </dataValidation>
    <dataValidation type="list" operator="between" allowBlank="true" showInputMessage="true" showErrorMessage="true" sqref="J21">
      <formula1>"是,否"</formula1>
    </dataValidation>
    <dataValidation type="list" operator="between" allowBlank="true" showInputMessage="true" showErrorMessage="true" sqref="J29">
      <formula1>"是,否"</formula1>
    </dataValidation>
    <dataValidation type="list" operator="between" allowBlank="true" showInputMessage="true" showErrorMessage="true" sqref="J37">
      <formula1>"是,否"</formula1>
    </dataValidation>
    <dataValidation type="list" operator="between" allowBlank="true" showInputMessage="true" showErrorMessage="true" sqref="J45">
      <formula1>"是,否"</formula1>
    </dataValidation>
    <dataValidation type="list" operator="between" allowBlank="true" showInputMessage="true" showErrorMessage="true" sqref="J53">
      <formula1>"是,否"</formula1>
    </dataValidation>
    <dataValidation type="list" operator="between" allowBlank="true" showInputMessage="true" showErrorMessage="true" sqref="J61">
      <formula1>"是,否"</formula1>
    </dataValidation>
    <dataValidation type="list" operator="between" allowBlank="true" showInputMessage="true" showErrorMessage="true" sqref="J69">
      <formula1>"是,否"</formula1>
    </dataValidation>
    <dataValidation type="list" operator="between" allowBlank="true" showInputMessage="true" showErrorMessage="true" sqref="J77">
      <formula1>"是,否"</formula1>
    </dataValidation>
    <dataValidation type="list" operator="between" allowBlank="true" showInputMessage="true" showErrorMessage="true" sqref="J85">
      <formula1>"是,否"</formula1>
    </dataValidation>
    <dataValidation type="list" operator="between" allowBlank="true" showInputMessage="true" showErrorMessage="true" sqref="J93">
      <formula1>"是,否"</formula1>
    </dataValidation>
    <dataValidation type="list" operator="between" allowBlank="true" showInputMessage="true" showErrorMessage="true" sqref="J101">
      <formula1>"是,否"</formula1>
    </dataValidation>
    <dataValidation type="list" operator="between" allowBlank="true" showInputMessage="true" showErrorMessage="true" sqref="J109">
      <formula1>"是,否"</formula1>
    </dataValidation>
    <dataValidation type="list" operator="between" allowBlank="true" showInputMessage="true" showErrorMessage="true" sqref="J117">
      <formula1>"是,否"</formula1>
    </dataValidation>
    <dataValidation type="list" operator="between" allowBlank="true" showInputMessage="true" showErrorMessage="true" sqref="J125">
      <formula1>"是,否"</formula1>
    </dataValidation>
    <dataValidation type="list" operator="between" allowBlank="true" showInputMessage="true" showErrorMessage="true" sqref="J133">
      <formula1>"是,否"</formula1>
    </dataValidation>
    <dataValidation type="list" operator="between" allowBlank="true" showInputMessage="true" showErrorMessage="true" sqref="J149">
      <formula1>"是,否"</formula1>
    </dataValidation>
    <dataValidation type="list" operator="between" allowBlank="true" showInputMessage="true" showErrorMessage="true" sqref="J157">
      <formula1>"是,否"</formula1>
    </dataValidation>
    <dataValidation type="list" operator="between" allowBlank="true" showInputMessage="true" showErrorMessage="true" sqref="J165">
      <formula1>"是,否"</formula1>
    </dataValidation>
  </dataValidations>
  <pageMargins left="0.748031" right="0.748031" top="0.984252" bottom="0.984252" header="0.511811" footer="0.511811"/>
  <pageSetup paperSize="9" orientation="landscape" blackAndWhite="true"/>
  <headerFooter alignWithMargins="false"/>
  <legacyDrawing r:id="rId0"/>
</worksheet>
</file>

<file path=xl/worksheets/sheet16.xml><?xml version="1.0" encoding="utf-8"?>
<worksheet xmlns:r="http://schemas.openxmlformats.org/officeDocument/2006/relationships" xmlns="http://schemas.openxmlformats.org/spreadsheetml/2006/main">
  <sheetPr/>
  <dimension ref="AB182"/>
  <sheetViews>
    <sheetView showGridLines="false" showZeros="false" showOutlineSymbols="false" topLeftCell="A1" zoomScale="115" zoomScaleNormal="115" workbookViewId="0">
      <pane xSplit="4" ySplit="4" topLeftCell="E50" activePane="bottomRight" state="frozen"/>
    </sheetView>
  </sheetViews>
  <sheetFormatPr defaultColWidth="9" defaultRowHeight="12" customHeight="true"/>
  <cols>
    <col min="1" max="1" width="6.625" style="707"/>
    <col min="2" max="2" width="13.125" style="707"/>
    <col min="3" max="4" width="10.625" style="707"/>
    <col min="5" max="5" width="20.25" style="707"/>
    <col min="6" max="6" width="9" style="707"/>
    <col min="7" max="7" width="15.375" style="707"/>
    <col min="8" max="27" width="10.625" style="707"/>
  </cols>
  <sheetData>
    <row r="1" spans="1:26" ht="18" customHeight="true">
      <c r="A1" s="233" t="s"/>
      <c r="B1" s="293" t="s"/>
      <c r="C1" s="293" t="s"/>
      <c r="D1" s="293" t="s"/>
      <c r="E1" s="293" t="s">
        <v>616</v>
      </c>
      <c r="F1" s="293" t="s"/>
      <c r="G1" s="293" t="s"/>
      <c r="H1" s="293" t="s"/>
      <c r="I1" s="293" t="s"/>
      <c r="J1" s="293" t="s"/>
      <c r="K1" s="293" t="s"/>
      <c r="L1" s="293" t="s"/>
      <c r="M1" s="293" t="s"/>
      <c r="N1" s="293" t="s"/>
      <c r="O1" s="293" t="s"/>
      <c r="P1" s="293" t="s"/>
      <c r="Q1" s="293" t="s"/>
      <c r="R1" s="293" t="s"/>
      <c r="S1" s="293" t="s"/>
      <c r="T1" s="293" t="s"/>
      <c r="U1" s="293" t="s"/>
      <c r="V1" s="293" t="s"/>
      <c r="W1" s="293" t="s"/>
      <c r="X1" s="293" t="s"/>
      <c r="Y1" s="293" t="s"/>
      <c r="Z1" s="293" t="s"/>
    </row>
    <row r="2" spans="1:1" ht="12" customHeight="true">
      <c r="A2" s="160" t="s">
        <v>617</v>
      </c>
    </row>
    <row r="3" spans="1:26" ht="12" customHeight="true">
      <c r="A3" s="294" t="s">
        <v>525</v>
      </c>
      <c r="B3" s="294" t="s">
        <v>618</v>
      </c>
      <c r="C3" s="295" t="s"/>
      <c r="D3" s="294" t="s">
        <v>619</v>
      </c>
      <c r="E3" s="296" t="s">
        <v>620</v>
      </c>
      <c r="F3" s="296" t="s"/>
      <c r="G3" s="296" t="s">
        <v>621</v>
      </c>
      <c r="H3" s="296" t="s"/>
      <c r="I3" s="296" t="s"/>
      <c r="J3" s="296" t="s"/>
      <c r="K3" s="296" t="s"/>
      <c r="L3" s="296" t="s"/>
      <c r="M3" s="296" t="s"/>
      <c r="N3" s="296" t="s"/>
      <c r="O3" s="296" t="s"/>
      <c r="P3" s="296" t="s"/>
      <c r="Q3" s="296" t="s"/>
      <c r="R3" s="296" t="s"/>
      <c r="S3" s="296" t="s"/>
      <c r="T3" s="296" t="s"/>
      <c r="U3" s="296" t="s"/>
      <c r="V3" s="296" t="s"/>
      <c r="W3" s="296" t="s"/>
      <c r="X3" s="296" t="s"/>
      <c r="Y3" s="296" t="s"/>
      <c r="Z3" s="296" t="s"/>
    </row>
    <row r="4" spans="1:26" ht="12" customHeight="true">
      <c r="A4" s="294" t="s"/>
      <c r="B4" s="294" t="s"/>
      <c r="C4" s="295" t="s"/>
      <c r="D4" s="294" t="s"/>
      <c r="E4" s="256" t="s">
        <v>622</v>
      </c>
      <c r="F4" s="256" t="s">
        <v>623</v>
      </c>
      <c r="G4" s="256" t="s">
        <v>622</v>
      </c>
      <c r="H4" s="256" t="s">
        <v>623</v>
      </c>
      <c r="I4" s="256" t="s">
        <v>624</v>
      </c>
      <c r="J4" s="256" t="s">
        <v>625</v>
      </c>
      <c r="K4" s="256" t="s">
        <v>626</v>
      </c>
      <c r="L4" s="256" t="s">
        <v>627</v>
      </c>
      <c r="M4" s="256" t="s">
        <v>628</v>
      </c>
      <c r="N4" s="256" t="s">
        <v>629</v>
      </c>
      <c r="O4" s="256" t="s">
        <v>630</v>
      </c>
      <c r="P4" s="256" t="s">
        <v>631</v>
      </c>
      <c r="Q4" s="256" t="s">
        <v>632</v>
      </c>
      <c r="R4" s="256" t="s">
        <v>633</v>
      </c>
      <c r="S4" s="256" t="s">
        <v>634</v>
      </c>
      <c r="T4" s="256" t="s">
        <v>635</v>
      </c>
      <c r="U4" s="256" t="s">
        <v>636</v>
      </c>
      <c r="V4" s="256" t="s">
        <v>637</v>
      </c>
      <c r="W4" s="256" t="s">
        <v>638</v>
      </c>
      <c r="X4" s="256" t="s">
        <v>639</v>
      </c>
      <c r="Y4" s="256" t="s">
        <v>640</v>
      </c>
      <c r="Z4" s="256" t="s">
        <v>641</v>
      </c>
    </row>
    <row r="5" spans="1:26" ht="12" customHeight="true">
      <c r="A5" s="297" t="s"/>
      <c r="B5" s="298" t="s">
        <v>642</v>
      </c>
      <c r="C5" s="299" t="s"/>
      <c r="D5" s="300" t="s"/>
      <c r="E5" s="301">
        <f>=评估表4总成本费用表!D5</f>
        <v>0</v>
      </c>
      <c r="F5" s="301">
        <f>=评估表4总成本费用表!E5</f>
        <v>0</v>
      </c>
      <c r="G5" s="301">
        <f>=评估表4总成本费用表!F5</f>
        <v>0</v>
      </c>
      <c r="H5" s="301">
        <f>=评估表4总成本费用表!G5</f>
        <v>0</v>
      </c>
      <c r="I5" s="301">
        <f>=评估表4总成本费用表!H5</f>
        <v>0</v>
      </c>
      <c r="J5" s="301">
        <f>=评估表4总成本费用表!I5</f>
        <v>0</v>
      </c>
      <c r="K5" s="301">
        <f>=评估表4总成本费用表!J5</f>
        <v>0</v>
      </c>
      <c r="L5" s="301">
        <f>=评估表4总成本费用表!K5</f>
        <v>0.05</v>
      </c>
      <c r="M5" s="301">
        <f>=评估表4总成本费用表!L5</f>
        <v>0</v>
      </c>
      <c r="N5" s="301">
        <f>=评估表4总成本费用表!M5</f>
        <v>0.05</v>
      </c>
      <c r="O5" s="301">
        <f>=评估表4总成本费用表!N5</f>
        <v>0</v>
      </c>
      <c r="P5" s="301">
        <f>=评估表4总成本费用表!O5</f>
        <v>0</v>
      </c>
      <c r="Q5" s="301">
        <f>=评估表4总成本费用表!P5</f>
        <v>0.05</v>
      </c>
      <c r="R5" s="301">
        <f>=评估表4总成本费用表!Q5</f>
        <v>0</v>
      </c>
      <c r="S5" s="301">
        <f>=评估表4总成本费用表!R5</f>
        <v>0</v>
      </c>
      <c r="T5" s="301">
        <f>=评估表4总成本费用表!S5</f>
        <v>0</v>
      </c>
      <c r="U5" s="301">
        <f>=评估表4总成本费用表!T5</f>
        <v>0</v>
      </c>
      <c r="V5" s="301">
        <f>=评估表4总成本费用表!U5</f>
        <v>0</v>
      </c>
      <c r="W5" s="301">
        <f>=评估表4总成本费用表!V5</f>
        <v>0</v>
      </c>
      <c r="X5" s="301">
        <f>=评估表4总成本费用表!W5</f>
        <v>0</v>
      </c>
      <c r="Y5" s="301">
        <f>=评估表4总成本费用表!X5</f>
        <v>0</v>
      </c>
      <c r="Z5" s="301">
        <f>=评估表4总成本费用表!Y5</f>
        <v>0</v>
      </c>
    </row>
    <row r="6" spans="1:27" ht="12" customHeight="true">
      <c r="A6" s="297" t="s"/>
      <c r="B6" s="302" t="s">
        <v>643</v>
      </c>
      <c r="C6" s="303" t="s"/>
      <c r="D6" s="300" t="s"/>
      <c r="E6" s="301">
        <f>=评估表4总成本费用表!D6</f>
        <v>0</v>
      </c>
      <c r="F6" s="301">
        <f>=评估表4总成本费用表!E6</f>
        <v>0</v>
      </c>
      <c r="G6" s="304">
        <f>=评估表4总成本费用表!F6</f>
        <v>0.99</v>
      </c>
      <c r="H6" s="304">
        <f>=评估表4总成本费用表!G6</f>
        <v>0.976</v>
      </c>
      <c r="I6" s="304">
        <f>=评估表4总成本费用表!H6</f>
        <v>0.972</v>
      </c>
      <c r="J6" s="304">
        <f>=评估表4总成本费用表!I6</f>
        <v>0.968</v>
      </c>
      <c r="K6" s="304">
        <f>=评估表4总成本费用表!J6</f>
        <v>0.964</v>
      </c>
      <c r="L6" s="304">
        <f>=评估表4总成本费用表!K6</f>
        <v>0.96</v>
      </c>
      <c r="M6" s="304">
        <f>=评估表4总成本费用表!L6</f>
        <v>0.956</v>
      </c>
      <c r="N6" s="304">
        <f>=评估表4总成本费用表!M6</f>
        <v>0.952</v>
      </c>
      <c r="O6" s="304">
        <f>=评估表4总成本费用表!N6</f>
        <v>0.948</v>
      </c>
      <c r="P6" s="304">
        <f>=评估表4总成本费用表!O6</f>
        <v>0.944</v>
      </c>
      <c r="Q6" s="304">
        <f>=评估表4总成本费用表!P6</f>
        <v>0.94</v>
      </c>
      <c r="R6" s="304">
        <f>=评估表4总成本费用表!Q6</f>
        <v>0.936</v>
      </c>
      <c r="S6" s="304">
        <f>=评估表4总成本费用表!R6</f>
        <v>0</v>
      </c>
      <c r="T6" s="304">
        <f>=评估表4总成本费用表!S6</f>
        <v>0</v>
      </c>
      <c r="U6" s="304">
        <f>=评估表4总成本费用表!T6</f>
        <v>0</v>
      </c>
      <c r="V6" s="301">
        <f>=评估表4总成本费用表!U6</f>
        <v>0</v>
      </c>
      <c r="W6" s="301">
        <f>=评估表4总成本费用表!V6</f>
        <v>0</v>
      </c>
      <c r="X6" s="301">
        <f>=评估表4总成本费用表!W6</f>
        <v>0</v>
      </c>
      <c r="Y6" s="301">
        <f>=评估表4总成本费用表!X6</f>
        <v>0</v>
      </c>
      <c r="Z6" s="301">
        <f>=评估表4总成本费用表!Y6</f>
        <v>0</v>
      </c>
      <c r="AA6" s="188" t="s">
        <v>644</v>
      </c>
    </row>
    <row r="7" spans="1:26" ht="12" customHeight="true">
      <c r="A7" s="297" t="s"/>
      <c r="B7" s="302" t="s">
        <v>645</v>
      </c>
      <c r="C7" s="303" t="s"/>
      <c r="D7" s="300" t="s"/>
      <c r="E7" s="301">
        <f>=评估表4总成本费用表!D7</f>
        <v>0</v>
      </c>
      <c r="F7" s="301">
        <f>=评估表4总成本费用表!E7</f>
        <v>0</v>
      </c>
      <c r="G7" s="301">
        <f>=评估表4总成本费用表!F7</f>
        <v>0.92</v>
      </c>
      <c r="H7" s="301">
        <f>=评估表4总成本费用表!G7</f>
        <v>0.92</v>
      </c>
      <c r="I7" s="301">
        <f>=评估表4总成本费用表!H7</f>
        <v>0.92</v>
      </c>
      <c r="J7" s="301">
        <f>=评估表4总成本费用表!I7</f>
        <v>0.92</v>
      </c>
      <c r="K7" s="301">
        <f>=评估表4总成本费用表!J7</f>
        <v>0.92</v>
      </c>
      <c r="L7" s="301">
        <f>=评估表4总成本费用表!K7</f>
        <v>0.92</v>
      </c>
      <c r="M7" s="301">
        <f>=评估表4总成本费用表!L7</f>
        <v>0.92</v>
      </c>
      <c r="N7" s="301">
        <f>=评估表4总成本费用表!M7</f>
        <v>0.92</v>
      </c>
      <c r="O7" s="301">
        <f>=评估表4总成本费用表!N7</f>
        <v>0.92</v>
      </c>
      <c r="P7" s="301">
        <f>=评估表4总成本费用表!O7</f>
        <v>0.92</v>
      </c>
      <c r="Q7" s="301">
        <f>=评估表4总成本费用表!P7</f>
        <v>0.92</v>
      </c>
      <c r="R7" s="301">
        <f>=评估表4总成本费用表!Q7</f>
        <v>0.92</v>
      </c>
      <c r="S7" s="301">
        <f>=评估表4总成本费用表!R7</f>
        <v>0</v>
      </c>
      <c r="T7" s="301">
        <f>=评估表4总成本费用表!S7</f>
        <v>0</v>
      </c>
      <c r="U7" s="301">
        <f>=评估表4总成本费用表!T7</f>
        <v>0</v>
      </c>
      <c r="V7" s="301">
        <f>=评估表4总成本费用表!U7</f>
        <v>0</v>
      </c>
      <c r="W7" s="301">
        <f>=评估表4总成本费用表!V7</f>
        <v>0</v>
      </c>
      <c r="X7" s="301">
        <f>=评估表4总成本费用表!W7</f>
        <v>0</v>
      </c>
      <c r="Y7" s="301">
        <f>=评估表4总成本费用表!X7</f>
        <v>0</v>
      </c>
      <c r="Z7" s="301">
        <f>=评估表4总成本费用表!Y7</f>
        <v>0</v>
      </c>
    </row>
    <row r="8" spans="1:26" ht="12" customHeight="true">
      <c r="A8" s="297" t="s"/>
      <c r="B8" s="302" t="s">
        <v>646</v>
      </c>
      <c r="C8" s="303" t="s"/>
      <c r="D8" s="300" t="s"/>
      <c r="E8" s="301">
        <f>=评估表4总成本费用表!D8</f>
        <v>0</v>
      </c>
      <c r="F8" s="301">
        <f>=评估表4总成本费用表!E8</f>
        <v>0</v>
      </c>
      <c r="G8" s="301">
        <f>=评估表4总成本费用表!F8</f>
        <v>0</v>
      </c>
      <c r="H8" s="301">
        <f>=评估表4总成本费用表!G8</f>
        <v>0</v>
      </c>
      <c r="I8" s="301">
        <f>=评估表4总成本费用表!H8</f>
        <v>0</v>
      </c>
      <c r="J8" s="301">
        <f>=评估表4总成本费用表!I8</f>
        <v>0</v>
      </c>
      <c r="K8" s="301">
        <f>=评估表4总成本费用表!J8</f>
        <v>0</v>
      </c>
      <c r="L8" s="301">
        <f>=评估表4总成本费用表!K8</f>
        <v>0.03</v>
      </c>
      <c r="M8" s="301">
        <f>=评估表4总成本费用表!L8</f>
        <v>0</v>
      </c>
      <c r="N8" s="301">
        <f>=评估表4总成本费用表!M8</f>
        <v>0</v>
      </c>
      <c r="O8" s="301">
        <f>=评估表4总成本费用表!N8</f>
        <v>0</v>
      </c>
      <c r="P8" s="301">
        <f>=评估表4总成本费用表!O8</f>
        <v>0</v>
      </c>
      <c r="Q8" s="301">
        <f>=评估表4总成本费用表!P8</f>
        <v>0.03</v>
      </c>
      <c r="R8" s="301">
        <f>=评估表4总成本费用表!Q8</f>
        <v>0</v>
      </c>
      <c r="S8" s="301">
        <f>=评估表4总成本费用表!R8</f>
        <v>0</v>
      </c>
      <c r="T8" s="301">
        <f>=评估表4总成本费用表!S8</f>
        <v>0</v>
      </c>
      <c r="U8" s="301">
        <f>=评估表4总成本费用表!T8</f>
        <v>0</v>
      </c>
      <c r="V8" s="301">
        <f>=评估表4总成本费用表!U8</f>
        <v>0</v>
      </c>
      <c r="W8" s="301">
        <f>=评估表4总成本费用表!V8</f>
        <v>0</v>
      </c>
      <c r="X8" s="301">
        <f>=评估表4总成本费用表!W8</f>
        <v>0</v>
      </c>
      <c r="Y8" s="301">
        <f>=评估表4总成本费用表!X8</f>
        <v>0</v>
      </c>
      <c r="Z8" s="301">
        <f>=评估表4总成本费用表!Y8</f>
        <v>0</v>
      </c>
    </row>
    <row r="9" spans="1:26" ht="12" customHeight="true">
      <c r="A9" s="297" t="s"/>
      <c r="B9" s="302" t="s">
        <v>647</v>
      </c>
      <c r="C9" s="303" t="s"/>
      <c r="D9" s="300" t="s"/>
      <c r="E9" s="301">
        <f>=评估表4总成本费用表!D9</f>
        <v>0</v>
      </c>
      <c r="F9" s="301">
        <f>=评估表4总成本费用表!E9</f>
        <v>0</v>
      </c>
      <c r="G9" s="301">
        <f>=评估表4总成本费用表!F9</f>
        <v>0.5</v>
      </c>
      <c r="H9" s="301">
        <f>=评估表4总成本费用表!G9</f>
        <v>0.6</v>
      </c>
      <c r="I9" s="301">
        <f>=评估表4总成本费用表!H9</f>
        <v>0.7</v>
      </c>
      <c r="J9" s="301">
        <f>=评估表4总成本费用表!I9</f>
        <v>0.8</v>
      </c>
      <c r="K9" s="301">
        <f>=评估表4总成本费用表!J9</f>
        <v>0.9</v>
      </c>
      <c r="L9" s="301">
        <f>=评估表4总成本费用表!K9</f>
        <v>0.95</v>
      </c>
      <c r="M9" s="301">
        <f>=评估表4总成本费用表!L9</f>
        <v>0.95</v>
      </c>
      <c r="N9" s="301">
        <f>=评估表4总成本费用表!M9</f>
        <v>0.95</v>
      </c>
      <c r="O9" s="301">
        <f>=评估表4总成本费用表!N9</f>
        <v>0.95</v>
      </c>
      <c r="P9" s="301">
        <f>=评估表4总成本费用表!O9</f>
        <v>0.95</v>
      </c>
      <c r="Q9" s="301">
        <f>=评估表4总成本费用表!P9</f>
        <v>0.95</v>
      </c>
      <c r="R9" s="301">
        <f>=评估表4总成本费用表!Q9</f>
        <v>0.95</v>
      </c>
      <c r="S9" s="301">
        <f>=评估表4总成本费用表!R9</f>
        <v>0</v>
      </c>
      <c r="T9" s="301">
        <f>=评估表4总成本费用表!S9</f>
        <v>0</v>
      </c>
      <c r="U9" s="301">
        <f>=评估表4总成本费用表!T9</f>
        <v>0</v>
      </c>
      <c r="V9" s="301">
        <f>=评估表4总成本费用表!U9</f>
        <v>0</v>
      </c>
      <c r="W9" s="301">
        <f>=评估表4总成本费用表!V9</f>
        <v>0</v>
      </c>
      <c r="X9" s="301">
        <f>=评估表4总成本费用表!W9</f>
        <v>0</v>
      </c>
      <c r="Y9" s="301">
        <f>=评估表4总成本费用表!X9</f>
        <v>0</v>
      </c>
      <c r="Z9" s="301">
        <f>=评估表4总成本费用表!Y9</f>
        <v>0</v>
      </c>
    </row>
    <row r="10" spans="1:26" ht="12" customHeight="true">
      <c r="A10" s="297" t="s"/>
      <c r="B10" s="302" t="s">
        <v>648</v>
      </c>
      <c r="C10" s="303" t="s"/>
      <c r="D10" s="300" t="s"/>
      <c r="E10" s="301">
        <f>=评估表4总成本费用表!D10</f>
        <v>0</v>
      </c>
      <c r="F10" s="301">
        <f>=评估表4总成本费用表!E10</f>
        <v>0</v>
      </c>
      <c r="G10" s="301">
        <f>=评估表4总成本费用表!F10</f>
        <v>0</v>
      </c>
      <c r="H10" s="301">
        <f>=评估表4总成本费用表!G10</f>
        <v>0</v>
      </c>
      <c r="I10" s="301">
        <f>=评估表4总成本费用表!H10</f>
        <v>0</v>
      </c>
      <c r="J10" s="301">
        <f>=评估表4总成本费用表!I10</f>
        <v>0</v>
      </c>
      <c r="K10" s="301">
        <f>=评估表4总成本费用表!J10</f>
        <v>0</v>
      </c>
      <c r="L10" s="301">
        <f>=评估表4总成本费用表!K10</f>
        <v>0</v>
      </c>
      <c r="M10" s="301">
        <f>=评估表4总成本费用表!L10</f>
        <v>0</v>
      </c>
      <c r="N10" s="301">
        <f>=评估表4总成本费用表!M10</f>
        <v>0</v>
      </c>
      <c r="O10" s="301">
        <f>=评估表4总成本费用表!N10</f>
        <v>0</v>
      </c>
      <c r="P10" s="301">
        <f>=评估表4总成本费用表!O10</f>
        <v>0</v>
      </c>
      <c r="Q10" s="301">
        <f>=评估表4总成本费用表!P10</f>
        <v>0</v>
      </c>
      <c r="R10" s="301">
        <f>=评估表4总成本费用表!Q10</f>
        <v>0</v>
      </c>
      <c r="S10" s="301">
        <f>=评估表4总成本费用表!R10</f>
        <v>0</v>
      </c>
      <c r="T10" s="301">
        <f>=评估表4总成本费用表!S10</f>
        <v>0</v>
      </c>
      <c r="U10" s="301">
        <f>=评估表4总成本费用表!T10</f>
        <v>0</v>
      </c>
      <c r="V10" s="301">
        <f>=评估表4总成本费用表!U10</f>
        <v>0</v>
      </c>
      <c r="W10" s="301">
        <f>=评估表4总成本费用表!V10</f>
        <v>0</v>
      </c>
      <c r="X10" s="301">
        <f>=评估表4总成本费用表!W10</f>
        <v>0</v>
      </c>
      <c r="Y10" s="301">
        <f>=评估表4总成本费用表!X10</f>
        <v>0</v>
      </c>
      <c r="Z10" s="301">
        <f>=评估表4总成本费用表!Y10</f>
        <v>0</v>
      </c>
    </row>
    <row r="11" spans="1:26" ht="12" customHeight="true">
      <c r="A11" s="297" t="s">
        <v>442</v>
      </c>
      <c r="B11" s="305" t="s">
        <v>649</v>
      </c>
      <c r="C11" s="303" t="s"/>
      <c r="D11" s="306">
        <f>=SUM(E11:Z11)</f>
        <v>14147.8208401637</v>
      </c>
      <c r="E11" s="307">
        <f>=E32+E42+E52+E62+E72+E82+E92+E102+E112+E122+E132+E142+E152+E162+E172</f>
        <v>0</v>
      </c>
      <c r="F11" s="307">
        <f>=F32+F42+F52+F62+F72+F82+F92+F102+F112+F122+F132+F142+F152+F162+F172</f>
        <v>0</v>
      </c>
      <c r="G11" s="307">
        <f>=G32+G42+G52+G62+G72+G82+G92+G102+G112+G122+G132+G142+G152+G162+G172</f>
        <v>615.4450417656</v>
      </c>
      <c r="H11" s="307">
        <f>=H32+H42+H52+H62+H72+H82+H92+H102+H112+H122+H132+H142+H152+H162+H172</f>
        <v>1228.66981164288</v>
      </c>
      <c r="I11" s="307">
        <f>=I32+I42+I52+I62+I72+I82+I92+I102+I112+I122+I132+I142+I152+I162+I172</f>
        <v>1230.54259110336</v>
      </c>
      <c r="J11" s="307">
        <f>=J32+J42+J52+J62+J72+J82+J92+J102+J112+J122+J132+J142+J152+J162+J172</f>
        <v>1232.41537056384</v>
      </c>
      <c r="K11" s="307">
        <f>=K32+K42+K52+K62+K72+K82+K92+K102+K112+K122+K132+K142+K152+K162+K172</f>
        <v>1234.28815002432</v>
      </c>
      <c r="L11" s="307">
        <f>=L32+L42+L52+L62+L72+L82+L92+L102+L112+L122+L132+L142+L152+L162+L172</f>
        <v>1234.4059294848</v>
      </c>
      <c r="M11" s="307">
        <f>=M32+M42+M52+M62+M72+M82+M92+M102+M112+M122+M132+M142+M152+M162+M172</f>
        <v>1232.76870894528</v>
      </c>
      <c r="N11" s="307">
        <f>=N32+N42+N52+N62+N72+N82+N92+N102+N112+N122+N132+N142+N152+N162+N172</f>
        <v>1231.13148840576</v>
      </c>
      <c r="O11" s="307">
        <f>=O32+O42+O52+O62+O72+O82+O92+O102+O112+O122+O132+O142+O152+O162+O172</f>
        <v>1229.49426786624</v>
      </c>
      <c r="P11" s="307">
        <f>=P32+P42+P52+P62+P72+P82+P92+P102+P112+P122+P132+P142+P152+P162+P172</f>
        <v>1227.85704732672</v>
      </c>
      <c r="Q11" s="307">
        <f>=Q32+Q42+Q52+Q62+Q72+Q82+Q92+Q102+Q112+Q122+Q132+Q142+Q152+Q162+Q172</f>
        <v>1226.2198267872</v>
      </c>
      <c r="R11" s="307">
        <f>=R32+R42+R52+R62+R72+R82+R92+R102+R112+R122+R132+R142+R152+R162+R172</f>
        <v>1224.58260624768</v>
      </c>
      <c r="S11" s="307">
        <f>=S32+S42+S52+S62+S72+S82+S92+S102+S112+S122+S132+S142+S152+S162+S172</f>
        <v>0</v>
      </c>
      <c r="T11" s="307">
        <f>=T32+T42+T52+T62+T72+T82+T92+T102+T112+T122+T132+T142+T152+T162+T172</f>
        <v>0</v>
      </c>
      <c r="U11" s="307">
        <f>=U32+U42+U52+U62+U72+U82+U92+U102+U112+U122+U132+U142+U152+U162+U172</f>
        <v>0</v>
      </c>
      <c r="V11" s="307">
        <f>=V32+V42+V52+V62+V72+V82+V92+V102+V112+V122+V132+V142+V152+V162+V172</f>
        <v>0</v>
      </c>
      <c r="W11" s="307">
        <f>=W32+W42+W52+W62+W72+W82+W92+W102+W112+W122+W132+W142+W152+W162+W172</f>
        <v>0</v>
      </c>
      <c r="X11" s="307">
        <f>=X32+X42+X52+X62+X72+X82+X92+X102+X112+X122+X132+X142+X152+X162+X172</f>
        <v>0</v>
      </c>
      <c r="Y11" s="307">
        <f>=Y32+Y42+Y52+Y62+Y72+Y82+Y92+Y102+Y112+Y122+Y132+Y142+Y152+Y162+Y172</f>
        <v>0</v>
      </c>
      <c r="Z11" s="307">
        <f>=Z32+Z42+Z52+Z62+Z72+Z82+Z92+Z102+Z112+Z122+Z132+Z142+Z152+Z162+Z172</f>
        <v>0</v>
      </c>
    </row>
    <row r="12" spans="1:26" ht="12" customHeight="true">
      <c r="A12" s="297" t="s">
        <v>460</v>
      </c>
      <c r="B12" s="308" t="s">
        <v>650</v>
      </c>
      <c r="C12" s="309" t="s"/>
      <c r="D12" s="310" t="s"/>
      <c r="E12" s="311" t="s"/>
      <c r="F12" s="311" t="s"/>
      <c r="G12" s="311" t="s"/>
      <c r="H12" s="311" t="s"/>
      <c r="I12" s="311" t="s"/>
      <c r="J12" s="311" t="s"/>
      <c r="K12" s="311" t="s"/>
      <c r="L12" s="311" t="s"/>
      <c r="M12" s="311" t="s"/>
      <c r="N12" s="311" t="s"/>
      <c r="O12" s="311" t="s"/>
      <c r="P12" s="311" t="s"/>
      <c r="Q12" s="311" t="s"/>
      <c r="R12" s="311" t="s"/>
      <c r="S12" s="311" t="s"/>
      <c r="T12" s="311" t="s"/>
      <c r="U12" s="311" t="s"/>
      <c r="V12" s="311" t="s"/>
      <c r="W12" s="311" t="s"/>
      <c r="X12" s="311" t="s"/>
      <c r="Y12" s="311" t="s"/>
      <c r="Z12" s="311" t="s"/>
    </row>
    <row r="13" spans="1:26" ht="12" customHeight="true">
      <c r="A13" s="297">
        <v>1</v>
      </c>
      <c r="B13" s="308" t="s">
        <v>651</v>
      </c>
      <c r="C13" s="303" t="s"/>
      <c r="D13" s="306">
        <f>=SUM(E13:Z13)</f>
        <v>551.969402555902</v>
      </c>
      <c r="E13" s="307">
        <f>=IF(E14-E17&lt;0,0,E14-E17)</f>
        <v>0</v>
      </c>
      <c r="F13" s="307">
        <f>=IF(F14-F17&lt;0,0,F14-F17)</f>
        <v>0</v>
      </c>
      <c r="G13" s="307">
        <f>=IF(G14-G17&lt;0,0,G14-G17)</f>
        <v>0</v>
      </c>
      <c r="H13" s="307">
        <f>=IF(H14-H17&lt;0,0,H14-H17)</f>
        <v>0</v>
      </c>
      <c r="I13" s="307">
        <f>=IF(I14-I17&lt;0,0,I14-I17)</f>
        <v>0</v>
      </c>
      <c r="J13" s="307">
        <f>=IF(J14-J17&lt;0,0,J14-J17)</f>
        <v>0</v>
      </c>
      <c r="K13" s="307">
        <f>=IF(K14-K17&lt;0,0,K14-K17)</f>
        <v>0</v>
      </c>
      <c r="L13" s="307">
        <f>=IF(L14-L17&lt;0,0,L14-L17)</f>
        <v>0</v>
      </c>
      <c r="M13" s="307">
        <f>=IF(M14-M17&lt;0,0,M14-M17)</f>
        <v>0</v>
      </c>
      <c r="N13" s="307">
        <f>=IF(N14-N17&lt;0,0,N14-N17)</f>
        <v>14.8785405540685</v>
      </c>
      <c r="O13" s="307">
        <f>=IF(O14-O17&lt;0,0,O14-O17)</f>
        <v>134.555244708606</v>
      </c>
      <c r="P13" s="307">
        <f>=IF(P14-P17&lt;0,0,P14-P17)</f>
        <v>134.366891903174</v>
      </c>
      <c r="Q13" s="307">
        <f>=IF(Q14-Q17&lt;0,0,Q14-Q17)</f>
        <v>134.178539097743</v>
      </c>
      <c r="R13" s="307">
        <f>=IF(R14-R17&lt;0,0,R14-R17)</f>
        <v>133.990186292311</v>
      </c>
      <c r="S13" s="307">
        <f>=IF(S14-S17&lt;0,0,S14-S17)</f>
        <v>0</v>
      </c>
      <c r="T13" s="307">
        <f>=IF(T14-T17&lt;0,0,T14-T17)</f>
        <v>0</v>
      </c>
      <c r="U13" s="307">
        <f>=IF(U14-U17&lt;0,0,U14-U17)</f>
        <v>0</v>
      </c>
      <c r="V13" s="307">
        <f>=IF(V14-V17&lt;0,0,V14-V17)</f>
        <v>0</v>
      </c>
      <c r="W13" s="307">
        <f>=IF(W14-W17&lt;0,0,W14-W17)</f>
        <v>0</v>
      </c>
      <c r="X13" s="307">
        <f>=IF(X14-X17&lt;0,0,X14-X17)</f>
        <v>0</v>
      </c>
      <c r="Y13" s="307">
        <f>=IF(Y14-Y17&lt;0,0,Y14-Y17)</f>
        <v>0</v>
      </c>
      <c r="Z13" s="307">
        <f>=IF(Z14-Z17&lt;0,0,Z14-Z17)</f>
        <v>0</v>
      </c>
    </row>
    <row r="14" spans="1:26" ht="12" customHeight="true">
      <c r="A14" s="297">
        <v>1.1</v>
      </c>
      <c r="B14" s="308" t="s">
        <v>652</v>
      </c>
      <c r="C14" s="303" t="s"/>
      <c r="D14" s="306">
        <f>=SUM(E14:Z14)</f>
        <v>1550.48376671778</v>
      </c>
      <c r="E14" s="307">
        <f>=IF(E15-E16&lt;0,0,E15-E16)</f>
        <v>0</v>
      </c>
      <c r="F14" s="307">
        <f>=IF(F15-F16&lt;0,0,F15-F16)</f>
        <v>0</v>
      </c>
      <c r="G14" s="307">
        <f>=IF(G15-G16&lt;0,0,G15-G16)</f>
        <v>67.8217471658872</v>
      </c>
      <c r="H14" s="307">
        <f>=IF(H15-H16&lt;0,0,H15-H16)</f>
        <v>135.178336988136</v>
      </c>
      <c r="I14" s="307">
        <f>=IF(I15-I16&lt;0,0,I15-I16)</f>
        <v>135.188663427987</v>
      </c>
      <c r="J14" s="307">
        <f>=IF(J15-J16&lt;0,0,J15-J16)</f>
        <v>135.198989867839</v>
      </c>
      <c r="K14" s="307">
        <f>=IF(K15-K16&lt;0,0,K15-K16)</f>
        <v>135.20931630769</v>
      </c>
      <c r="L14" s="307">
        <f>=IF(L15-L16&lt;0,0,L15-L16)</f>
        <v>135.1203031249</v>
      </c>
      <c r="M14" s="307">
        <f>=IF(M15-M16&lt;0,0,M15-M16)</f>
        <v>134.931950319469</v>
      </c>
      <c r="N14" s="307">
        <f>=IF(N15-N16&lt;0,0,N15-N16)</f>
        <v>134.743597514037</v>
      </c>
      <c r="O14" s="307">
        <f>=IF(O15-O16&lt;0,0,O15-O16)</f>
        <v>134.555244708606</v>
      </c>
      <c r="P14" s="307">
        <f>=IF(P15-P16&lt;0,0,P15-P16)</f>
        <v>134.366891903174</v>
      </c>
      <c r="Q14" s="307">
        <f>=IF(Q15-Q16&lt;0,0,Q15-Q16)</f>
        <v>134.178539097743</v>
      </c>
      <c r="R14" s="307">
        <f>=IF(R15-R16&lt;0,0,R15-R16)</f>
        <v>133.990186292311</v>
      </c>
      <c r="S14" s="307">
        <f>=IF(S15-S16&lt;0,0,S15-S16)</f>
        <v>0</v>
      </c>
      <c r="T14" s="307">
        <f>=IF(T15-T16&lt;0,0,T15-T16)</f>
        <v>0</v>
      </c>
      <c r="U14" s="307">
        <f>=IF(U15-U16&lt;0,0,U15-U16)</f>
        <v>0</v>
      </c>
      <c r="V14" s="307">
        <f>=IF(V15-V16&lt;0,0,V15-V16)</f>
        <v>0</v>
      </c>
      <c r="W14" s="307">
        <f>=IF(W15-W16&lt;0,0,W15-W16)</f>
        <v>0</v>
      </c>
      <c r="X14" s="307">
        <f>=IF(X15-X16&lt;0,0,X15-X16)</f>
        <v>0</v>
      </c>
      <c r="Y14" s="307">
        <f>=IF(Y15-Y16&lt;0,0,Y15-Y16)</f>
        <v>0</v>
      </c>
      <c r="Z14" s="307">
        <f>=IF(Z15-Z16&lt;0,0,Z15-Z16)</f>
        <v>0</v>
      </c>
    </row>
    <row r="15" spans="1:26" ht="12" customHeight="true">
      <c r="A15" s="297" t="s">
        <v>653</v>
      </c>
      <c r="B15" s="308" t="s">
        <v>654</v>
      </c>
      <c r="C15" s="303" t="s"/>
      <c r="D15" s="306">
        <f>=SUM(E15:Z15)</f>
        <v>1607.31792600981</v>
      </c>
      <c r="E15" s="307">
        <f>=E34+E44+E54+E64+E74+E84+E94+E104+E114+E124+E134+E144+E154+E164+E174</f>
        <v>0</v>
      </c>
      <c r="F15" s="307">
        <f>=F34+F44+F54+F64+F74+F84+F94+F104+F114+F124+F134+F144+F154+F164+F174</f>
        <v>0</v>
      </c>
      <c r="G15" s="307">
        <f>=G34+G44+G54+G64+G74+G84+G94+G104+G114+G124+G134+G144+G154+G164+G174</f>
        <v>70.2905967234093</v>
      </c>
      <c r="H15" s="307">
        <f>=H34+H44+H54+H64+H74+H84+H94+H104+H114+H124+H134+H144+H154+H164+H174</f>
        <v>140.120637873091</v>
      </c>
      <c r="I15" s="307">
        <f>=I34+I44+I54+I64+I74+I84+I94+I104+I114+I124+I134+I144+I154+I164+I174</f>
        <v>140.130964312943</v>
      </c>
      <c r="J15" s="307">
        <f>=J34+J44+J54+J64+J74+J84+J94+J104+J114+J124+J134+J144+J154+J164+J174</f>
        <v>140.141290752794</v>
      </c>
      <c r="K15" s="307">
        <f>=K34+K44+K54+K64+K74+K84+K94+K104+K114+K124+K134+K144+K154+K164+K174</f>
        <v>140.151617192646</v>
      </c>
      <c r="L15" s="307">
        <f>=L34+L44+L54+L64+L74+L84+L94+L104+L114+L124+L134+L144+L154+L164+L174</f>
        <v>140.062604009856</v>
      </c>
      <c r="M15" s="307">
        <f>=M34+M44+M54+M64+M74+M84+M94+M104+M114+M124+M134+M144+M154+M164+M174</f>
        <v>139.874251204424</v>
      </c>
      <c r="N15" s="307">
        <f>=N34+N44+N54+N64+N74+N84+N94+N104+N114+N124+N134+N144+N154+N164+N174</f>
        <v>139.685898398993</v>
      </c>
      <c r="O15" s="307">
        <f>=O34+O44+O54+O64+O74+O84+O94+O104+O114+O124+O134+O144+O154+O164+O174</f>
        <v>139.497545593561</v>
      </c>
      <c r="P15" s="307">
        <f>=P34+P44+P54+P64+P74+P84+P94+P104+P114+P124+P134+P144+P154+P164+P174</f>
        <v>139.30919278813</v>
      </c>
      <c r="Q15" s="307">
        <f>=Q34+Q44+Q54+Q64+Q74+Q84+Q94+Q104+Q114+Q124+Q134+Q144+Q154+Q164+Q174</f>
        <v>139.120839982698</v>
      </c>
      <c r="R15" s="307">
        <f>=R34+R44+R54+R64+R74+R84+R94+R104+R114+R124+R134+R144+R154+R164+R174</f>
        <v>138.932487177267</v>
      </c>
      <c r="S15" s="307">
        <f>=S34+S44+S54+S64+S74+S84+S94+S104+S114+S124+S134+S144+S154+S164+S174</f>
        <v>0</v>
      </c>
      <c r="T15" s="307">
        <f>=T34+T44+T54+T64+T74+T84+T94+T104+T114+T124+T134+T144+T154+T164+T174</f>
        <v>0</v>
      </c>
      <c r="U15" s="307">
        <f>=U34+U44+U54+U64+U74+U84+U94+U104+U114+U124+U134+U144+U154+U164+U174</f>
        <v>0</v>
      </c>
      <c r="V15" s="307">
        <f>=V34+V44+V54+V64+V74+V84+V94+V104+V114+V124+V134+V144+V154+V164+V174</f>
        <v>0</v>
      </c>
      <c r="W15" s="307">
        <f>=W34+W44+W54+W64+W74+W84+W94+W104+W114+W124+W134+W144+W154+W164+W174</f>
        <v>0</v>
      </c>
      <c r="X15" s="307">
        <f>=X34+X44+X54+X64+X74+X84+X94+X104+X114+X124+X134+X144+X154+X164+X174</f>
        <v>0</v>
      </c>
      <c r="Y15" s="307">
        <f>=Y34+Y44+Y54+Y64+Y74+Y84+Y94+Y104+Y114+Y124+Y134+Y144+Y154+Y164+Y174</f>
        <v>0</v>
      </c>
      <c r="Z15" s="307">
        <f>=Z34+Z44+Z54+Z64+Z74+Z84+Z94+Z104+Z114+Z124+Z134+Z144+Z154+Z164+Z174</f>
        <v>0</v>
      </c>
    </row>
    <row r="16" spans="1:26" ht="12" customHeight="true">
      <c r="A16" s="297" t="s">
        <v>655</v>
      </c>
      <c r="B16" s="308" t="s">
        <v>656</v>
      </c>
      <c r="C16" s="303" t="s"/>
      <c r="D16" s="306">
        <f>=SUM(E16:Z16)</f>
        <v>56.8341592920354</v>
      </c>
      <c r="E16" s="307">
        <f>=辅助表2生产投入物估算表!E16</f>
        <v>0</v>
      </c>
      <c r="F16" s="307">
        <f>=辅助表2生产投入物估算表!F16</f>
        <v>0</v>
      </c>
      <c r="G16" s="307">
        <f>=辅助表2生产投入物估算表!G16</f>
        <v>2.46884955752212</v>
      </c>
      <c r="H16" s="307">
        <f>=辅助表2生产投入物估算表!H16</f>
        <v>4.94230088495575</v>
      </c>
      <c r="I16" s="307">
        <f>=辅助表2生产投入物估算表!I16</f>
        <v>4.94230088495575</v>
      </c>
      <c r="J16" s="307">
        <f>=辅助表2生产投入物估算表!J16</f>
        <v>4.94230088495575</v>
      </c>
      <c r="K16" s="307">
        <f>=辅助表2生产投入物估算表!K16</f>
        <v>4.94230088495575</v>
      </c>
      <c r="L16" s="307">
        <f>=辅助表2生产投入物估算表!L16</f>
        <v>4.94230088495575</v>
      </c>
      <c r="M16" s="307">
        <f>=辅助表2生产投入物估算表!M16</f>
        <v>4.94230088495575</v>
      </c>
      <c r="N16" s="307">
        <f>=辅助表2生产投入物估算表!N16</f>
        <v>4.94230088495575</v>
      </c>
      <c r="O16" s="307">
        <f>=辅助表2生产投入物估算表!O16</f>
        <v>4.94230088495575</v>
      </c>
      <c r="P16" s="307">
        <f>=辅助表2生产投入物估算表!P16</f>
        <v>4.94230088495575</v>
      </c>
      <c r="Q16" s="307">
        <f>=辅助表2生产投入物估算表!Q16</f>
        <v>4.94230088495575</v>
      </c>
      <c r="R16" s="307">
        <f>=辅助表2生产投入物估算表!R16</f>
        <v>4.94230088495575</v>
      </c>
      <c r="S16" s="307">
        <f>=辅助表2生产投入物估算表!S16</f>
        <v>0</v>
      </c>
      <c r="T16" s="307">
        <f>=辅助表2生产投入物估算表!T16</f>
        <v>0</v>
      </c>
      <c r="U16" s="307">
        <f>=辅助表2生产投入物估算表!U16</f>
        <v>0</v>
      </c>
      <c r="V16" s="307">
        <f>=辅助表2生产投入物估算表!V16</f>
        <v>0</v>
      </c>
      <c r="W16" s="307">
        <f>=辅助表2生产投入物估算表!W16</f>
        <v>0</v>
      </c>
      <c r="X16" s="307">
        <f>=辅助表2生产投入物估算表!X16</f>
        <v>0</v>
      </c>
      <c r="Y16" s="307">
        <f>=辅助表2生产投入物估算表!Y16</f>
        <v>0</v>
      </c>
      <c r="Z16" s="307">
        <f>=辅助表2生产投入物估算表!Z16</f>
        <v>0</v>
      </c>
    </row>
    <row r="17" spans="1:26" ht="12" customHeight="true">
      <c r="A17" s="297">
        <v>1.2</v>
      </c>
      <c r="B17" s="308" t="s">
        <v>657</v>
      </c>
      <c r="C17" s="303" t="s"/>
      <c r="D17" s="306">
        <f>=SUM(E17:Z17)</f>
        <v>998.514364161876</v>
      </c>
      <c r="E17" s="307">
        <f>=IF(辅助表3资产折旧及摊销估算表!K12&gt;辅助表4销售收入及税金估算表!E14,辅助表4销售收入及税金估算表!E14,辅助表3资产折旧及摊销估算表!K12)</f>
        <v>0</v>
      </c>
      <c r="F17" s="307">
        <f>=IF(E18+辅助表3资产折旧及摊销估算表!L12&gt;辅助表4销售收入及税金估算表!F14,辅助表4销售收入及税金估算表!F14,E18+辅助表3资产折旧及摊销估算表!L12)</f>
        <v>0</v>
      </c>
      <c r="G17" s="307">
        <f>=IF(F18+辅助表3资产折旧及摊销估算表!M12&gt;辅助表4销售收入及税金估算表!G14,辅助表4销售收入及税金估算表!G14,F18+辅助表3资产折旧及摊销估算表!M12)</f>
        <v>67.8217471658872</v>
      </c>
      <c r="H17" s="307">
        <f>=IF(G18+辅助表3资产折旧及摊销估算表!N12&gt;辅助表4销售收入及税金估算表!H14,辅助表4销售收入及税金估算表!H14,G18+辅助表3资产折旧及摊销估算表!N12)</f>
        <v>135.178336988136</v>
      </c>
      <c r="I17" s="307">
        <f>=IF(H18+辅助表3资产折旧及摊销估算表!O12&gt;辅助表4销售收入及税金估算表!I14,辅助表4销售收入及税金估算表!I14,H18+辅助表3资产折旧及摊销估算表!O12)</f>
        <v>135.188663427987</v>
      </c>
      <c r="J17" s="307">
        <f>=IF(I18+辅助表3资产折旧及摊销估算表!P12&gt;辅助表4销售收入及税金估算表!J14,辅助表4销售收入及税金估算表!J14,I18+辅助表3资产折旧及摊销估算表!P12)</f>
        <v>135.198989867839</v>
      </c>
      <c r="K17" s="307">
        <f>=IF(J18+辅助表3资产折旧及摊销估算表!Q12&gt;辅助表4销售收入及税金估算表!K14,辅助表4销售收入及税金估算表!K14,J18+辅助表3资产折旧及摊销估算表!Q12)</f>
        <v>135.20931630769</v>
      </c>
      <c r="L17" s="307">
        <f>=IF(K18+辅助表3资产折旧及摊销估算表!R12&gt;辅助表4销售收入及税金估算表!L14,辅助表4销售收入及税金估算表!L14,K18+辅助表3资产折旧及摊销估算表!R12)</f>
        <v>135.1203031249</v>
      </c>
      <c r="M17" s="307">
        <f>=IF(L18+辅助表3资产折旧及摊销估算表!S12&gt;辅助表4销售收入及税金估算表!M14,辅助表4销售收入及税金估算表!M14,L18+辅助表3资产折旧及摊销估算表!S12)</f>
        <v>134.931950319469</v>
      </c>
      <c r="N17" s="307">
        <f>=IF(M18+辅助表3资产折旧及摊销估算表!T12&gt;辅助表4销售收入及税金估算表!N14,辅助表4销售收入及税金估算表!N14,M18+辅助表3资产折旧及摊销估算表!T12)</f>
        <v>119.865056959969</v>
      </c>
      <c r="O17" s="307">
        <f>=IF(N18+辅助表3资产折旧及摊销估算表!U12&gt;辅助表4销售收入及税金估算表!O14,辅助表4销售收入及税金估算表!O14,N18+辅助表3资产折旧及摊销估算表!U12)</f>
        <v>0</v>
      </c>
      <c r="P17" s="307">
        <f>=IF(O18+辅助表3资产折旧及摊销估算表!V12&gt;辅助表4销售收入及税金估算表!P14,辅助表4销售收入及税金估算表!P14,O18+辅助表3资产折旧及摊销估算表!V12)</f>
        <v>0</v>
      </c>
      <c r="Q17" s="307">
        <f>=IF(P18+辅助表3资产折旧及摊销估算表!W12&gt;辅助表4销售收入及税金估算表!Q14,辅助表4销售收入及税金估算表!Q14,P18+辅助表3资产折旧及摊销估算表!W12)</f>
        <v>0</v>
      </c>
      <c r="R17" s="307">
        <f>=IF(Q18+辅助表3资产折旧及摊销估算表!X12&gt;辅助表4销售收入及税金估算表!R14,辅助表4销售收入及税金估算表!R14,Q18+辅助表3资产折旧及摊销估算表!X12)</f>
        <v>0</v>
      </c>
      <c r="S17" s="307">
        <f>=IF(R18+辅助表3资产折旧及摊销估算表!Y12&gt;辅助表4销售收入及税金估算表!S14,辅助表4销售收入及税金估算表!S14,R18+辅助表3资产折旧及摊销估算表!Y12)</f>
        <v>0</v>
      </c>
      <c r="T17" s="307">
        <f>=IF(S18+辅助表3资产折旧及摊销估算表!Z12&gt;辅助表4销售收入及税金估算表!T14,辅助表4销售收入及税金估算表!T14,S18+辅助表3资产折旧及摊销估算表!Z12)</f>
        <v>0</v>
      </c>
      <c r="U17" s="307">
        <f>=IF(T18+辅助表3资产折旧及摊销估算表!AA12&gt;辅助表4销售收入及税金估算表!U14,辅助表4销售收入及税金估算表!U14,T18+辅助表3资产折旧及摊销估算表!AA12)</f>
        <v>0</v>
      </c>
      <c r="V17" s="307">
        <f>=IF(U18+辅助表3资产折旧及摊销估算表!AB12&gt;辅助表4销售收入及税金估算表!V14,辅助表4销售收入及税金估算表!V14,U18+辅助表3资产折旧及摊销估算表!AB12)</f>
        <v>0</v>
      </c>
      <c r="W17" s="307">
        <f>=IF(V18+辅助表3资产折旧及摊销估算表!AC12&gt;辅助表4销售收入及税金估算表!W14,辅助表4销售收入及税金估算表!W14,V18+辅助表3资产折旧及摊销估算表!AC12)</f>
        <v>0</v>
      </c>
      <c r="X17" s="307">
        <f>=IF(W18+辅助表3资产折旧及摊销估算表!AD12&gt;辅助表4销售收入及税金估算表!X14,辅助表4销售收入及税金估算表!X14,W18+辅助表3资产折旧及摊销估算表!AD12)</f>
        <v>0</v>
      </c>
      <c r="Y17" s="307">
        <f>=IF(X18+辅助表3资产折旧及摊销估算表!AE12&gt;辅助表4销售收入及税金估算表!Y14,辅助表4销售收入及税金估算表!Y14,X18+辅助表3资产折旧及摊销估算表!AE12)</f>
        <v>0</v>
      </c>
      <c r="Z17" s="307">
        <f>=IF(Y18+辅助表3资产折旧及摊销估算表!AF12&gt;辅助表4销售收入及税金估算表!Z14,辅助表4销售收入及税金估算表!Z14,Y18+辅助表3资产折旧及摊销估算表!AF12)</f>
        <v>0</v>
      </c>
    </row>
    <row r="18" spans="1:26" ht="12" customHeight="true">
      <c r="A18" s="297">
        <v>1.3</v>
      </c>
      <c r="B18" s="308" t="s">
        <v>658</v>
      </c>
      <c r="C18" s="303" t="s"/>
      <c r="D18" s="310" t="s"/>
      <c r="E18" s="307">
        <f>=辅助表3资产折旧及摊销估算表!K12-辅助表4销售收入及税金估算表!E17</f>
        <v>0</v>
      </c>
      <c r="F18" s="307">
        <f>=E18+辅助表3资产折旧及摊销估算表!L12-辅助表4销售收入及税金估算表!F17</f>
        <v>0</v>
      </c>
      <c r="G18" s="307">
        <f>=F18+辅助表3资产折旧及摊销估算表!M12-辅助表4销售收入及税金估算表!G17</f>
        <v>930.692616995989</v>
      </c>
      <c r="H18" s="307">
        <f>=G18+辅助表3资产折旧及摊销估算表!N12-辅助表4销售收入及税金估算表!H17</f>
        <v>795.514280007854</v>
      </c>
      <c r="I18" s="307">
        <f>=H18+辅助表3资产折旧及摊销估算表!O12-辅助表4销售收入及税金估算表!I17</f>
        <v>660.325616579867</v>
      </c>
      <c r="J18" s="307">
        <f>=I18+辅助表3资产折旧及摊销估算表!P12-辅助表4销售收入及税金估算表!J17</f>
        <v>525.126626712028</v>
      </c>
      <c r="K18" s="307">
        <f>=J18+辅助表3资产折旧及摊销估算表!Q12-辅助表4销售收入及税金估算表!K17</f>
        <v>389.917310404338</v>
      </c>
      <c r="L18" s="307">
        <f>=K18+辅助表3资产折旧及摊销估算表!R12-辅助表4销售收入及税金估算表!L17</f>
        <v>254.797007279437</v>
      </c>
      <c r="M18" s="307">
        <f>=L18+辅助表3资产折旧及摊销估算表!S12-辅助表4销售收入及税金估算表!M17</f>
        <v>119.865056959969</v>
      </c>
      <c r="N18" s="307">
        <f>=M18+辅助表3资产折旧及摊销估算表!T12-辅助表4销售收入及税金估算表!N17</f>
        <v>0</v>
      </c>
      <c r="O18" s="307">
        <f>=N18+辅助表3资产折旧及摊销估算表!U12-辅助表4销售收入及税金估算表!O17</f>
        <v>0</v>
      </c>
      <c r="P18" s="307">
        <f>=O18+辅助表3资产折旧及摊销估算表!V12-辅助表4销售收入及税金估算表!P17</f>
        <v>0</v>
      </c>
      <c r="Q18" s="307">
        <f>=P18+辅助表3资产折旧及摊销估算表!W12-辅助表4销售收入及税金估算表!Q17</f>
        <v>0</v>
      </c>
      <c r="R18" s="307">
        <f>=Q18+辅助表3资产折旧及摊销估算表!X12-辅助表4销售收入及税金估算表!R17</f>
        <v>0</v>
      </c>
      <c r="S18" s="307">
        <f>=R18+辅助表3资产折旧及摊销估算表!Y12-辅助表4销售收入及税金估算表!S17</f>
        <v>0</v>
      </c>
      <c r="T18" s="307">
        <f>=S18+辅助表3资产折旧及摊销估算表!Z12-辅助表4销售收入及税金估算表!T17</f>
        <v>0</v>
      </c>
      <c r="U18" s="307">
        <f>=T18+辅助表3资产折旧及摊销估算表!AA12-辅助表4销售收入及税金估算表!U17</f>
        <v>0</v>
      </c>
      <c r="V18" s="307">
        <f>=U18+辅助表3资产折旧及摊销估算表!AB12-辅助表4销售收入及税金估算表!V17</f>
        <v>0</v>
      </c>
      <c r="W18" s="307">
        <f>=V18+辅助表3资产折旧及摊销估算表!AC12-辅助表4销售收入及税金估算表!W17</f>
        <v>0</v>
      </c>
      <c r="X18" s="307">
        <f>=W18+辅助表3资产折旧及摊销估算表!AD12-辅助表4销售收入及税金估算表!X17</f>
        <v>0</v>
      </c>
      <c r="Y18" s="307">
        <f>=X18+辅助表3资产折旧及摊销估算表!AE12-辅助表4销售收入及税金估算表!Y17</f>
        <v>0</v>
      </c>
      <c r="Z18" s="307">
        <f>=Y18+辅助表3资产折旧及摊销估算表!AF12-辅助表4销售收入及税金估算表!Z17</f>
        <v>0</v>
      </c>
    </row>
    <row r="19" spans="1:27" ht="12" customHeight="true">
      <c r="A19" s="297">
        <v>2</v>
      </c>
      <c r="B19" s="308" t="s">
        <v>659</v>
      </c>
      <c r="C19" s="303" t="s"/>
      <c r="D19" s="306">
        <f>=SUM(E19:Z19)</f>
        <v>55.1969402555902</v>
      </c>
      <c r="E19" s="307">
        <f>=SUM(E20:E25)</f>
        <v>0</v>
      </c>
      <c r="F19" s="307">
        <f>=SUM(F20:F25)</f>
        <v>0</v>
      </c>
      <c r="G19" s="307">
        <f>=SUM(G20:G25)</f>
        <v>0</v>
      </c>
      <c r="H19" s="307">
        <f>=SUM(H20:H25)</f>
        <v>0</v>
      </c>
      <c r="I19" s="307">
        <f>=SUM(I20:I25)</f>
        <v>0</v>
      </c>
      <c r="J19" s="307">
        <f>=SUM(J20:J25)</f>
        <v>0</v>
      </c>
      <c r="K19" s="307">
        <f>=SUM(K20:K25)</f>
        <v>0</v>
      </c>
      <c r="L19" s="307">
        <f>=SUM(L20:L25)</f>
        <v>0</v>
      </c>
      <c r="M19" s="307">
        <f>=SUM(M20:M25)</f>
        <v>0</v>
      </c>
      <c r="N19" s="307">
        <f>=SUM(N20:N25)</f>
        <v>1.48785405540685</v>
      </c>
      <c r="O19" s="307">
        <f>=SUM(O20:O25)</f>
        <v>13.4555244708606</v>
      </c>
      <c r="P19" s="307">
        <f>=SUM(P20:P25)</f>
        <v>13.4366891903174</v>
      </c>
      <c r="Q19" s="307">
        <f>=SUM(Q20:Q25)</f>
        <v>13.4178539097743</v>
      </c>
      <c r="R19" s="307">
        <f>=SUM(R20:R25)</f>
        <v>13.3990186292311</v>
      </c>
      <c r="S19" s="307">
        <f>=SUM(S20:S25)</f>
        <v>0</v>
      </c>
      <c r="T19" s="307">
        <f>=SUM(T20:T25)</f>
        <v>0</v>
      </c>
      <c r="U19" s="307">
        <f>=SUM(U20:U25)</f>
        <v>0</v>
      </c>
      <c r="V19" s="307">
        <f>=SUM(V20:V25)</f>
        <v>0</v>
      </c>
      <c r="W19" s="307">
        <f>=SUM(W20:W25)</f>
        <v>0</v>
      </c>
      <c r="X19" s="307">
        <f>=SUM(X20:X25)</f>
        <v>0</v>
      </c>
      <c r="Y19" s="307">
        <f>=SUM(Y20:Y25)</f>
        <v>0</v>
      </c>
      <c r="Z19" s="307">
        <f>=SUM(Z20:Z25)</f>
        <v>0</v>
      </c>
      <c r="AA19" s="188" t="s">
        <v>660</v>
      </c>
    </row>
    <row r="20" spans="1:27" ht="12" customHeight="true">
      <c r="A20" s="297">
        <v>2.1</v>
      </c>
      <c r="B20" s="308" t="s">
        <v>661</v>
      </c>
      <c r="C20" s="303" t="s"/>
      <c r="D20" s="306">
        <f>=SUM(E20:Z20)</f>
        <v>0</v>
      </c>
      <c r="E20" s="307">
        <f>=E36+E46+E56+E66+E76+E86+E96+E106+E116+E126+E136+E146+E156+E166+E176</f>
        <v>0</v>
      </c>
      <c r="F20" s="307">
        <f>=F36+F46+F56+F66+F76+F86+F96+F106+F116+F126+F136+F146+F156+F166+F176</f>
        <v>0</v>
      </c>
      <c r="G20" s="307">
        <f>=G36+G46+G56+G66+G76+G86+G96+G106+G116+G126+G136+G146+G156+G166+G176</f>
        <v>0</v>
      </c>
      <c r="H20" s="307">
        <f>=H36+H46+H56+H66+H76+H86+H96+H106+H116+H126+H136+H146+H156+H166+H176</f>
        <v>0</v>
      </c>
      <c r="I20" s="307">
        <f>=I36+I46+I56+I66+I76+I86+I96+I106+I116+I126+I136+I146+I156+I166+I176</f>
        <v>0</v>
      </c>
      <c r="J20" s="307">
        <f>=J36+J46+J56+J66+J76+J86+J96+J106+J116+J126+J136+J146+J156+J166+J176</f>
        <v>0</v>
      </c>
      <c r="K20" s="307">
        <f>=K36+K46+K56+K66+K76+K86+K96+K106+K116+K126+K136+K146+K156+K166+K176</f>
        <v>0</v>
      </c>
      <c r="L20" s="307">
        <f>=L36+L46+L56+L66+L76+L86+L96+L106+L116+L126+L136+L146+L156+L166+L176</f>
        <v>0</v>
      </c>
      <c r="M20" s="307">
        <f>=M36+M46+M56+M66+M76+M86+M96+M106+M116+M126+M136+M146+M156+M166+M176</f>
        <v>0</v>
      </c>
      <c r="N20" s="307">
        <f>=N36+N46+N56+N66+N76+N86+N96+N106+N116+N126+N136+N146+N156+N166+N176</f>
        <v>0</v>
      </c>
      <c r="O20" s="307">
        <f>=O36+O46+O56+O66+O76+O86+O96+O106+O116+O126+O136+O146+O156+O166+O176</f>
        <v>0</v>
      </c>
      <c r="P20" s="307">
        <f>=P36+P46+P56+P66+P76+P86+P96+P106+P116+P126+P136+P146+P156+P166+P176</f>
        <v>0</v>
      </c>
      <c r="Q20" s="307">
        <f>=Q36+Q46+Q56+Q66+Q76+Q86+Q96+Q106+Q116+Q126+Q136+Q146+Q156+Q166+Q176</f>
        <v>0</v>
      </c>
      <c r="R20" s="307">
        <f>=R36+R46+R56+R66+R76+R86+R96+R106+R116+R126+R136+R146+R156+R166+R176</f>
        <v>0</v>
      </c>
      <c r="S20" s="307">
        <f>=S36+S46+S56+S66+S76+S86+S96+S106+S116+S126+S136+S146+S156+S166+S176</f>
        <v>0</v>
      </c>
      <c r="T20" s="307">
        <f>=T36+T46+T56+T66+T76+T86+T96+T106+T116+T126+T136+T146+T156+T166+T176</f>
        <v>0</v>
      </c>
      <c r="U20" s="307">
        <f>=U36+U46+U56+U66+U76+U86+U96+U106+U116+U126+U136+U146+U156+U166+U176</f>
        <v>0</v>
      </c>
      <c r="V20" s="307">
        <f>=V36+V46+V56+V66+V76+V86+V96+V106+V116+V126+V136+V146+V156+V166+V176</f>
        <v>0</v>
      </c>
      <c r="W20" s="307">
        <f>=W36+W46+W56+W66+W76+W86+W96+W106+W116+W126+W136+W146+W156+W166+W176</f>
        <v>0</v>
      </c>
      <c r="X20" s="307">
        <f>=X36+X46+X56+X66+X76+X86+X96+X106+X116+X126+X136+X146+X156+X166+X176</f>
        <v>0</v>
      </c>
      <c r="Y20" s="307">
        <f>=Y36+Y46+Y56+Y66+Y76+Y86+Y96+Y106+Y116+Y126+Y136+Y146+Y156+Y166+Y176</f>
        <v>0</v>
      </c>
      <c r="Z20" s="307">
        <f>=Z36+Z46+Z56+Z66+Z76+Z86+Z96+Z106+Z116+Z126+Z136+Z146+Z156+Z166+Z176</f>
        <v>0</v>
      </c>
      <c r="AA20" s="188" t="s">
        <v>662</v>
      </c>
    </row>
    <row r="21" spans="1:27" ht="12" customHeight="true">
      <c r="A21" s="297">
        <v>2.2</v>
      </c>
      <c r="B21" s="308" t="s">
        <v>663</v>
      </c>
      <c r="C21" s="303" t="s"/>
      <c r="D21" s="306">
        <f>=SUM(E21:Z21)</f>
        <v>27.5984701277951</v>
      </c>
      <c r="E21" s="307">
        <f>=(E$13+E$20)*辅助表1评估项目基础数据表!$F$4</f>
        <v>0</v>
      </c>
      <c r="F21" s="307">
        <f>=(F$13+F$20)*辅助表1评估项目基础数据表!$F$4</f>
        <v>0</v>
      </c>
      <c r="G21" s="307">
        <f>=(G$13+G$20)*辅助表1评估项目基础数据表!$F$4</f>
        <v>0</v>
      </c>
      <c r="H21" s="307">
        <f>=(H$13+H$20)*辅助表1评估项目基础数据表!$F$4</f>
        <v>0</v>
      </c>
      <c r="I21" s="307">
        <f>=(I$13+I$20)*辅助表1评估项目基础数据表!$F$4</f>
        <v>0</v>
      </c>
      <c r="J21" s="307">
        <f>=(J$13+J$20)*辅助表1评估项目基础数据表!$F$4</f>
        <v>0</v>
      </c>
      <c r="K21" s="307">
        <f>=(K$13+K$20)*辅助表1评估项目基础数据表!$F$4</f>
        <v>0</v>
      </c>
      <c r="L21" s="307">
        <f>=(L$13+L$20)*辅助表1评估项目基础数据表!$F$4</f>
        <v>0</v>
      </c>
      <c r="M21" s="307">
        <f>=(M$13+M$20)*辅助表1评估项目基础数据表!$F$4</f>
        <v>0</v>
      </c>
      <c r="N21" s="307">
        <f>=(N$13+N$20)*辅助表1评估项目基础数据表!$F$4</f>
        <v>0.743927027703427</v>
      </c>
      <c r="O21" s="307">
        <f>=(O$13+O$20)*辅助表1评估项目基础数据表!$F$4</f>
        <v>6.72776223543029</v>
      </c>
      <c r="P21" s="307">
        <f>=(P$13+P$20)*辅助表1评估项目基础数据表!$F$4</f>
        <v>6.71834459515871</v>
      </c>
      <c r="Q21" s="307">
        <f>=(Q$13+Q$20)*辅助表1评估项目基础数据表!$F$4</f>
        <v>6.70892695488713</v>
      </c>
      <c r="R21" s="307">
        <f>=(R$13+R$20)*辅助表1评估项目基础数据表!$F$4</f>
        <v>6.69950931461556</v>
      </c>
      <c r="S21" s="307">
        <f>=(S$13+S$20)*辅助表1评估项目基础数据表!$F$4</f>
        <v>0</v>
      </c>
      <c r="T21" s="307">
        <f>=(T$13+T$20)*辅助表1评估项目基础数据表!$F$4</f>
        <v>0</v>
      </c>
      <c r="U21" s="307">
        <f>=(U$13+U$20)*辅助表1评估项目基础数据表!$F$4</f>
        <v>0</v>
      </c>
      <c r="V21" s="307">
        <f>=(V$13+V$20)*辅助表1评估项目基础数据表!$F$4</f>
        <v>0</v>
      </c>
      <c r="W21" s="307">
        <f>=(W$13+W$20)*辅助表1评估项目基础数据表!$F$4</f>
        <v>0</v>
      </c>
      <c r="X21" s="307">
        <f>=(X$13+X$20)*辅助表1评估项目基础数据表!$F$4</f>
        <v>0</v>
      </c>
      <c r="Y21" s="307">
        <f>=(Y$13+Y$20)*辅助表1评估项目基础数据表!$F$4</f>
        <v>0</v>
      </c>
      <c r="Z21" s="307">
        <f>=(Z$13+Z$20)*辅助表1评估项目基础数据表!$F$4</f>
        <v>0</v>
      </c>
      <c r="AA21" s="188" t="s">
        <v>664</v>
      </c>
    </row>
    <row r="22" spans="1:27" ht="12" customHeight="true">
      <c r="A22" s="297">
        <v>2.3</v>
      </c>
      <c r="B22" s="308" t="s">
        <v>665</v>
      </c>
      <c r="C22" s="303" t="s"/>
      <c r="D22" s="306">
        <f>=SUM(E22:Z22)</f>
        <v>27.5984701277951</v>
      </c>
      <c r="E22" s="307">
        <f>=(E$13+E$20)*辅助表1评估项目基础数据表!$F$5</f>
        <v>0</v>
      </c>
      <c r="F22" s="307">
        <f>=(F$13+F$20)*辅助表1评估项目基础数据表!$F$5</f>
        <v>0</v>
      </c>
      <c r="G22" s="307">
        <f>=(G$13+G$20)*辅助表1评估项目基础数据表!$F$5</f>
        <v>0</v>
      </c>
      <c r="H22" s="307">
        <f>=(H$13+H$20)*辅助表1评估项目基础数据表!$F$5</f>
        <v>0</v>
      </c>
      <c r="I22" s="307">
        <f>=(I$13+I$20)*辅助表1评估项目基础数据表!$F$5</f>
        <v>0</v>
      </c>
      <c r="J22" s="307">
        <f>=(J$13+J$20)*辅助表1评估项目基础数据表!$F$5</f>
        <v>0</v>
      </c>
      <c r="K22" s="307">
        <f>=(K$13+K$20)*辅助表1评估项目基础数据表!$F$5</f>
        <v>0</v>
      </c>
      <c r="L22" s="307">
        <f>=(L$13+L$20)*辅助表1评估项目基础数据表!$F$5</f>
        <v>0</v>
      </c>
      <c r="M22" s="307">
        <f>=(M$13+M$20)*辅助表1评估项目基础数据表!$F$5</f>
        <v>0</v>
      </c>
      <c r="N22" s="307">
        <f>=(N$13+N$20)*辅助表1评估项目基础数据表!$F$5</f>
        <v>0.743927027703427</v>
      </c>
      <c r="O22" s="307">
        <f>=(O$13+O$20)*辅助表1评估项目基础数据表!$F$5</f>
        <v>6.72776223543029</v>
      </c>
      <c r="P22" s="307">
        <f>=(P$13+P$20)*辅助表1评估项目基础数据表!$F$5</f>
        <v>6.71834459515871</v>
      </c>
      <c r="Q22" s="307">
        <f>=(Q$13+Q$20)*辅助表1评估项目基础数据表!$F$5</f>
        <v>6.70892695488713</v>
      </c>
      <c r="R22" s="307">
        <f>=(R$13+R$20)*辅助表1评估项目基础数据表!$F$5</f>
        <v>6.69950931461556</v>
      </c>
      <c r="S22" s="307">
        <f>=(S$13+S$20)*辅助表1评估项目基础数据表!$F$5</f>
        <v>0</v>
      </c>
      <c r="T22" s="307">
        <f>=(T$13+T$20)*辅助表1评估项目基础数据表!$F$5</f>
        <v>0</v>
      </c>
      <c r="U22" s="307">
        <f>=(U$13+U$20)*辅助表1评估项目基础数据表!$F$5</f>
        <v>0</v>
      </c>
      <c r="V22" s="307">
        <f>=(V$13+V$20)*辅助表1评估项目基础数据表!$F$5</f>
        <v>0</v>
      </c>
      <c r="W22" s="307">
        <f>=(W$13+W$20)*辅助表1评估项目基础数据表!$F$5</f>
        <v>0</v>
      </c>
      <c r="X22" s="307">
        <f>=(X$13+X$20)*辅助表1评估项目基础数据表!$F$5</f>
        <v>0</v>
      </c>
      <c r="Y22" s="307">
        <f>=(Y$13+Y$20)*辅助表1评估项目基础数据表!$F$5</f>
        <v>0</v>
      </c>
      <c r="Z22" s="307">
        <f>=(Z$13+Z$20)*辅助表1评估项目基础数据表!$F$5</f>
        <v>0</v>
      </c>
      <c r="AA22" s="188" t="s">
        <v>664</v>
      </c>
    </row>
    <row r="23" spans="1:27" ht="12" customHeight="true">
      <c r="A23" s="297">
        <v>2.4</v>
      </c>
      <c r="B23" s="308" t="s">
        <v>666</v>
      </c>
      <c r="C23" s="303" t="s"/>
      <c r="D23" s="306">
        <f>=SUM(E23:Z23)</f>
        <v>0</v>
      </c>
      <c r="E23" s="312" t="s"/>
      <c r="F23" s="312" t="s"/>
      <c r="G23" s="312" t="s"/>
      <c r="H23" s="312" t="s"/>
      <c r="I23" s="312" t="s"/>
      <c r="J23" s="312" t="s"/>
      <c r="K23" s="312" t="s"/>
      <c r="L23" s="312" t="s"/>
      <c r="M23" s="312" t="s"/>
      <c r="N23" s="312" t="s"/>
      <c r="O23" s="312" t="s"/>
      <c r="P23" s="312" t="s"/>
      <c r="Q23" s="312" t="s"/>
      <c r="R23" s="312" t="s"/>
      <c r="S23" s="312" t="s"/>
      <c r="T23" s="312" t="s"/>
      <c r="U23" s="312" t="s"/>
      <c r="V23" s="312" t="s"/>
      <c r="W23" s="312" t="s"/>
      <c r="X23" s="312" t="s"/>
      <c r="Y23" s="312" t="s"/>
      <c r="Z23" s="312" t="s"/>
      <c r="AA23" s="188" t="s">
        <v>667</v>
      </c>
    </row>
    <row r="24" spans="1:27" ht="12" customHeight="true">
      <c r="A24" s="297">
        <v>2.5</v>
      </c>
      <c r="B24" s="308" t="s">
        <v>668</v>
      </c>
      <c r="C24" s="303" t="s"/>
      <c r="D24" s="306">
        <f>=SUM(E24:Z24)</f>
        <v>0</v>
      </c>
      <c r="E24" s="312" t="s"/>
      <c r="F24" s="312" t="s"/>
      <c r="G24" s="312" t="s"/>
      <c r="H24" s="312" t="s"/>
      <c r="I24" s="312" t="s"/>
      <c r="J24" s="312" t="s"/>
      <c r="K24" s="312" t="s"/>
      <c r="L24" s="312" t="s"/>
      <c r="M24" s="312" t="s"/>
      <c r="N24" s="312" t="s"/>
      <c r="O24" s="312" t="s"/>
      <c r="P24" s="312" t="s"/>
      <c r="Q24" s="312" t="s"/>
      <c r="R24" s="312" t="s"/>
      <c r="S24" s="312" t="s"/>
      <c r="T24" s="312" t="s"/>
      <c r="U24" s="312" t="s"/>
      <c r="V24" s="312" t="s"/>
      <c r="W24" s="312" t="s"/>
      <c r="X24" s="312" t="s"/>
      <c r="Y24" s="312" t="s"/>
      <c r="Z24" s="312" t="s"/>
      <c r="AA24" s="188" t="s">
        <v>667</v>
      </c>
    </row>
    <row r="25" spans="1:27" ht="12" customHeight="true">
      <c r="A25" s="297">
        <v>2.6</v>
      </c>
      <c r="B25" s="308" t="s">
        <v>669</v>
      </c>
      <c r="C25" s="303" t="s"/>
      <c r="D25" s="306">
        <f>=SUM(E25:Z25)</f>
        <v>0</v>
      </c>
      <c r="E25" s="312" t="s"/>
      <c r="F25" s="312" t="s"/>
      <c r="G25" s="312" t="s"/>
      <c r="H25" s="312" t="s"/>
      <c r="I25" s="312" t="s"/>
      <c r="J25" s="312" t="s"/>
      <c r="K25" s="312" t="s"/>
      <c r="L25" s="312" t="s"/>
      <c r="M25" s="312" t="s"/>
      <c r="N25" s="312" t="s"/>
      <c r="O25" s="312" t="s"/>
      <c r="P25" s="312" t="s"/>
      <c r="Q25" s="312" t="s"/>
      <c r="R25" s="312" t="s"/>
      <c r="S25" s="312" t="s"/>
      <c r="T25" s="312" t="s"/>
      <c r="U25" s="312" t="s"/>
      <c r="V25" s="312" t="s"/>
      <c r="W25" s="312" t="s"/>
      <c r="X25" s="312" t="s"/>
      <c r="Y25" s="312" t="s"/>
      <c r="Z25" s="312" t="s"/>
      <c r="AA25" s="188" t="s">
        <v>667</v>
      </c>
    </row>
    <row r="26" spans="1:26" ht="12" customHeight="true">
      <c r="A26" s="297" t="s">
        <v>469</v>
      </c>
      <c r="B26" s="308" t="s">
        <v>670</v>
      </c>
      <c r="C26" s="303" t="s"/>
      <c r="D26" s="310" t="s"/>
      <c r="E26" s="313" t="s"/>
      <c r="F26" s="313" t="s"/>
      <c r="G26" s="313" t="s"/>
      <c r="H26" s="313" t="s"/>
      <c r="I26" s="313" t="s"/>
      <c r="J26" s="313" t="s"/>
      <c r="K26" s="313" t="s"/>
      <c r="L26" s="313" t="s"/>
      <c r="M26" s="313" t="s"/>
      <c r="N26" s="313" t="s"/>
      <c r="O26" s="313" t="s"/>
      <c r="P26" s="313" t="s"/>
      <c r="Q26" s="313" t="s"/>
      <c r="R26" s="313" t="s"/>
      <c r="S26" s="313" t="s"/>
      <c r="T26" s="313" t="s"/>
      <c r="U26" s="313" t="s"/>
      <c r="V26" s="313" t="s"/>
      <c r="W26" s="313" t="s"/>
      <c r="X26" s="313" t="s"/>
      <c r="Y26" s="313" t="s"/>
      <c r="Z26" s="313" t="s"/>
    </row>
    <row r="27" spans="1:26" ht="12" customHeight="true">
      <c r="A27" s="314">
        <v>1</v>
      </c>
      <c r="B27" s="315" t="s">
        <v>671</v>
      </c>
      <c r="C27" s="315" t="s"/>
      <c r="D27" s="316" t="s">
        <v>672</v>
      </c>
      <c r="E27" s="300" t="s"/>
      <c r="F27" s="300" t="s"/>
      <c r="G27" s="317" t="s"/>
      <c r="H27" s="300" t="s"/>
      <c r="I27" s="300" t="s"/>
      <c r="J27" s="300" t="s"/>
      <c r="K27" s="300" t="s"/>
      <c r="L27" s="300" t="s"/>
      <c r="M27" s="300" t="s"/>
      <c r="N27" s="300" t="s"/>
      <c r="O27" s="300" t="s"/>
      <c r="P27" s="300" t="s"/>
      <c r="Q27" s="300" t="s"/>
      <c r="R27" s="300" t="s"/>
      <c r="S27" s="300" t="s"/>
      <c r="T27" s="300" t="s"/>
      <c r="U27" s="300" t="s"/>
      <c r="V27" s="300" t="s"/>
      <c r="W27" s="300" t="s"/>
      <c r="X27" s="300" t="s"/>
      <c r="Y27" s="300" t="s"/>
      <c r="Z27" s="300" t="s"/>
    </row>
    <row r="28" spans="1:27" ht="12" customHeight="true">
      <c r="A28" s="314" t="s"/>
      <c r="B28" s="318" t="s">
        <v>673</v>
      </c>
      <c r="C28" s="319" t="s"/>
      <c r="D28" s="320" t="s">
        <v>674</v>
      </c>
      <c r="E28" s="321" t="s"/>
      <c r="F28" s="321" t="s"/>
      <c r="G28" s="322">
        <f>=0.57*辅助表7单因素敏感性分析表!N11</f>
        <v>0.57</v>
      </c>
      <c r="H28" s="321">
        <f>=G28</f>
        <v>0.57</v>
      </c>
      <c r="I28" s="321">
        <f>=H28</f>
        <v>0.57</v>
      </c>
      <c r="J28" s="321">
        <f>=I28</f>
        <v>0.57</v>
      </c>
      <c r="K28" s="321">
        <f>=J28</f>
        <v>0.57</v>
      </c>
      <c r="L28" s="321">
        <f>=K28</f>
        <v>0.57</v>
      </c>
      <c r="M28" s="321">
        <f>=L28</f>
        <v>0.57</v>
      </c>
      <c r="N28" s="321">
        <f>=M28</f>
        <v>0.57</v>
      </c>
      <c r="O28" s="321">
        <f>=N28</f>
        <v>0.57</v>
      </c>
      <c r="P28" s="321">
        <f>=O28</f>
        <v>0.57</v>
      </c>
      <c r="Q28" s="321">
        <f>=P28</f>
        <v>0.57</v>
      </c>
      <c r="R28" s="321">
        <f>=Q28</f>
        <v>0.57</v>
      </c>
      <c r="S28" s="321">
        <f>=R28</f>
        <v>0.57</v>
      </c>
      <c r="T28" s="321">
        <f>=S28</f>
        <v>0.57</v>
      </c>
      <c r="U28" s="321">
        <f>=T28</f>
        <v>0.57</v>
      </c>
      <c r="V28" s="321" t="s"/>
      <c r="W28" s="321" t="s"/>
      <c r="X28" s="321" t="s"/>
      <c r="Y28" s="321" t="s"/>
      <c r="Z28" s="321" t="s"/>
      <c r="AA28" s="188" t="s">
        <v>675</v>
      </c>
    </row>
    <row r="29" spans="1:26" ht="12" customHeight="true">
      <c r="A29" s="314" t="s"/>
      <c r="B29" s="323" t="s">
        <v>534</v>
      </c>
      <c r="C29" s="324">
        <f>=IF($D28="美元",辅助表1评估项目基础数据表!$C$17,IF($D28="其他外币",辅助表1评估项目基础数据表!$C$18,1))</f>
        <v>1</v>
      </c>
      <c r="D29" s="300" t="s"/>
      <c r="E29" s="325">
        <f>=$C29</f>
        <v>1</v>
      </c>
      <c r="F29" s="325">
        <f>=$C29</f>
        <v>1</v>
      </c>
      <c r="G29" s="325">
        <f>=$C29</f>
        <v>1</v>
      </c>
      <c r="H29" s="325">
        <f>=$C29</f>
        <v>1</v>
      </c>
      <c r="I29" s="325">
        <f>=$C29</f>
        <v>1</v>
      </c>
      <c r="J29" s="325">
        <f>=$C29</f>
        <v>1</v>
      </c>
      <c r="K29" s="325">
        <f>=$C29</f>
        <v>1</v>
      </c>
      <c r="L29" s="325">
        <f>=$C29</f>
        <v>1</v>
      </c>
      <c r="M29" s="325">
        <f>=$C29</f>
        <v>1</v>
      </c>
      <c r="N29" s="325">
        <f>=$C29</f>
        <v>1</v>
      </c>
      <c r="O29" s="325">
        <f>=$C29</f>
        <v>1</v>
      </c>
      <c r="P29" s="325">
        <f>=$C29</f>
        <v>1</v>
      </c>
      <c r="Q29" s="325">
        <f>=$C29</f>
        <v>1</v>
      </c>
      <c r="R29" s="325">
        <f>=$C29</f>
        <v>1</v>
      </c>
      <c r="S29" s="325">
        <f>=$C29</f>
        <v>1</v>
      </c>
      <c r="T29" s="325">
        <f>=$C29</f>
        <v>1</v>
      </c>
      <c r="U29" s="325">
        <f>=$C29</f>
        <v>1</v>
      </c>
      <c r="V29" s="325">
        <f>=$C29</f>
        <v>1</v>
      </c>
      <c r="W29" s="325">
        <f>=$C29</f>
        <v>1</v>
      </c>
      <c r="X29" s="325">
        <f>=$C29</f>
        <v>1</v>
      </c>
      <c r="Y29" s="325">
        <f>=$C29</f>
        <v>1</v>
      </c>
      <c r="Z29" s="325">
        <f>=$C29</f>
        <v>1</v>
      </c>
    </row>
    <row r="30" spans="1:26" ht="12" customHeight="true">
      <c r="A30" s="314" t="s"/>
      <c r="B30" s="326" t="s">
        <v>676</v>
      </c>
      <c r="C30" s="327" t="s"/>
      <c r="D30" s="310" t="s"/>
      <c r="E30" s="328">
        <f>=E28*E29</f>
        <v>0</v>
      </c>
      <c r="F30" s="328">
        <f>=F28*F29</f>
        <v>0</v>
      </c>
      <c r="G30" s="328">
        <f>=G28*G29</f>
        <v>0.57</v>
      </c>
      <c r="H30" s="328">
        <f>=H28*H29</f>
        <v>0.57</v>
      </c>
      <c r="I30" s="328">
        <f>=I28*I29</f>
        <v>0.57</v>
      </c>
      <c r="J30" s="328">
        <f>=J28*J29</f>
        <v>0.57</v>
      </c>
      <c r="K30" s="328">
        <f>=K28*K29</f>
        <v>0.57</v>
      </c>
      <c r="L30" s="328">
        <f>=L28*L29</f>
        <v>0.57</v>
      </c>
      <c r="M30" s="328">
        <f>=M28*M29</f>
        <v>0.57</v>
      </c>
      <c r="N30" s="328">
        <f>=N28*N29</f>
        <v>0.57</v>
      </c>
      <c r="O30" s="328">
        <f>=O28*O29</f>
        <v>0.57</v>
      </c>
      <c r="P30" s="328">
        <f>=P28*P29</f>
        <v>0.57</v>
      </c>
      <c r="Q30" s="328">
        <f>=Q28*Q29</f>
        <v>0.57</v>
      </c>
      <c r="R30" s="328">
        <f>=R28*R29</f>
        <v>0.57</v>
      </c>
      <c r="S30" s="328">
        <f>=S28*S29</f>
        <v>0.57</v>
      </c>
      <c r="T30" s="328">
        <f>=T28*T29</f>
        <v>0.57</v>
      </c>
      <c r="U30" s="328">
        <f>=U28*U29</f>
        <v>0.57</v>
      </c>
      <c r="V30" s="328">
        <f>=V28*V29</f>
        <v>0</v>
      </c>
      <c r="W30" s="328">
        <f>=W28*W29</f>
        <v>0</v>
      </c>
      <c r="X30" s="328">
        <f>=X28*X29</f>
        <v>0</v>
      </c>
      <c r="Y30" s="328">
        <f>=Y28*Y29</f>
        <v>0</v>
      </c>
      <c r="Z30" s="328">
        <f>=Z28*Z29</f>
        <v>0</v>
      </c>
    </row>
    <row r="31" spans="1:27" ht="12" customHeight="true">
      <c r="A31" s="314" t="s"/>
      <c r="B31" s="329" t="s">
        <v>677</v>
      </c>
      <c r="C31" s="330" t="s">
        <v>678</v>
      </c>
      <c r="D31" s="306">
        <f>=SUM(E31:Z31)</f>
        <v>7906.769895024</v>
      </c>
      <c r="E31" s="321">
        <f>=5885*3.34*180/10000*E6</f>
        <v>0</v>
      </c>
      <c r="F31" s="321">
        <f>=5767.3*3.34*360/10000*F6</f>
        <v>0</v>
      </c>
      <c r="G31" s="331">
        <f>=(5956*3.349*180*G6)/10000</f>
        <v>355.44919608</v>
      </c>
      <c r="H31" s="331">
        <f>=(5956*3.349*360*H6)/10000</f>
        <v>700.845283584</v>
      </c>
      <c r="I31" s="331">
        <f>=(5956*3.349*360*I6)/10000</f>
        <v>697.972966848</v>
      </c>
      <c r="J31" s="331">
        <f>=(5956*3.349*360*J6)/10000</f>
        <v>695.100650112</v>
      </c>
      <c r="K31" s="331">
        <f>=(5956*3.349*360*K6)/10000</f>
        <v>692.228333376</v>
      </c>
      <c r="L31" s="331">
        <f>=(5956*3.349*360*L6)/10000</f>
        <v>689.35601664</v>
      </c>
      <c r="M31" s="331">
        <f>=(5956*3.349*360*M6)/10000</f>
        <v>686.483699904</v>
      </c>
      <c r="N31" s="331">
        <f>=(5956*3.349*360*N6)/10000</f>
        <v>683.611383168</v>
      </c>
      <c r="O31" s="331">
        <f>=(5956*3.349*360*O6)/10000</f>
        <v>680.739066432</v>
      </c>
      <c r="P31" s="331">
        <f>=(5956*3.349*360*P6)/10000</f>
        <v>677.866749696</v>
      </c>
      <c r="Q31" s="331">
        <f>=(5956*3.349*360*Q6)/10000</f>
        <v>674.99443296</v>
      </c>
      <c r="R31" s="331">
        <f>=(5956*3.349*360*R6)/10000</f>
        <v>672.122116224</v>
      </c>
      <c r="S31" s="331" t="s"/>
      <c r="T31" s="331" t="s"/>
      <c r="U31" s="331" t="s"/>
      <c r="V31" s="332" t="s"/>
      <c r="W31" s="332" t="s"/>
      <c r="X31" s="332" t="s"/>
      <c r="Y31" s="332" t="s"/>
      <c r="Z31" s="332" t="s"/>
      <c r="AA31" s="188" t="s">
        <v>679</v>
      </c>
    </row>
    <row r="32" spans="1:27" ht="12" customHeight="true">
      <c r="A32" s="314" t="s"/>
      <c r="B32" s="333" t="s">
        <v>680</v>
      </c>
      <c r="C32" s="333" t="s"/>
      <c r="D32" s="306">
        <f>=SUM(E32:Z32)</f>
        <v>4506.85884016368</v>
      </c>
      <c r="E32" s="306">
        <f>=E30*E31</f>
        <v>0</v>
      </c>
      <c r="F32" s="306">
        <f>=F30*F31</f>
        <v>0</v>
      </c>
      <c r="G32" s="306">
        <f>=G30*G31</f>
        <v>202.6060417656</v>
      </c>
      <c r="H32" s="306">
        <f>=H30*H31</f>
        <v>399.48181164288</v>
      </c>
      <c r="I32" s="306">
        <f>=I30*I31</f>
        <v>397.84459110336</v>
      </c>
      <c r="J32" s="306">
        <f>=J30*J31</f>
        <v>396.20737056384</v>
      </c>
      <c r="K32" s="306">
        <f>=K30*K31</f>
        <v>394.57015002432</v>
      </c>
      <c r="L32" s="306">
        <f>=L30*L31</f>
        <v>392.9329294848</v>
      </c>
      <c r="M32" s="306">
        <f>=M30*M31</f>
        <v>391.29570894528</v>
      </c>
      <c r="N32" s="306">
        <f>=N30*N31</f>
        <v>389.65848840576</v>
      </c>
      <c r="O32" s="306">
        <f>=O30*O31</f>
        <v>388.02126786624</v>
      </c>
      <c r="P32" s="306">
        <f>=P30*P31</f>
        <v>386.38404732672</v>
      </c>
      <c r="Q32" s="306">
        <f>=Q30*Q31</f>
        <v>384.7468267872</v>
      </c>
      <c r="R32" s="306">
        <f>=R30*R31</f>
        <v>383.10960624768</v>
      </c>
      <c r="S32" s="306">
        <f>=S30*S31</f>
        <v>0</v>
      </c>
      <c r="T32" s="306">
        <f>=T30*T31</f>
        <v>0</v>
      </c>
      <c r="U32" s="306">
        <f>=U30*U31</f>
        <v>0</v>
      </c>
      <c r="V32" s="306">
        <f>=V30*V31</f>
        <v>0</v>
      </c>
      <c r="W32" s="306">
        <f>=W30*W31</f>
        <v>0</v>
      </c>
      <c r="X32" s="306">
        <f>=X30*X31</f>
        <v>0</v>
      </c>
      <c r="Y32" s="306">
        <f>=Y30*Y31</f>
        <v>0</v>
      </c>
      <c r="Z32" s="306">
        <f>=Z30*Z31</f>
        <v>0</v>
      </c>
      <c r="AA32" s="188" t="s">
        <v>681</v>
      </c>
    </row>
    <row r="33" spans="1:26" ht="12" customHeight="true">
      <c r="A33" s="314" t="s"/>
      <c r="B33" s="334" t="s">
        <v>682</v>
      </c>
      <c r="C33" s="335">
        <v>0.13</v>
      </c>
      <c r="D33" s="310" t="s"/>
      <c r="E33" s="336">
        <f>=$C33</f>
        <v>0.13</v>
      </c>
      <c r="F33" s="336">
        <f>=$C33</f>
        <v>0.13</v>
      </c>
      <c r="G33" s="336">
        <f>=$C33</f>
        <v>0.13</v>
      </c>
      <c r="H33" s="336">
        <f>=$C33</f>
        <v>0.13</v>
      </c>
      <c r="I33" s="336">
        <f>=$C33</f>
        <v>0.13</v>
      </c>
      <c r="J33" s="336">
        <f>=$C33</f>
        <v>0.13</v>
      </c>
      <c r="K33" s="336">
        <f>=$C33</f>
        <v>0.13</v>
      </c>
      <c r="L33" s="336">
        <f>=$C33</f>
        <v>0.13</v>
      </c>
      <c r="M33" s="336">
        <f>=$C33</f>
        <v>0.13</v>
      </c>
      <c r="N33" s="336">
        <f>=$C33</f>
        <v>0.13</v>
      </c>
      <c r="O33" s="336">
        <f>=$C33</f>
        <v>0.13</v>
      </c>
      <c r="P33" s="336">
        <f>=$C33</f>
        <v>0.13</v>
      </c>
      <c r="Q33" s="336">
        <f>=$C33</f>
        <v>0.13</v>
      </c>
      <c r="R33" s="336">
        <f>=$C33</f>
        <v>0.13</v>
      </c>
      <c r="S33" s="336">
        <f>=$C33</f>
        <v>0.13</v>
      </c>
      <c r="T33" s="336">
        <f>=$C33</f>
        <v>0.13</v>
      </c>
      <c r="U33" s="336">
        <f>=$C33</f>
        <v>0.13</v>
      </c>
      <c r="V33" s="336">
        <f>=$C33</f>
        <v>0.13</v>
      </c>
      <c r="W33" s="336">
        <f>=$C33</f>
        <v>0.13</v>
      </c>
      <c r="X33" s="336">
        <f>=$C33</f>
        <v>0.13</v>
      </c>
      <c r="Y33" s="336">
        <f>=$C33</f>
        <v>0.13</v>
      </c>
      <c r="Z33" s="336">
        <f>=$C33</f>
        <v>0.13</v>
      </c>
    </row>
    <row r="34" spans="1:26" ht="12" customHeight="true">
      <c r="A34" s="314" t="s"/>
      <c r="B34" s="334" t="s">
        <v>654</v>
      </c>
      <c r="C34" s="310" t="s"/>
      <c r="D34" s="306">
        <f>=SUM(E34:Z34)</f>
        <v>518.488185151574</v>
      </c>
      <c r="E34" s="306">
        <f>=E32*E33/(1+E33)</f>
        <v>0</v>
      </c>
      <c r="F34" s="306">
        <f>=F32*F33/(1+F33)</f>
        <v>0</v>
      </c>
      <c r="G34" s="306">
        <f>=G32*G33/(1+G33)</f>
        <v>23.3086596721487</v>
      </c>
      <c r="H34" s="306">
        <f>=H32*H33/(1+H33)</f>
        <v>45.9580845252871</v>
      </c>
      <c r="I34" s="306">
        <f>=I32*I33/(1+I33)</f>
        <v>45.7697317198556</v>
      </c>
      <c r="J34" s="306">
        <f>=J32*J33/(1+J33)</f>
        <v>45.5813789144241</v>
      </c>
      <c r="K34" s="306">
        <f>=K32*K33/(1+K33)</f>
        <v>45.3930261089926</v>
      </c>
      <c r="L34" s="306">
        <f>=L32*L33/(1+L33)</f>
        <v>45.2046733035611</v>
      </c>
      <c r="M34" s="306">
        <f>=M32*M33/(1+M33)</f>
        <v>45.0163204981296</v>
      </c>
      <c r="N34" s="306">
        <f>=N32*N33/(1+N33)</f>
        <v>44.8279676926981</v>
      </c>
      <c r="O34" s="306">
        <f>=O32*O33/(1+O33)</f>
        <v>44.6396148872666</v>
      </c>
      <c r="P34" s="306">
        <f>=P32*P33/(1+P33)</f>
        <v>44.4512620818351</v>
      </c>
      <c r="Q34" s="306">
        <f>=Q32*Q33/(1+Q33)</f>
        <v>44.2629092764036</v>
      </c>
      <c r="R34" s="306">
        <f>=R32*R33/(1+R33)</f>
        <v>44.074556470972</v>
      </c>
      <c r="S34" s="306">
        <f>=S32*S33/(1+S33)</f>
        <v>0</v>
      </c>
      <c r="T34" s="306">
        <f>=T32*T33/(1+T33)</f>
        <v>0</v>
      </c>
      <c r="U34" s="306">
        <f>=U32*U33/(1+U33)</f>
        <v>0</v>
      </c>
      <c r="V34" s="306">
        <f>=V32*V33/(1+V33)</f>
        <v>0</v>
      </c>
      <c r="W34" s="306">
        <f>=W32*W33/(1+W33)</f>
        <v>0</v>
      </c>
      <c r="X34" s="306">
        <f>=X32*X33/(1+X33)</f>
        <v>0</v>
      </c>
      <c r="Y34" s="306">
        <f>=Y32*Y33/(1+Y33)</f>
        <v>0</v>
      </c>
      <c r="Z34" s="306">
        <f>=Z32*Z33/(1+Z33)</f>
        <v>0</v>
      </c>
    </row>
    <row r="35" spans="1:26" ht="12" customHeight="true">
      <c r="A35" s="314" t="s"/>
      <c r="B35" s="334" t="s">
        <v>683</v>
      </c>
      <c r="C35" s="310" t="s"/>
      <c r="D35" s="310" t="s"/>
      <c r="E35" s="336">
        <f>=$C35</f>
        <v>0</v>
      </c>
      <c r="F35" s="336">
        <f>=$C35</f>
        <v>0</v>
      </c>
      <c r="G35" s="336">
        <f>=$C35</f>
        <v>0</v>
      </c>
      <c r="H35" s="336">
        <f>=$C35</f>
        <v>0</v>
      </c>
      <c r="I35" s="336">
        <f>=$C35</f>
        <v>0</v>
      </c>
      <c r="J35" s="336">
        <f>=$C35</f>
        <v>0</v>
      </c>
      <c r="K35" s="336">
        <f>=$C35</f>
        <v>0</v>
      </c>
      <c r="L35" s="336">
        <f>=$C35</f>
        <v>0</v>
      </c>
      <c r="M35" s="336">
        <f>=$C35</f>
        <v>0</v>
      </c>
      <c r="N35" s="336">
        <f>=$C35</f>
        <v>0</v>
      </c>
      <c r="O35" s="336">
        <f>=$C35</f>
        <v>0</v>
      </c>
      <c r="P35" s="336">
        <f>=$C35</f>
        <v>0</v>
      </c>
      <c r="Q35" s="336">
        <f>=$C35</f>
        <v>0</v>
      </c>
      <c r="R35" s="336">
        <f>=$C35</f>
        <v>0</v>
      </c>
      <c r="S35" s="336">
        <f>=$C35</f>
        <v>0</v>
      </c>
      <c r="T35" s="336">
        <f>=$C35</f>
        <v>0</v>
      </c>
      <c r="U35" s="336">
        <f>=$C35</f>
        <v>0</v>
      </c>
      <c r="V35" s="336">
        <f>=$C35</f>
        <v>0</v>
      </c>
      <c r="W35" s="336">
        <f>=$C35</f>
        <v>0</v>
      </c>
      <c r="X35" s="336">
        <f>=$C35</f>
        <v>0</v>
      </c>
      <c r="Y35" s="336">
        <f>=$C35</f>
        <v>0</v>
      </c>
      <c r="Z35" s="336">
        <f>=$C35</f>
        <v>0</v>
      </c>
    </row>
    <row r="36" spans="1:26" ht="12" customHeight="true">
      <c r="A36" s="314" t="s"/>
      <c r="B36" s="334" t="s">
        <v>684</v>
      </c>
      <c r="C36" s="337" t="s"/>
      <c r="D36" s="306">
        <f>=SUM(E36:Z36)</f>
        <v>0</v>
      </c>
      <c r="E36" s="306">
        <f>=E32*E35</f>
        <v>0</v>
      </c>
      <c r="F36" s="306">
        <f>=F32*F35</f>
        <v>0</v>
      </c>
      <c r="G36" s="306">
        <f>=G32*G35</f>
        <v>0</v>
      </c>
      <c r="H36" s="306">
        <f>=H32*H35</f>
        <v>0</v>
      </c>
      <c r="I36" s="306">
        <f>=I32*I35</f>
        <v>0</v>
      </c>
      <c r="J36" s="306">
        <f>=J32*J35</f>
        <v>0</v>
      </c>
      <c r="K36" s="306">
        <f>=K32*K35</f>
        <v>0</v>
      </c>
      <c r="L36" s="306">
        <f>=L32*L35</f>
        <v>0</v>
      </c>
      <c r="M36" s="306">
        <f>=M32*M35</f>
        <v>0</v>
      </c>
      <c r="N36" s="306">
        <f>=N32*N35</f>
        <v>0</v>
      </c>
      <c r="O36" s="306">
        <f>=O32*O35</f>
        <v>0</v>
      </c>
      <c r="P36" s="306">
        <f>=P32*P35</f>
        <v>0</v>
      </c>
      <c r="Q36" s="306">
        <f>=Q32*Q35</f>
        <v>0</v>
      </c>
      <c r="R36" s="306">
        <f>=R32*R35</f>
        <v>0</v>
      </c>
      <c r="S36" s="306">
        <f>=S32*S35</f>
        <v>0</v>
      </c>
      <c r="T36" s="306">
        <f>=T32*T35</f>
        <v>0</v>
      </c>
      <c r="U36" s="306">
        <f>=U32*U35</f>
        <v>0</v>
      </c>
      <c r="V36" s="306">
        <f>=V32*V35</f>
        <v>0</v>
      </c>
      <c r="W36" s="306">
        <f>=W32*W35</f>
        <v>0</v>
      </c>
      <c r="X36" s="306">
        <f>=X32*X35</f>
        <v>0</v>
      </c>
      <c r="Y36" s="306">
        <f>=Y32*Y35</f>
        <v>0</v>
      </c>
      <c r="Z36" s="306">
        <f>=Z32*Z35</f>
        <v>0</v>
      </c>
    </row>
    <row r="37" spans="1:26" s="707" customFormat="true" ht="12" customHeight="true">
      <c r="A37" s="314">
        <v>2</v>
      </c>
      <c r="B37" s="338" t="s">
        <v>685</v>
      </c>
      <c r="C37" s="338" t="s"/>
      <c r="D37" s="316" t="s">
        <v>672</v>
      </c>
      <c r="E37" s="300" t="s"/>
      <c r="F37" s="300" t="s"/>
      <c r="G37" s="300" t="s"/>
      <c r="H37" s="300" t="s"/>
      <c r="I37" s="300" t="s"/>
      <c r="J37" s="300" t="s"/>
      <c r="K37" s="300" t="s"/>
      <c r="L37" s="300" t="s"/>
      <c r="M37" s="300" t="s"/>
      <c r="N37" s="300" t="s"/>
      <c r="O37" s="300" t="s"/>
      <c r="P37" s="300" t="s"/>
      <c r="Q37" s="300" t="s"/>
      <c r="R37" s="300" t="s"/>
      <c r="S37" s="300" t="s"/>
      <c r="T37" s="300" t="s"/>
      <c r="U37" s="300" t="s"/>
      <c r="V37" s="300" t="s"/>
      <c r="W37" s="300" t="s"/>
      <c r="X37" s="300" t="s"/>
      <c r="Y37" s="300" t="s"/>
      <c r="Z37" s="300" t="s"/>
    </row>
    <row r="38" spans="1:27" s="707" customFormat="true" ht="12" customHeight="true">
      <c r="A38" s="314" t="s"/>
      <c r="B38" s="318" t="s">
        <v>673</v>
      </c>
      <c r="C38" s="319" t="s"/>
      <c r="D38" s="320" t="s">
        <v>674</v>
      </c>
      <c r="E38" s="321" t="s"/>
      <c r="F38" s="321" t="s"/>
      <c r="G38" s="331">
        <f>=0.61*辅助表7单因素敏感性分析表!N11</f>
        <v>0.61</v>
      </c>
      <c r="H38" s="321">
        <f>=G38</f>
        <v>0.61</v>
      </c>
      <c r="I38" s="321">
        <f>=H38</f>
        <v>0.61</v>
      </c>
      <c r="J38" s="321">
        <f>=I38</f>
        <v>0.61</v>
      </c>
      <c r="K38" s="321">
        <f>=J38</f>
        <v>0.61</v>
      </c>
      <c r="L38" s="321">
        <f>=K38</f>
        <v>0.61</v>
      </c>
      <c r="M38" s="321">
        <f>=L38</f>
        <v>0.61</v>
      </c>
      <c r="N38" s="321">
        <f>=M38</f>
        <v>0.61</v>
      </c>
      <c r="O38" s="321">
        <f>=N38</f>
        <v>0.61</v>
      </c>
      <c r="P38" s="321">
        <f>=O38</f>
        <v>0.61</v>
      </c>
      <c r="Q38" s="321">
        <f>=P38</f>
        <v>0.61</v>
      </c>
      <c r="R38" s="321">
        <f>=Q38</f>
        <v>0.61</v>
      </c>
      <c r="S38" s="321">
        <f>=R38</f>
        <v>0.61</v>
      </c>
      <c r="T38" s="321">
        <f>=S38</f>
        <v>0.61</v>
      </c>
      <c r="U38" s="321">
        <f>=T38</f>
        <v>0.61</v>
      </c>
      <c r="V38" s="321">
        <f>=U38</f>
        <v>0.61</v>
      </c>
      <c r="W38" s="321">
        <f>=V38</f>
        <v>0.61</v>
      </c>
      <c r="X38" s="321">
        <f>=W38</f>
        <v>0.61</v>
      </c>
      <c r="Y38" s="321">
        <f>=X38</f>
        <v>0.61</v>
      </c>
      <c r="Z38" s="321">
        <f>=Y38</f>
        <v>0.61</v>
      </c>
      <c r="AA38" s="339" t="s"/>
    </row>
    <row r="39" spans="1:26" s="707" customFormat="true" ht="12" customHeight="true">
      <c r="A39" s="314" t="s"/>
      <c r="B39" s="323" t="s">
        <v>534</v>
      </c>
      <c r="C39" s="324">
        <f>=IF($D38="美元",辅助表1评估项目基础数据表!$C$17,IF($D38="其他外币",辅助表1评估项目基础数据表!$C$18,1))</f>
        <v>1</v>
      </c>
      <c r="D39" s="300" t="s"/>
      <c r="E39" s="325">
        <f>=$C39</f>
        <v>1</v>
      </c>
      <c r="F39" s="325">
        <f>=$C39</f>
        <v>1</v>
      </c>
      <c r="G39" s="325">
        <f>=$C39</f>
        <v>1</v>
      </c>
      <c r="H39" s="325">
        <f>=$C39</f>
        <v>1</v>
      </c>
      <c r="I39" s="325">
        <f>=$C39</f>
        <v>1</v>
      </c>
      <c r="J39" s="325">
        <f>=$C39</f>
        <v>1</v>
      </c>
      <c r="K39" s="325">
        <f>=$C39</f>
        <v>1</v>
      </c>
      <c r="L39" s="325">
        <f>=$C39</f>
        <v>1</v>
      </c>
      <c r="M39" s="325">
        <f>=$C39</f>
        <v>1</v>
      </c>
      <c r="N39" s="325">
        <f>=$C39</f>
        <v>1</v>
      </c>
      <c r="O39" s="325">
        <f>=$C39</f>
        <v>1</v>
      </c>
      <c r="P39" s="325">
        <f>=$C39</f>
        <v>1</v>
      </c>
      <c r="Q39" s="325">
        <f>=$C39</f>
        <v>1</v>
      </c>
      <c r="R39" s="325">
        <f>=$C39</f>
        <v>1</v>
      </c>
      <c r="S39" s="325">
        <f>=$C39</f>
        <v>1</v>
      </c>
      <c r="T39" s="325">
        <f>=$C39</f>
        <v>1</v>
      </c>
      <c r="U39" s="325">
        <f>=$C39</f>
        <v>1</v>
      </c>
      <c r="V39" s="325">
        <f>=$C39</f>
        <v>1</v>
      </c>
      <c r="W39" s="325">
        <f>=$C39</f>
        <v>1</v>
      </c>
      <c r="X39" s="325">
        <f>=$C39</f>
        <v>1</v>
      </c>
      <c r="Y39" s="325">
        <f>=$C39</f>
        <v>1</v>
      </c>
      <c r="Z39" s="325">
        <f>=$C39</f>
        <v>1</v>
      </c>
    </row>
    <row r="40" spans="1:26" s="707" customFormat="true" ht="12" customHeight="true">
      <c r="A40" s="314" t="s"/>
      <c r="B40" s="326" t="s">
        <v>676</v>
      </c>
      <c r="C40" s="327" t="s"/>
      <c r="D40" s="310" t="s"/>
      <c r="E40" s="328">
        <f>=E38*E39</f>
        <v>0</v>
      </c>
      <c r="F40" s="328">
        <f>=F38*F39</f>
        <v>0</v>
      </c>
      <c r="G40" s="328">
        <f>=G38*G39</f>
        <v>0.61</v>
      </c>
      <c r="H40" s="328">
        <f>=H38*H39</f>
        <v>0.61</v>
      </c>
      <c r="I40" s="328">
        <f>=I38*I39</f>
        <v>0.61</v>
      </c>
      <c r="J40" s="328">
        <f>=J38*J39</f>
        <v>0.61</v>
      </c>
      <c r="K40" s="328">
        <f>=K38*K39</f>
        <v>0.61</v>
      </c>
      <c r="L40" s="328">
        <f>=L38*L39</f>
        <v>0.61</v>
      </c>
      <c r="M40" s="328">
        <f>=M38*M39</f>
        <v>0.61</v>
      </c>
      <c r="N40" s="328">
        <f>=N38*N39</f>
        <v>0.61</v>
      </c>
      <c r="O40" s="328">
        <f>=O38*O39</f>
        <v>0.61</v>
      </c>
      <c r="P40" s="328">
        <f>=P38*P39</f>
        <v>0.61</v>
      </c>
      <c r="Q40" s="328">
        <f>=Q38*Q39</f>
        <v>0.61</v>
      </c>
      <c r="R40" s="328">
        <f>=R38*R39</f>
        <v>0.61</v>
      </c>
      <c r="S40" s="328">
        <f>=S38*S39</f>
        <v>0.61</v>
      </c>
      <c r="T40" s="328">
        <f>=T38*T39</f>
        <v>0.61</v>
      </c>
      <c r="U40" s="328">
        <f>=U38*U39</f>
        <v>0.61</v>
      </c>
      <c r="V40" s="328">
        <f>=V38*V39</f>
        <v>0.61</v>
      </c>
      <c r="W40" s="328">
        <f>=W38*W39</f>
        <v>0.61</v>
      </c>
      <c r="X40" s="328">
        <f>=X38*X39</f>
        <v>0.61</v>
      </c>
      <c r="Y40" s="328">
        <f>=Y38*Y39</f>
        <v>0.61</v>
      </c>
      <c r="Z40" s="328">
        <f>=Z38*Z39</f>
        <v>0.61</v>
      </c>
    </row>
    <row r="41" spans="1:27" s="707" customFormat="true" ht="12" customHeight="true">
      <c r="A41" s="314" t="s"/>
      <c r="B41" s="329" t="s">
        <v>677</v>
      </c>
      <c r="C41" s="330" t="s">
        <v>678</v>
      </c>
      <c r="D41" s="306">
        <f>=SUM(E41:Z41)</f>
        <v>15235.2</v>
      </c>
      <c r="E41" s="321" t="s"/>
      <c r="F41" s="321" t="s"/>
      <c r="G41" s="331">
        <f>=40000*G7*180/10000</f>
        <v>662.4</v>
      </c>
      <c r="H41" s="331">
        <f>=40000*G7*360/10000</f>
        <v>1324.8</v>
      </c>
      <c r="I41" s="331">
        <f>=H41*(1-(G7-I7))</f>
        <v>1324.8</v>
      </c>
      <c r="J41" s="331">
        <f>=I41*(1-(G7-J7))</f>
        <v>1324.8</v>
      </c>
      <c r="K41" s="331">
        <f>=J41*(1-(G7-K7))</f>
        <v>1324.8</v>
      </c>
      <c r="L41" s="331">
        <f>=K41*(1-(G7-L7))</f>
        <v>1324.8</v>
      </c>
      <c r="M41" s="331">
        <f>=L41*(1-(G7-M7))</f>
        <v>1324.8</v>
      </c>
      <c r="N41" s="331">
        <f>=M41*(1-(G7-N7))</f>
        <v>1324.8</v>
      </c>
      <c r="O41" s="331">
        <f>=N41*(1-(G7-O7))</f>
        <v>1324.8</v>
      </c>
      <c r="P41" s="331">
        <f>=O41*(1-(G7-P7))</f>
        <v>1324.8</v>
      </c>
      <c r="Q41" s="331">
        <f>=P41*(1-(H7-Q7))</f>
        <v>1324.8</v>
      </c>
      <c r="R41" s="331">
        <f>=Q41*(1-(I7-R7))</f>
        <v>1324.8</v>
      </c>
      <c r="S41" s="331" t="s"/>
      <c r="T41" s="331" t="s"/>
      <c r="U41" s="331">
        <f>=T41*(1-(L7-U7))</f>
        <v>0</v>
      </c>
      <c r="V41" s="332" t="s"/>
      <c r="W41" s="332" t="s"/>
      <c r="X41" s="332" t="s"/>
      <c r="Y41" s="332">
        <f>=33666.94*Y6</f>
        <v>0</v>
      </c>
      <c r="Z41" s="332">
        <f>=33666.94*Z6</f>
        <v>0</v>
      </c>
      <c r="AA41" s="339" t="s"/>
    </row>
    <row r="42" spans="1:26" s="707" customFormat="true" ht="12" customHeight="true">
      <c r="A42" s="314" t="s"/>
      <c r="B42" s="333" t="s">
        <v>680</v>
      </c>
      <c r="C42" s="333" t="s"/>
      <c r="D42" s="306">
        <f>=SUM(E42:Z42)</f>
        <v>9293.472</v>
      </c>
      <c r="E42" s="306">
        <f>=E40*E41</f>
        <v>0</v>
      </c>
      <c r="F42" s="306">
        <f>=F40*F41</f>
        <v>0</v>
      </c>
      <c r="G42" s="306">
        <f>=G40*G41</f>
        <v>404.064</v>
      </c>
      <c r="H42" s="306">
        <f>=H40*H41</f>
        <v>808.128</v>
      </c>
      <c r="I42" s="306">
        <f>=I40*I41</f>
        <v>808.128</v>
      </c>
      <c r="J42" s="306">
        <f>=J40*J41</f>
        <v>808.128</v>
      </c>
      <c r="K42" s="306">
        <f>=K40*K41</f>
        <v>808.128</v>
      </c>
      <c r="L42" s="306">
        <f>=L40*L41</f>
        <v>808.128</v>
      </c>
      <c r="M42" s="306">
        <f>=M40*M41</f>
        <v>808.128</v>
      </c>
      <c r="N42" s="306">
        <f>=N40*N41</f>
        <v>808.128</v>
      </c>
      <c r="O42" s="306">
        <f>=O40*O41</f>
        <v>808.128</v>
      </c>
      <c r="P42" s="306">
        <f>=P40*P41</f>
        <v>808.128</v>
      </c>
      <c r="Q42" s="306">
        <f>=Q40*Q41</f>
        <v>808.128</v>
      </c>
      <c r="R42" s="306">
        <f>=R40*R41</f>
        <v>808.128</v>
      </c>
      <c r="S42" s="306">
        <f>=S40*S41</f>
        <v>0</v>
      </c>
      <c r="T42" s="306">
        <f>=T40*T41</f>
        <v>0</v>
      </c>
      <c r="U42" s="306">
        <f>=U40*U41</f>
        <v>0</v>
      </c>
      <c r="V42" s="306">
        <f>=V40*V41</f>
        <v>0</v>
      </c>
      <c r="W42" s="306">
        <f>=W40*W41</f>
        <v>0</v>
      </c>
      <c r="X42" s="306">
        <f>=X40*X41</f>
        <v>0</v>
      </c>
      <c r="Y42" s="306">
        <f>=Y40*Y41</f>
        <v>0</v>
      </c>
      <c r="Z42" s="306">
        <f>=Z40*Z41</f>
        <v>0</v>
      </c>
    </row>
    <row r="43" spans="1:26" s="707" customFormat="true" ht="12" customHeight="true">
      <c r="A43" s="314" t="s"/>
      <c r="B43" s="334" t="s">
        <v>682</v>
      </c>
      <c r="C43" s="335">
        <v>0.13</v>
      </c>
      <c r="D43" s="310" t="s"/>
      <c r="E43" s="336">
        <f>=$C43</f>
        <v>0.13</v>
      </c>
      <c r="F43" s="336">
        <f>=$C43</f>
        <v>0.13</v>
      </c>
      <c r="G43" s="336">
        <f>=$C43</f>
        <v>0.13</v>
      </c>
      <c r="H43" s="336">
        <f>=$C43</f>
        <v>0.13</v>
      </c>
      <c r="I43" s="336">
        <f>=$C43</f>
        <v>0.13</v>
      </c>
      <c r="J43" s="336">
        <f>=$C43</f>
        <v>0.13</v>
      </c>
      <c r="K43" s="336">
        <f>=$C43</f>
        <v>0.13</v>
      </c>
      <c r="L43" s="336">
        <f>=$C43</f>
        <v>0.13</v>
      </c>
      <c r="M43" s="336">
        <f>=$C43</f>
        <v>0.13</v>
      </c>
      <c r="N43" s="336">
        <f>=$C43</f>
        <v>0.13</v>
      </c>
      <c r="O43" s="336">
        <f>=$C43</f>
        <v>0.13</v>
      </c>
      <c r="P43" s="336">
        <f>=$C43</f>
        <v>0.13</v>
      </c>
      <c r="Q43" s="336">
        <f>=$C43</f>
        <v>0.13</v>
      </c>
      <c r="R43" s="336">
        <f>=$C43</f>
        <v>0.13</v>
      </c>
      <c r="S43" s="336">
        <f>=$C43</f>
        <v>0.13</v>
      </c>
      <c r="T43" s="336">
        <f>=$C43</f>
        <v>0.13</v>
      </c>
      <c r="U43" s="336">
        <f>=$C43</f>
        <v>0.13</v>
      </c>
      <c r="V43" s="336">
        <f>=$C43</f>
        <v>0.13</v>
      </c>
      <c r="W43" s="336">
        <f>=$C43</f>
        <v>0.13</v>
      </c>
      <c r="X43" s="336">
        <f>=$C43</f>
        <v>0.13</v>
      </c>
      <c r="Y43" s="336">
        <f>=$C43</f>
        <v>0.13</v>
      </c>
      <c r="Z43" s="336">
        <f>=$C43</f>
        <v>0.13</v>
      </c>
    </row>
    <row r="44" spans="1:26" s="707" customFormat="true" ht="12" customHeight="true">
      <c r="A44" s="314" t="s"/>
      <c r="B44" s="334" t="s">
        <v>654</v>
      </c>
      <c r="C44" s="310" t="s"/>
      <c r="D44" s="306">
        <f>=SUM(E44:Z44)</f>
        <v>1069.16049557522</v>
      </c>
      <c r="E44" s="306">
        <f>=E42*E43/(1+E43)</f>
        <v>0</v>
      </c>
      <c r="F44" s="306">
        <f>=F42*F43/(1+F43)</f>
        <v>0</v>
      </c>
      <c r="G44" s="306">
        <f>=G42*G43/(1+G43)</f>
        <v>46.4852389380531</v>
      </c>
      <c r="H44" s="306">
        <f>=H42*H43/(1+H43)</f>
        <v>92.9704778761062</v>
      </c>
      <c r="I44" s="306">
        <f>=I42*I43/(1+I43)</f>
        <v>92.9704778761062</v>
      </c>
      <c r="J44" s="306">
        <f>=J42*J43/(1+J43)</f>
        <v>92.9704778761062</v>
      </c>
      <c r="K44" s="306">
        <f>=K42*K43/(1+K43)</f>
        <v>92.9704778761062</v>
      </c>
      <c r="L44" s="306">
        <f>=L42*L43/(1+L43)</f>
        <v>92.9704778761062</v>
      </c>
      <c r="M44" s="306">
        <f>=M42*M43/(1+M43)</f>
        <v>92.9704778761062</v>
      </c>
      <c r="N44" s="306">
        <f>=N42*N43/(1+N43)</f>
        <v>92.9704778761062</v>
      </c>
      <c r="O44" s="306">
        <f>=O42*O43/(1+O43)</f>
        <v>92.9704778761062</v>
      </c>
      <c r="P44" s="306">
        <f>=P42*P43/(1+P43)</f>
        <v>92.9704778761062</v>
      </c>
      <c r="Q44" s="306">
        <f>=Q42*Q43/(1+Q43)</f>
        <v>92.9704778761062</v>
      </c>
      <c r="R44" s="306">
        <f>=R42*R43/(1+R43)</f>
        <v>92.9704778761062</v>
      </c>
      <c r="S44" s="306">
        <f>=S42*S43/(1+S43)</f>
        <v>0</v>
      </c>
      <c r="T44" s="306">
        <f>=T42*T43/(1+T43)</f>
        <v>0</v>
      </c>
      <c r="U44" s="306">
        <f>=U42*U43/(1+U43)</f>
        <v>0</v>
      </c>
      <c r="V44" s="306">
        <f>=V42*V43/(1+V43)</f>
        <v>0</v>
      </c>
      <c r="W44" s="306">
        <f>=W42*W43/(1+W43)</f>
        <v>0</v>
      </c>
      <c r="X44" s="306">
        <f>=X42*X43/(1+X43)</f>
        <v>0</v>
      </c>
      <c r="Y44" s="306">
        <f>=Y42*Y43/(1+Y43)</f>
        <v>0</v>
      </c>
      <c r="Z44" s="306">
        <f>=Z42*Z43/(1+Z43)</f>
        <v>0</v>
      </c>
    </row>
    <row r="45" spans="1:26" ht="12" customHeight="true">
      <c r="A45" s="314" t="s"/>
      <c r="B45" s="334" t="s">
        <v>683</v>
      </c>
      <c r="C45" s="310" t="s"/>
      <c r="D45" s="310" t="s"/>
      <c r="E45" s="336">
        <f>=$C45</f>
        <v>0</v>
      </c>
      <c r="F45" s="336">
        <f>=$C45</f>
        <v>0</v>
      </c>
      <c r="G45" s="336">
        <f>=$C45</f>
        <v>0</v>
      </c>
      <c r="H45" s="336">
        <f>=$C45</f>
        <v>0</v>
      </c>
      <c r="I45" s="336">
        <f>=$C45</f>
        <v>0</v>
      </c>
      <c r="J45" s="336">
        <f>=$C45</f>
        <v>0</v>
      </c>
      <c r="K45" s="336">
        <f>=$C45</f>
        <v>0</v>
      </c>
      <c r="L45" s="336">
        <f>=$C45</f>
        <v>0</v>
      </c>
      <c r="M45" s="336">
        <f>=$C45</f>
        <v>0</v>
      </c>
      <c r="N45" s="336">
        <f>=$C45</f>
        <v>0</v>
      </c>
      <c r="O45" s="336">
        <f>=$C45</f>
        <v>0</v>
      </c>
      <c r="P45" s="336">
        <f>=$C45</f>
        <v>0</v>
      </c>
      <c r="Q45" s="336">
        <f>=$C45</f>
        <v>0</v>
      </c>
      <c r="R45" s="336">
        <f>=$C45</f>
        <v>0</v>
      </c>
      <c r="S45" s="336">
        <f>=$C45</f>
        <v>0</v>
      </c>
      <c r="T45" s="336">
        <f>=$C45</f>
        <v>0</v>
      </c>
      <c r="U45" s="336">
        <f>=$C45</f>
        <v>0</v>
      </c>
      <c r="V45" s="336">
        <f>=$C45</f>
        <v>0</v>
      </c>
      <c r="W45" s="336">
        <f>=$C45</f>
        <v>0</v>
      </c>
      <c r="X45" s="336">
        <f>=$C45</f>
        <v>0</v>
      </c>
      <c r="Y45" s="336">
        <f>=$C45</f>
        <v>0</v>
      </c>
      <c r="Z45" s="336">
        <f>=$C45</f>
        <v>0</v>
      </c>
    </row>
    <row r="46" spans="1:26" ht="12" customHeight="true">
      <c r="A46" s="314" t="s"/>
      <c r="B46" s="334" t="s">
        <v>684</v>
      </c>
      <c r="C46" s="337" t="s"/>
      <c r="D46" s="306">
        <f>=SUM(E46:Z46)</f>
        <v>0</v>
      </c>
      <c r="E46" s="306">
        <f>=E42*E45</f>
        <v>0</v>
      </c>
      <c r="F46" s="306">
        <f>=F42*F45</f>
        <v>0</v>
      </c>
      <c r="G46" s="306">
        <f>=G42*G45</f>
        <v>0</v>
      </c>
      <c r="H46" s="306">
        <f>=H42*H45</f>
        <v>0</v>
      </c>
      <c r="I46" s="306">
        <f>=I42*I45</f>
        <v>0</v>
      </c>
      <c r="J46" s="306">
        <f>=J42*J45</f>
        <v>0</v>
      </c>
      <c r="K46" s="306">
        <f>=K42*K45</f>
        <v>0</v>
      </c>
      <c r="L46" s="306">
        <f>=L42*L45</f>
        <v>0</v>
      </c>
      <c r="M46" s="306">
        <f>=M42*M45</f>
        <v>0</v>
      </c>
      <c r="N46" s="306">
        <f>=N42*N45</f>
        <v>0</v>
      </c>
      <c r="O46" s="306">
        <f>=O42*O45</f>
        <v>0</v>
      </c>
      <c r="P46" s="306">
        <f>=P42*P45</f>
        <v>0</v>
      </c>
      <c r="Q46" s="306">
        <f>=Q42*Q45</f>
        <v>0</v>
      </c>
      <c r="R46" s="306">
        <f>=R42*R45</f>
        <v>0</v>
      </c>
      <c r="S46" s="306">
        <f>=S42*S45</f>
        <v>0</v>
      </c>
      <c r="T46" s="306">
        <f>=T42*T45</f>
        <v>0</v>
      </c>
      <c r="U46" s="306">
        <f>=U42*U45</f>
        <v>0</v>
      </c>
      <c r="V46" s="306">
        <f>=V42*V45</f>
        <v>0</v>
      </c>
      <c r="W46" s="306">
        <f>=W42*W45</f>
        <v>0</v>
      </c>
      <c r="X46" s="306">
        <f>=X42*X45</f>
        <v>0</v>
      </c>
      <c r="Y46" s="306">
        <f>=Y42*Y45</f>
        <v>0</v>
      </c>
      <c r="Z46" s="306">
        <f>=Z42*Z45</f>
        <v>0</v>
      </c>
    </row>
    <row r="47" spans="1:26" ht="12" customHeight="true">
      <c r="A47" s="314">
        <v>3</v>
      </c>
      <c r="B47" s="340" t="s"/>
      <c r="C47" s="340" t="s"/>
      <c r="D47" s="316" t="s">
        <v>672</v>
      </c>
      <c r="E47" s="300" t="s"/>
      <c r="F47" s="300" t="s"/>
      <c r="G47" s="300" t="s"/>
      <c r="H47" s="300" t="s"/>
      <c r="I47" s="300" t="s"/>
      <c r="J47" s="300" t="s"/>
      <c r="K47" s="300" t="s"/>
      <c r="L47" s="300" t="s"/>
      <c r="M47" s="300" t="s"/>
      <c r="N47" s="300" t="s"/>
      <c r="O47" s="300" t="s"/>
      <c r="P47" s="300" t="s"/>
      <c r="Q47" s="300" t="s"/>
      <c r="R47" s="300" t="s"/>
      <c r="S47" s="300" t="s"/>
      <c r="T47" s="341" t="s"/>
      <c r="U47" s="341" t="s"/>
      <c r="V47" s="341" t="s"/>
      <c r="W47" s="341" t="s"/>
      <c r="X47" s="341" t="s"/>
      <c r="Y47" s="341" t="s"/>
      <c r="Z47" s="341" t="s"/>
    </row>
    <row r="48" spans="1:26" ht="12" customHeight="true">
      <c r="A48" s="314" t="s"/>
      <c r="B48" s="318" t="s">
        <v>673</v>
      </c>
      <c r="C48" s="319" t="s"/>
      <c r="D48" s="320" t="s">
        <v>674</v>
      </c>
      <c r="E48" s="321" t="s"/>
      <c r="F48" s="321">
        <v>0</v>
      </c>
      <c r="G48" s="331" t="s"/>
      <c r="H48" s="321" t="s"/>
      <c r="I48" s="321">
        <f>=H48</f>
        <v>0</v>
      </c>
      <c r="J48" s="321">
        <f>=I48</f>
        <v>0</v>
      </c>
      <c r="K48" s="321">
        <f>=J48</f>
        <v>0</v>
      </c>
      <c r="L48" s="321">
        <f>=K48</f>
        <v>0</v>
      </c>
      <c r="M48" s="321">
        <f>=L48</f>
        <v>0</v>
      </c>
      <c r="N48" s="321">
        <f>=M48</f>
        <v>0</v>
      </c>
      <c r="O48" s="321">
        <f>=N48</f>
        <v>0</v>
      </c>
      <c r="P48" s="321">
        <f>=O48</f>
        <v>0</v>
      </c>
      <c r="Q48" s="321">
        <f>=P48</f>
        <v>0</v>
      </c>
      <c r="R48" s="321">
        <f>=Q48</f>
        <v>0</v>
      </c>
      <c r="S48" s="321">
        <f>=R48</f>
        <v>0</v>
      </c>
      <c r="T48" s="321">
        <f>=S48</f>
        <v>0</v>
      </c>
      <c r="U48" s="321">
        <f>=T48</f>
        <v>0</v>
      </c>
      <c r="V48" s="321">
        <f>=U48</f>
        <v>0</v>
      </c>
      <c r="W48" s="321">
        <f>=V48</f>
        <v>0</v>
      </c>
      <c r="X48" s="321">
        <f>=W48</f>
        <v>0</v>
      </c>
      <c r="Y48" s="321">
        <f>=X48</f>
        <v>0</v>
      </c>
      <c r="Z48" s="321">
        <f>=Y48</f>
        <v>0</v>
      </c>
    </row>
    <row r="49" spans="1:26" ht="12" customHeight="true">
      <c r="A49" s="314" t="s"/>
      <c r="B49" s="323" t="s">
        <v>534</v>
      </c>
      <c r="C49" s="324">
        <f>=IF($D48="美元",辅助表1评估项目基础数据表!$C$17,IF($D48="其他外币",辅助表1评估项目基础数据表!$C$18,1))</f>
        <v>1</v>
      </c>
      <c r="D49" s="300" t="s"/>
      <c r="E49" s="325">
        <f>=$C49</f>
        <v>1</v>
      </c>
      <c r="F49" s="325">
        <f>=$C49</f>
        <v>1</v>
      </c>
      <c r="G49" s="325">
        <f>=$C49</f>
        <v>1</v>
      </c>
      <c r="H49" s="325">
        <f>=$C49</f>
        <v>1</v>
      </c>
      <c r="I49" s="325">
        <f>=$C49</f>
        <v>1</v>
      </c>
      <c r="J49" s="325">
        <f>=$C49</f>
        <v>1</v>
      </c>
      <c r="K49" s="325">
        <f>=$C49</f>
        <v>1</v>
      </c>
      <c r="L49" s="325">
        <f>=$C49</f>
        <v>1</v>
      </c>
      <c r="M49" s="325">
        <f>=$C49</f>
        <v>1</v>
      </c>
      <c r="N49" s="325">
        <f>=$C49</f>
        <v>1</v>
      </c>
      <c r="O49" s="325">
        <f>=$C49</f>
        <v>1</v>
      </c>
      <c r="P49" s="325">
        <f>=$C49</f>
        <v>1</v>
      </c>
      <c r="Q49" s="325">
        <f>=$C49</f>
        <v>1</v>
      </c>
      <c r="R49" s="325">
        <f>=$C49</f>
        <v>1</v>
      </c>
      <c r="S49" s="325">
        <f>=$C49</f>
        <v>1</v>
      </c>
      <c r="T49" s="325">
        <f>=$C49</f>
        <v>1</v>
      </c>
      <c r="U49" s="325">
        <f>=$C49</f>
        <v>1</v>
      </c>
      <c r="V49" s="325">
        <f>=$C49</f>
        <v>1</v>
      </c>
      <c r="W49" s="325">
        <f>=$C49</f>
        <v>1</v>
      </c>
      <c r="X49" s="325">
        <f>=$C49</f>
        <v>1</v>
      </c>
      <c r="Y49" s="325">
        <f>=$C49</f>
        <v>1</v>
      </c>
      <c r="Z49" s="325">
        <f>=$C49</f>
        <v>1</v>
      </c>
    </row>
    <row r="50" spans="1:26" ht="12" customHeight="true">
      <c r="A50" s="314" t="s"/>
      <c r="B50" s="326" t="s">
        <v>676</v>
      </c>
      <c r="C50" s="327" t="s"/>
      <c r="D50" s="310" t="s"/>
      <c r="E50" s="328">
        <f>=E48*E49</f>
        <v>0</v>
      </c>
      <c r="F50" s="328">
        <f>=F48*F49</f>
        <v>0</v>
      </c>
      <c r="G50" s="328">
        <f>=G48*G49</f>
        <v>0</v>
      </c>
      <c r="H50" s="328">
        <f>=H48*H49</f>
        <v>0</v>
      </c>
      <c r="I50" s="328">
        <f>=I48*I49</f>
        <v>0</v>
      </c>
      <c r="J50" s="328">
        <f>=J48*J49</f>
        <v>0</v>
      </c>
      <c r="K50" s="328">
        <f>=K48*K49</f>
        <v>0</v>
      </c>
      <c r="L50" s="328">
        <f>=L48*L49</f>
        <v>0</v>
      </c>
      <c r="M50" s="328">
        <f>=M48*M49</f>
        <v>0</v>
      </c>
      <c r="N50" s="328">
        <f>=N48*N49</f>
        <v>0</v>
      </c>
      <c r="O50" s="328">
        <f>=O48*O49</f>
        <v>0</v>
      </c>
      <c r="P50" s="328">
        <f>=P48*P49</f>
        <v>0</v>
      </c>
      <c r="Q50" s="328">
        <f>=Q48*Q49</f>
        <v>0</v>
      </c>
      <c r="R50" s="328">
        <f>=R48*R49</f>
        <v>0</v>
      </c>
      <c r="S50" s="328">
        <f>=S48*S49</f>
        <v>0</v>
      </c>
      <c r="T50" s="328">
        <f>=T48*T49</f>
        <v>0</v>
      </c>
      <c r="U50" s="328">
        <f>=U48*U49</f>
        <v>0</v>
      </c>
      <c r="V50" s="328">
        <f>=V48*V49</f>
        <v>0</v>
      </c>
      <c r="W50" s="328">
        <f>=W48*W49</f>
        <v>0</v>
      </c>
      <c r="X50" s="328">
        <f>=X48*X49</f>
        <v>0</v>
      </c>
      <c r="Y50" s="328">
        <f>=Y48*Y49</f>
        <v>0</v>
      </c>
      <c r="Z50" s="328">
        <f>=Z48*Z49</f>
        <v>0</v>
      </c>
    </row>
    <row r="51" spans="1:26" ht="12" customHeight="true">
      <c r="A51" s="314" t="s"/>
      <c r="B51" s="329" t="s">
        <v>677</v>
      </c>
      <c r="C51" s="330" t="s">
        <v>678</v>
      </c>
      <c r="D51" s="306">
        <f>=SUM(E51:Z51)</f>
        <v>0</v>
      </c>
      <c r="E51" s="321" t="s"/>
      <c r="F51" s="321">
        <v>0</v>
      </c>
      <c r="G51" s="332" t="s"/>
      <c r="H51" s="332" t="s"/>
      <c r="I51" s="332" t="s"/>
      <c r="J51" s="332" t="s"/>
      <c r="K51" s="332" t="s"/>
      <c r="L51" s="332" t="s"/>
      <c r="M51" s="332" t="s"/>
      <c r="N51" s="332" t="s"/>
      <c r="O51" s="332" t="s"/>
      <c r="P51" s="332" t="s"/>
      <c r="Q51" s="332" t="s"/>
      <c r="R51" s="332" t="s"/>
      <c r="S51" s="332" t="s"/>
      <c r="T51" s="332" t="s"/>
      <c r="U51" s="332" t="s"/>
      <c r="V51" s="332" t="s"/>
      <c r="W51" s="332" t="s"/>
      <c r="X51" s="332" t="s"/>
      <c r="Y51" s="332">
        <f>=2149.21*Y6</f>
        <v>0</v>
      </c>
      <c r="Z51" s="332">
        <f>=2149.21*Z6</f>
        <v>0</v>
      </c>
    </row>
    <row r="52" spans="1:26" ht="12" customHeight="true">
      <c r="A52" s="314" t="s"/>
      <c r="B52" s="333" t="s">
        <v>680</v>
      </c>
      <c r="C52" s="333" t="s"/>
      <c r="D52" s="306">
        <f>=SUM(E52:Z52)</f>
        <v>0</v>
      </c>
      <c r="E52" s="306">
        <f>=E50*E51</f>
        <v>0</v>
      </c>
      <c r="F52" s="306">
        <f>=F50*F51</f>
        <v>0</v>
      </c>
      <c r="G52" s="306">
        <f>=G50*G51</f>
        <v>0</v>
      </c>
      <c r="H52" s="306">
        <f>=H50*H51</f>
        <v>0</v>
      </c>
      <c r="I52" s="306">
        <f>=I50*I51</f>
        <v>0</v>
      </c>
      <c r="J52" s="306">
        <f>=J50*J51</f>
        <v>0</v>
      </c>
      <c r="K52" s="306">
        <f>=K50*K51</f>
        <v>0</v>
      </c>
      <c r="L52" s="306">
        <f>=L50*L51</f>
        <v>0</v>
      </c>
      <c r="M52" s="306">
        <f>=M50*M51</f>
        <v>0</v>
      </c>
      <c r="N52" s="306">
        <f>=N50*N51</f>
        <v>0</v>
      </c>
      <c r="O52" s="306">
        <f>=O50*O51</f>
        <v>0</v>
      </c>
      <c r="P52" s="306">
        <f>=P50*P51</f>
        <v>0</v>
      </c>
      <c r="Q52" s="306">
        <f>=Q50*Q51</f>
        <v>0</v>
      </c>
      <c r="R52" s="306">
        <f>=R50*R51</f>
        <v>0</v>
      </c>
      <c r="S52" s="306">
        <f>=S50*S51</f>
        <v>0</v>
      </c>
      <c r="T52" s="306">
        <f>=T50*T51</f>
        <v>0</v>
      </c>
      <c r="U52" s="306">
        <f>=U50*U51</f>
        <v>0</v>
      </c>
      <c r="V52" s="306">
        <f>=V50*V51</f>
        <v>0</v>
      </c>
      <c r="W52" s="306">
        <f>=W50*W51</f>
        <v>0</v>
      </c>
      <c r="X52" s="306">
        <f>=X50*X51</f>
        <v>0</v>
      </c>
      <c r="Y52" s="306">
        <f>=Y50*Y51</f>
        <v>0</v>
      </c>
      <c r="Z52" s="306">
        <f>=Z50*Z51</f>
        <v>0</v>
      </c>
    </row>
    <row r="53" spans="1:26" ht="12" customHeight="true">
      <c r="A53" s="314" t="s"/>
      <c r="B53" s="334" t="s">
        <v>682</v>
      </c>
      <c r="C53" s="335" t="s"/>
      <c r="D53" s="310" t="s"/>
      <c r="E53" s="336">
        <f>=$C53</f>
        <v>0</v>
      </c>
      <c r="F53" s="336">
        <f>=$C53</f>
        <v>0</v>
      </c>
      <c r="G53" s="336">
        <f>=$C53</f>
        <v>0</v>
      </c>
      <c r="H53" s="336">
        <f>=$C53</f>
        <v>0</v>
      </c>
      <c r="I53" s="336">
        <f>=$C53</f>
        <v>0</v>
      </c>
      <c r="J53" s="336">
        <f>=$C53</f>
        <v>0</v>
      </c>
      <c r="K53" s="336">
        <f>=$C53</f>
        <v>0</v>
      </c>
      <c r="L53" s="336">
        <f>=$C53</f>
        <v>0</v>
      </c>
      <c r="M53" s="336">
        <f>=$C53</f>
        <v>0</v>
      </c>
      <c r="N53" s="336">
        <f>=$C53</f>
        <v>0</v>
      </c>
      <c r="O53" s="336">
        <f>=$C53</f>
        <v>0</v>
      </c>
      <c r="P53" s="336">
        <f>=$C53</f>
        <v>0</v>
      </c>
      <c r="Q53" s="336">
        <f>=$C53</f>
        <v>0</v>
      </c>
      <c r="R53" s="336">
        <f>=$C53</f>
        <v>0</v>
      </c>
      <c r="S53" s="336">
        <f>=$C53</f>
        <v>0</v>
      </c>
      <c r="T53" s="336">
        <f>=$C53</f>
        <v>0</v>
      </c>
      <c r="U53" s="336">
        <f>=$C53</f>
        <v>0</v>
      </c>
      <c r="V53" s="336">
        <f>=$C53</f>
        <v>0</v>
      </c>
      <c r="W53" s="336">
        <f>=$C53</f>
        <v>0</v>
      </c>
      <c r="X53" s="336">
        <f>=$C53</f>
        <v>0</v>
      </c>
      <c r="Y53" s="336">
        <f>=$C53</f>
        <v>0</v>
      </c>
      <c r="Z53" s="336">
        <f>=$C53</f>
        <v>0</v>
      </c>
    </row>
    <row r="54" spans="1:26" ht="12" customHeight="true">
      <c r="A54" s="314" t="s"/>
      <c r="B54" s="334" t="s">
        <v>654</v>
      </c>
      <c r="C54" s="310" t="s"/>
      <c r="D54" s="306">
        <f>=SUM(E54:Z54)</f>
        <v>0</v>
      </c>
      <c r="E54" s="306">
        <f>=E52*E53/(1+E53)</f>
        <v>0</v>
      </c>
      <c r="F54" s="306">
        <f>=F52*F53/(1+F53)</f>
        <v>0</v>
      </c>
      <c r="G54" s="306">
        <f>=G52*G53/(1+G53)</f>
        <v>0</v>
      </c>
      <c r="H54" s="306">
        <f>=H52*H53/(1+H53)</f>
        <v>0</v>
      </c>
      <c r="I54" s="306">
        <f>=I52*I53/(1+I53)</f>
        <v>0</v>
      </c>
      <c r="J54" s="306">
        <f>=J52*J53/(1+J53)</f>
        <v>0</v>
      </c>
      <c r="K54" s="306">
        <f>=K52*K53/(1+K53)</f>
        <v>0</v>
      </c>
      <c r="L54" s="306">
        <f>=L52*L53/(1+L53)</f>
        <v>0</v>
      </c>
      <c r="M54" s="306">
        <f>=M52*M53/(1+M53)</f>
        <v>0</v>
      </c>
      <c r="N54" s="306">
        <f>=N52*N53/(1+N53)</f>
        <v>0</v>
      </c>
      <c r="O54" s="306">
        <f>=O52*O53/(1+O53)</f>
        <v>0</v>
      </c>
      <c r="P54" s="306">
        <f>=P52*P53/(1+P53)</f>
        <v>0</v>
      </c>
      <c r="Q54" s="306">
        <f>=Q52*Q53/(1+Q53)</f>
        <v>0</v>
      </c>
      <c r="R54" s="306">
        <f>=R52*R53/(1+R53)</f>
        <v>0</v>
      </c>
      <c r="S54" s="306">
        <f>=S52*S53/(1+S53)</f>
        <v>0</v>
      </c>
      <c r="T54" s="306">
        <f>=T52*T53/(1+T53)</f>
        <v>0</v>
      </c>
      <c r="U54" s="306">
        <f>=U52*U53/(1+U53)</f>
        <v>0</v>
      </c>
      <c r="V54" s="306">
        <f>=V52*V53/(1+V53)</f>
        <v>0</v>
      </c>
      <c r="W54" s="306">
        <f>=W52*W53/(1+W53)</f>
        <v>0</v>
      </c>
      <c r="X54" s="306">
        <f>=X52*X53/(1+X53)</f>
        <v>0</v>
      </c>
      <c r="Y54" s="306">
        <f>=Y52*Y53/(1+Y53)</f>
        <v>0</v>
      </c>
      <c r="Z54" s="306">
        <f>=Z52*Z53/(1+Z53)</f>
        <v>0</v>
      </c>
    </row>
    <row r="55" spans="1:26" ht="12" customHeight="true">
      <c r="A55" s="314" t="s"/>
      <c r="B55" s="334" t="s">
        <v>683</v>
      </c>
      <c r="C55" s="310" t="s"/>
      <c r="D55" s="310" t="s"/>
      <c r="E55" s="336">
        <f>=$C55</f>
        <v>0</v>
      </c>
      <c r="F55" s="336">
        <f>=$C55</f>
        <v>0</v>
      </c>
      <c r="G55" s="336">
        <f>=$C55</f>
        <v>0</v>
      </c>
      <c r="H55" s="336">
        <f>=$C55</f>
        <v>0</v>
      </c>
      <c r="I55" s="336">
        <f>=$C55</f>
        <v>0</v>
      </c>
      <c r="J55" s="336">
        <f>=$C55</f>
        <v>0</v>
      </c>
      <c r="K55" s="336">
        <f>=$C55</f>
        <v>0</v>
      </c>
      <c r="L55" s="336">
        <f>=$C55</f>
        <v>0</v>
      </c>
      <c r="M55" s="336">
        <f>=$C55</f>
        <v>0</v>
      </c>
      <c r="N55" s="336">
        <f>=$C55</f>
        <v>0</v>
      </c>
      <c r="O55" s="336">
        <f>=$C55</f>
        <v>0</v>
      </c>
      <c r="P55" s="336">
        <f>=$C55</f>
        <v>0</v>
      </c>
      <c r="Q55" s="336">
        <f>=$C55</f>
        <v>0</v>
      </c>
      <c r="R55" s="336">
        <f>=$C55</f>
        <v>0</v>
      </c>
      <c r="S55" s="336">
        <f>=$C55</f>
        <v>0</v>
      </c>
      <c r="T55" s="336">
        <f>=$C55</f>
        <v>0</v>
      </c>
      <c r="U55" s="336">
        <f>=$C55</f>
        <v>0</v>
      </c>
      <c r="V55" s="336">
        <f>=$C55</f>
        <v>0</v>
      </c>
      <c r="W55" s="336">
        <f>=$C55</f>
        <v>0</v>
      </c>
      <c r="X55" s="336">
        <f>=$C55</f>
        <v>0</v>
      </c>
      <c r="Y55" s="336">
        <f>=$C55</f>
        <v>0</v>
      </c>
      <c r="Z55" s="336">
        <f>=$C55</f>
        <v>0</v>
      </c>
    </row>
    <row r="56" spans="1:26" ht="12" customHeight="true">
      <c r="A56" s="314" t="s"/>
      <c r="B56" s="334" t="s">
        <v>684</v>
      </c>
      <c r="C56" s="337" t="s"/>
      <c r="D56" s="306">
        <f>=SUM(E56:Z56)</f>
        <v>0</v>
      </c>
      <c r="E56" s="306">
        <f>=E52*E55</f>
        <v>0</v>
      </c>
      <c r="F56" s="306">
        <f>=F52*F55</f>
        <v>0</v>
      </c>
      <c r="G56" s="306">
        <f>=G52*G55</f>
        <v>0</v>
      </c>
      <c r="H56" s="306">
        <f>=H52*H55</f>
        <v>0</v>
      </c>
      <c r="I56" s="306">
        <f>=I52*I55</f>
        <v>0</v>
      </c>
      <c r="J56" s="306">
        <f>=J52*J55</f>
        <v>0</v>
      </c>
      <c r="K56" s="306">
        <f>=K52*K55</f>
        <v>0</v>
      </c>
      <c r="L56" s="306">
        <f>=L52*L55</f>
        <v>0</v>
      </c>
      <c r="M56" s="306">
        <f>=M52*M55</f>
        <v>0</v>
      </c>
      <c r="N56" s="306">
        <f>=N52*N55</f>
        <v>0</v>
      </c>
      <c r="O56" s="306">
        <f>=O52*O55</f>
        <v>0</v>
      </c>
      <c r="P56" s="306">
        <f>=P52*P55</f>
        <v>0</v>
      </c>
      <c r="Q56" s="306">
        <f>=Q52*Q55</f>
        <v>0</v>
      </c>
      <c r="R56" s="306">
        <f>=R52*R55</f>
        <v>0</v>
      </c>
      <c r="S56" s="306">
        <f>=S52*S55</f>
        <v>0</v>
      </c>
      <c r="T56" s="306">
        <f>=T52*T55</f>
        <v>0</v>
      </c>
      <c r="U56" s="306">
        <f>=U52*U55</f>
        <v>0</v>
      </c>
      <c r="V56" s="306">
        <f>=V52*V55</f>
        <v>0</v>
      </c>
      <c r="W56" s="306">
        <f>=W52*W55</f>
        <v>0</v>
      </c>
      <c r="X56" s="306">
        <f>=X52*X55</f>
        <v>0</v>
      </c>
      <c r="Y56" s="306">
        <f>=Y52*Y55</f>
        <v>0</v>
      </c>
      <c r="Z56" s="306">
        <f>=Z52*Z55</f>
        <v>0</v>
      </c>
    </row>
    <row r="57" spans="1:26" ht="12" customHeight="true">
      <c r="A57" s="314">
        <v>4</v>
      </c>
      <c r="B57" s="342" t="s">
        <v>686</v>
      </c>
      <c r="C57" s="342" t="s"/>
      <c r="D57" s="316" t="s">
        <v>672</v>
      </c>
      <c r="E57" s="300" t="s"/>
      <c r="F57" s="300" t="s"/>
      <c r="G57" s="300" t="s"/>
      <c r="H57" s="300" t="s"/>
      <c r="I57" s="300" t="s"/>
      <c r="J57" s="300" t="s"/>
      <c r="K57" s="300" t="s"/>
      <c r="L57" s="300" t="s"/>
      <c r="M57" s="300" t="s"/>
      <c r="N57" s="300" t="s"/>
      <c r="O57" s="300" t="s"/>
      <c r="P57" s="300" t="s"/>
      <c r="Q57" s="300" t="s"/>
      <c r="R57" s="300" t="s"/>
      <c r="S57" s="300" t="s"/>
      <c r="T57" s="300" t="s"/>
      <c r="U57" s="300" t="s"/>
      <c r="V57" s="300" t="s"/>
      <c r="W57" s="300" t="s"/>
      <c r="X57" s="300" t="s"/>
      <c r="Y57" s="300" t="s"/>
      <c r="Z57" s="300" t="s"/>
    </row>
    <row r="58" spans="1:26" ht="12" customHeight="true">
      <c r="A58" s="314" t="s"/>
      <c r="B58" s="318" t="s">
        <v>673</v>
      </c>
      <c r="C58" s="319" t="s"/>
      <c r="D58" s="320" t="s">
        <v>674</v>
      </c>
      <c r="E58" s="321">
        <f>=G58</f>
        <v>0.65</v>
      </c>
      <c r="F58" s="321">
        <f>=E58</f>
        <v>0.65</v>
      </c>
      <c r="G58" s="331">
        <f>=0.65*辅助表7单因素敏感性分析表!N11</f>
        <v>0.65</v>
      </c>
      <c r="H58" s="321">
        <f>=G58</f>
        <v>0.65</v>
      </c>
      <c r="I58" s="321">
        <f>=H58</f>
        <v>0.65</v>
      </c>
      <c r="J58" s="321">
        <f>=I58</f>
        <v>0.65</v>
      </c>
      <c r="K58" s="321">
        <f>=J58</f>
        <v>0.65</v>
      </c>
      <c r="L58" s="321">
        <f>=K58</f>
        <v>0.65</v>
      </c>
      <c r="M58" s="321">
        <f>=L58</f>
        <v>0.65</v>
      </c>
      <c r="N58" s="321">
        <f>=M58</f>
        <v>0.65</v>
      </c>
      <c r="O58" s="321">
        <f>=N58</f>
        <v>0.65</v>
      </c>
      <c r="P58" s="321">
        <f>=O58</f>
        <v>0.65</v>
      </c>
      <c r="Q58" s="321">
        <f>=P58</f>
        <v>0.65</v>
      </c>
      <c r="R58" s="321">
        <f>=Q58</f>
        <v>0.65</v>
      </c>
      <c r="S58" s="321">
        <f>=R58</f>
        <v>0.65</v>
      </c>
      <c r="T58" s="321">
        <f>=S58</f>
        <v>0.65</v>
      </c>
      <c r="U58" s="321">
        <f>=T58</f>
        <v>0.65</v>
      </c>
      <c r="V58" s="321" t="s"/>
      <c r="W58" s="321" t="s"/>
      <c r="X58" s="321" t="s"/>
      <c r="Y58" s="321" t="s"/>
      <c r="Z58" s="321" t="s"/>
    </row>
    <row r="59" spans="1:26" ht="12" customHeight="true">
      <c r="A59" s="314" t="s"/>
      <c r="B59" s="323" t="s">
        <v>534</v>
      </c>
      <c r="C59" s="324">
        <f>=IF($D58="美元",辅助表1评估项目基础数据表!$C$17,IF($D58="其他外币",辅助表1评估项目基础数据表!$C$18,1))</f>
        <v>1</v>
      </c>
      <c r="D59" s="300" t="s"/>
      <c r="E59" s="325">
        <f>=$C59</f>
        <v>1</v>
      </c>
      <c r="F59" s="325">
        <f>=$C59</f>
        <v>1</v>
      </c>
      <c r="G59" s="325">
        <f>=$C59</f>
        <v>1</v>
      </c>
      <c r="H59" s="325">
        <f>=$C59</f>
        <v>1</v>
      </c>
      <c r="I59" s="325">
        <f>=$C59</f>
        <v>1</v>
      </c>
      <c r="J59" s="325">
        <f>=$C59</f>
        <v>1</v>
      </c>
      <c r="K59" s="325">
        <f>=$C59</f>
        <v>1</v>
      </c>
      <c r="L59" s="325">
        <f>=$C59</f>
        <v>1</v>
      </c>
      <c r="M59" s="325">
        <f>=$C59</f>
        <v>1</v>
      </c>
      <c r="N59" s="325">
        <f>=$C59</f>
        <v>1</v>
      </c>
      <c r="O59" s="325">
        <f>=$C59</f>
        <v>1</v>
      </c>
      <c r="P59" s="325">
        <f>=$C59</f>
        <v>1</v>
      </c>
      <c r="Q59" s="325">
        <f>=$C59</f>
        <v>1</v>
      </c>
      <c r="R59" s="325">
        <f>=$C59</f>
        <v>1</v>
      </c>
      <c r="S59" s="325">
        <f>=$C59</f>
        <v>1</v>
      </c>
      <c r="T59" s="325">
        <f>=$C59</f>
        <v>1</v>
      </c>
      <c r="U59" s="325">
        <f>=$C59</f>
        <v>1</v>
      </c>
      <c r="V59" s="325" t="s"/>
      <c r="W59" s="325" t="s"/>
      <c r="X59" s="325" t="s"/>
      <c r="Y59" s="325" t="s"/>
      <c r="Z59" s="325" t="s"/>
    </row>
    <row r="60" spans="1:26" ht="12" customHeight="true">
      <c r="A60" s="314" t="s"/>
      <c r="B60" s="326" t="s">
        <v>676</v>
      </c>
      <c r="C60" s="327" t="s"/>
      <c r="D60" s="310" t="s"/>
      <c r="E60" s="328">
        <f>=E58*E59</f>
        <v>0.65</v>
      </c>
      <c r="F60" s="328">
        <f>=F58*F59</f>
        <v>0.65</v>
      </c>
      <c r="G60" s="328">
        <f>=G58*G59</f>
        <v>0.65</v>
      </c>
      <c r="H60" s="328">
        <f>=H58*H59</f>
        <v>0.65</v>
      </c>
      <c r="I60" s="328">
        <f>=I58*I59</f>
        <v>0.65</v>
      </c>
      <c r="J60" s="328">
        <f>=J58*J59</f>
        <v>0.65</v>
      </c>
      <c r="K60" s="328">
        <f>=K58*K59</f>
        <v>0.65</v>
      </c>
      <c r="L60" s="328">
        <f>=L58*L59</f>
        <v>0.65</v>
      </c>
      <c r="M60" s="328">
        <f>=M58*M59</f>
        <v>0.65</v>
      </c>
      <c r="N60" s="328">
        <f>=N58*N59</f>
        <v>0.65</v>
      </c>
      <c r="O60" s="328">
        <f>=O58*O59</f>
        <v>0.65</v>
      </c>
      <c r="P60" s="328">
        <f>=P58*P59</f>
        <v>0.65</v>
      </c>
      <c r="Q60" s="328">
        <f>=Q58*Q59</f>
        <v>0.65</v>
      </c>
      <c r="R60" s="328">
        <f>=R58*R59</f>
        <v>0.65</v>
      </c>
      <c r="S60" s="328">
        <f>=S58*S59</f>
        <v>0.65</v>
      </c>
      <c r="T60" s="328">
        <f>=T58*T59</f>
        <v>0.65</v>
      </c>
      <c r="U60" s="328">
        <f>=U58*U59</f>
        <v>0.65</v>
      </c>
      <c r="V60" s="328" t="s"/>
      <c r="W60" s="328" t="s"/>
      <c r="X60" s="328" t="s"/>
      <c r="Y60" s="328" t="s"/>
      <c r="Z60" s="328" t="s"/>
    </row>
    <row r="61" spans="1:26" ht="12" customHeight="true">
      <c r="A61" s="314" t="s"/>
      <c r="B61" s="333" t="s">
        <v>677</v>
      </c>
      <c r="C61" s="330" t="s">
        <v>687</v>
      </c>
      <c r="D61" s="306">
        <f>=SUM(E61:Z61)</f>
        <v>534.6</v>
      </c>
      <c r="E61" s="321">
        <f>=60*3.5*60*180/10000*E9</f>
        <v>0</v>
      </c>
      <c r="F61" s="321">
        <f>=60*3.5*60*360/10000*F9</f>
        <v>0</v>
      </c>
      <c r="G61" s="331">
        <f>=5*600*0.5*180/10000*G9</f>
        <v>13.5</v>
      </c>
      <c r="H61" s="331">
        <f>=5*600*0.5*360/10000*H9</f>
        <v>32.4</v>
      </c>
      <c r="I61" s="331">
        <f>=5*600*0.5*360/10000*I9</f>
        <v>37.8</v>
      </c>
      <c r="J61" s="331">
        <f>=5*600*0.5*360/10000*J9</f>
        <v>43.2</v>
      </c>
      <c r="K61" s="331">
        <f>=5*600*0.5*360/10000*K9</f>
        <v>48.6</v>
      </c>
      <c r="L61" s="331">
        <f>=5*600*0.5*360/10000*L9</f>
        <v>51.3</v>
      </c>
      <c r="M61" s="331">
        <f>=5*600*0.5*360/10000*M9</f>
        <v>51.3</v>
      </c>
      <c r="N61" s="331">
        <f>=5*600*0.5*360/10000*N9</f>
        <v>51.3</v>
      </c>
      <c r="O61" s="331">
        <f>=5*600*0.5*360/10000*O9</f>
        <v>51.3</v>
      </c>
      <c r="P61" s="331">
        <f>=5*600*0.5*360/10000*P9</f>
        <v>51.3</v>
      </c>
      <c r="Q61" s="331">
        <f>=5*600*0.5*360/10000*Q9</f>
        <v>51.3</v>
      </c>
      <c r="R61" s="331">
        <f>=5*600*0.5*360/10000*R9</f>
        <v>51.3</v>
      </c>
      <c r="S61" s="331">
        <f>=10*60*4*360/10000*S9</f>
        <v>0</v>
      </c>
      <c r="T61" s="331">
        <f>=S61</f>
        <v>0</v>
      </c>
      <c r="U61" s="331">
        <f>=T61</f>
        <v>0</v>
      </c>
      <c r="V61" s="331" t="s"/>
      <c r="W61" s="331" t="s"/>
      <c r="X61" s="331" t="s"/>
      <c r="Y61" s="331" t="s"/>
      <c r="Z61" s="331" t="s"/>
    </row>
    <row r="62" spans="1:26" ht="12" customHeight="true">
      <c r="A62" s="314" t="s"/>
      <c r="B62" s="333" t="s">
        <v>680</v>
      </c>
      <c r="C62" s="333" t="s"/>
      <c r="D62" s="306">
        <f>=SUM(E62:Z62)</f>
        <v>347.49</v>
      </c>
      <c r="E62" s="306">
        <f>=E60*E61</f>
        <v>0</v>
      </c>
      <c r="F62" s="306">
        <f>=F60*F61</f>
        <v>0</v>
      </c>
      <c r="G62" s="306">
        <f>=G60*G61</f>
        <v>8.775</v>
      </c>
      <c r="H62" s="306">
        <f>=H60*H61</f>
        <v>21.06</v>
      </c>
      <c r="I62" s="306">
        <f>=I60*I61</f>
        <v>24.57</v>
      </c>
      <c r="J62" s="306">
        <f>=J60*J61</f>
        <v>28.08</v>
      </c>
      <c r="K62" s="306">
        <f>=K60*K61</f>
        <v>31.59</v>
      </c>
      <c r="L62" s="306">
        <f>=L60*L61</f>
        <v>33.345</v>
      </c>
      <c r="M62" s="306">
        <f>=M60*M61</f>
        <v>33.345</v>
      </c>
      <c r="N62" s="306">
        <f>=N60*N61</f>
        <v>33.345</v>
      </c>
      <c r="O62" s="306">
        <f>=O60*O61</f>
        <v>33.345</v>
      </c>
      <c r="P62" s="306">
        <f>=P60*P61</f>
        <v>33.345</v>
      </c>
      <c r="Q62" s="306">
        <f>=Q60*Q61</f>
        <v>33.345</v>
      </c>
      <c r="R62" s="306">
        <f>=R60*R61</f>
        <v>33.345</v>
      </c>
      <c r="S62" s="306">
        <f>=S60*S61</f>
        <v>0</v>
      </c>
      <c r="T62" s="306">
        <f>=T60*T61</f>
        <v>0</v>
      </c>
      <c r="U62" s="306">
        <f>=U60*U61</f>
        <v>0</v>
      </c>
      <c r="V62" s="306" t="s"/>
      <c r="W62" s="306" t="s"/>
      <c r="X62" s="306" t="s"/>
      <c r="Y62" s="306" t="s"/>
      <c r="Z62" s="306" t="s"/>
    </row>
    <row r="63" spans="1:26" ht="12" customHeight="true">
      <c r="A63" s="314" t="s"/>
      <c r="B63" s="334" t="s">
        <v>682</v>
      </c>
      <c r="C63" s="335">
        <v>0.06</v>
      </c>
      <c r="D63" s="310" t="s"/>
      <c r="E63" s="336">
        <f>=$C63</f>
        <v>0.06</v>
      </c>
      <c r="F63" s="336">
        <f>=$C63</f>
        <v>0.06</v>
      </c>
      <c r="G63" s="336">
        <f>=$C63</f>
        <v>0.06</v>
      </c>
      <c r="H63" s="336">
        <f>=$C63</f>
        <v>0.06</v>
      </c>
      <c r="I63" s="336">
        <f>=$C63</f>
        <v>0.06</v>
      </c>
      <c r="J63" s="336">
        <f>=$C63</f>
        <v>0.06</v>
      </c>
      <c r="K63" s="336">
        <f>=$C63</f>
        <v>0.06</v>
      </c>
      <c r="L63" s="336">
        <f>=$C63</f>
        <v>0.06</v>
      </c>
      <c r="M63" s="336">
        <f>=$C63</f>
        <v>0.06</v>
      </c>
      <c r="N63" s="336">
        <f>=$C63</f>
        <v>0.06</v>
      </c>
      <c r="O63" s="336">
        <f>=$C63</f>
        <v>0.06</v>
      </c>
      <c r="P63" s="336">
        <f>=$C63</f>
        <v>0.06</v>
      </c>
      <c r="Q63" s="336">
        <f>=$C63</f>
        <v>0.06</v>
      </c>
      <c r="R63" s="336">
        <f>=$C63</f>
        <v>0.06</v>
      </c>
      <c r="S63" s="336">
        <f>=$C63</f>
        <v>0.06</v>
      </c>
      <c r="T63" s="336">
        <f>=$C63</f>
        <v>0.06</v>
      </c>
      <c r="U63" s="336">
        <f>=$C63</f>
        <v>0.06</v>
      </c>
      <c r="V63" s="336" t="s"/>
      <c r="W63" s="336" t="s"/>
      <c r="X63" s="336" t="s"/>
      <c r="Y63" s="336" t="s"/>
      <c r="Z63" s="336" t="s"/>
    </row>
    <row r="64" spans="1:26" ht="12" customHeight="true">
      <c r="A64" s="314" t="s"/>
      <c r="B64" s="334" t="s">
        <v>654</v>
      </c>
      <c r="C64" s="310" t="s"/>
      <c r="D64" s="306">
        <f>=SUM(E64:Z64)</f>
        <v>19.6692452830189</v>
      </c>
      <c r="E64" s="306">
        <f>=E62*E63/(1+E63)</f>
        <v>0</v>
      </c>
      <c r="F64" s="306">
        <f>=F62*F63/(1+F63)</f>
        <v>0</v>
      </c>
      <c r="G64" s="306">
        <f>=G62*G63/(1+G63)</f>
        <v>0.496698113207547</v>
      </c>
      <c r="H64" s="306">
        <f>=H62*H63/(1+H63)</f>
        <v>1.19207547169811</v>
      </c>
      <c r="I64" s="306">
        <f>=I62*I63/(1+I63)</f>
        <v>1.39075471698113</v>
      </c>
      <c r="J64" s="306">
        <f>=J62*J63/(1+J63)</f>
        <v>1.58943396226415</v>
      </c>
      <c r="K64" s="306">
        <f>=K62*K63/(1+K63)</f>
        <v>1.78811320754717</v>
      </c>
      <c r="L64" s="306">
        <f>=L62*L63/(1+L63)</f>
        <v>1.88745283018868</v>
      </c>
      <c r="M64" s="306">
        <f>=M62*M63/(1+M63)</f>
        <v>1.88745283018868</v>
      </c>
      <c r="N64" s="306">
        <f>=N62*N63/(1+N63)</f>
        <v>1.88745283018868</v>
      </c>
      <c r="O64" s="306">
        <f>=O62*O63/(1+O63)</f>
        <v>1.88745283018868</v>
      </c>
      <c r="P64" s="306">
        <f>=P62*P63/(1+P63)</f>
        <v>1.88745283018868</v>
      </c>
      <c r="Q64" s="306">
        <f>=Q62*Q63/(1+Q63)</f>
        <v>1.88745283018868</v>
      </c>
      <c r="R64" s="306">
        <f>=R62*R63/(1+R63)</f>
        <v>1.88745283018868</v>
      </c>
      <c r="S64" s="306">
        <f>=S62*S63/(1+S63)</f>
        <v>0</v>
      </c>
      <c r="T64" s="306">
        <f>=T62*T63/(1+T63)</f>
        <v>0</v>
      </c>
      <c r="U64" s="306">
        <f>=U62*U63/(1+U63)</f>
        <v>0</v>
      </c>
      <c r="V64" s="306" t="s"/>
      <c r="W64" s="306" t="s"/>
      <c r="X64" s="306" t="s"/>
      <c r="Y64" s="306" t="s"/>
      <c r="Z64" s="306" t="s"/>
    </row>
    <row r="65" spans="1:26" ht="12" customHeight="true">
      <c r="A65" s="314" t="s"/>
      <c r="B65" s="334" t="s">
        <v>683</v>
      </c>
      <c r="C65" s="310" t="s"/>
      <c r="D65" s="310" t="s"/>
      <c r="E65" s="336">
        <f>=$C65</f>
        <v>0</v>
      </c>
      <c r="F65" s="336">
        <f>=$C65</f>
        <v>0</v>
      </c>
      <c r="G65" s="336">
        <f>=$C65</f>
        <v>0</v>
      </c>
      <c r="H65" s="336">
        <f>=$C65</f>
        <v>0</v>
      </c>
      <c r="I65" s="336">
        <f>=$C65</f>
        <v>0</v>
      </c>
      <c r="J65" s="336">
        <f>=$C65</f>
        <v>0</v>
      </c>
      <c r="K65" s="336">
        <f>=$C65</f>
        <v>0</v>
      </c>
      <c r="L65" s="336">
        <f>=$C65</f>
        <v>0</v>
      </c>
      <c r="M65" s="336">
        <f>=$C65</f>
        <v>0</v>
      </c>
      <c r="N65" s="336">
        <f>=$C65</f>
        <v>0</v>
      </c>
      <c r="O65" s="336">
        <f>=$C65</f>
        <v>0</v>
      </c>
      <c r="P65" s="336">
        <f>=$C65</f>
        <v>0</v>
      </c>
      <c r="Q65" s="336">
        <f>=$C65</f>
        <v>0</v>
      </c>
      <c r="R65" s="336">
        <f>=$C65</f>
        <v>0</v>
      </c>
      <c r="S65" s="336">
        <f>=$C65</f>
        <v>0</v>
      </c>
      <c r="T65" s="336">
        <f>=$C65</f>
        <v>0</v>
      </c>
      <c r="U65" s="336">
        <f>=$C65</f>
        <v>0</v>
      </c>
      <c r="V65" s="336">
        <f>=$C65</f>
        <v>0</v>
      </c>
      <c r="W65" s="336">
        <f>=$C65</f>
        <v>0</v>
      </c>
      <c r="X65" s="336">
        <f>=$C65</f>
        <v>0</v>
      </c>
      <c r="Y65" s="336">
        <f>=$C65</f>
        <v>0</v>
      </c>
      <c r="Z65" s="336">
        <f>=$C65</f>
        <v>0</v>
      </c>
    </row>
    <row r="66" spans="1:26" ht="12" customHeight="true">
      <c r="A66" s="314" t="s"/>
      <c r="B66" s="334" t="s">
        <v>684</v>
      </c>
      <c r="C66" s="337" t="s"/>
      <c r="D66" s="306">
        <f>=SUM(E66:Z66)</f>
        <v>0</v>
      </c>
      <c r="E66" s="306">
        <f>=E62*E65</f>
        <v>0</v>
      </c>
      <c r="F66" s="306">
        <f>=F62*F65</f>
        <v>0</v>
      </c>
      <c r="G66" s="306">
        <f>=G62*G65</f>
        <v>0</v>
      </c>
      <c r="H66" s="306">
        <f>=H62*H65</f>
        <v>0</v>
      </c>
      <c r="I66" s="306">
        <f>=I62*I65</f>
        <v>0</v>
      </c>
      <c r="J66" s="306">
        <f>=J62*J65</f>
        <v>0</v>
      </c>
      <c r="K66" s="306">
        <f>=K62*K65</f>
        <v>0</v>
      </c>
      <c r="L66" s="306">
        <f>=L62*L65</f>
        <v>0</v>
      </c>
      <c r="M66" s="306">
        <f>=M62*M65</f>
        <v>0</v>
      </c>
      <c r="N66" s="306">
        <f>=N62*N65</f>
        <v>0</v>
      </c>
      <c r="O66" s="306">
        <f>=O62*O65</f>
        <v>0</v>
      </c>
      <c r="P66" s="306">
        <f>=P62*P65</f>
        <v>0</v>
      </c>
      <c r="Q66" s="306">
        <f>=Q62*Q65</f>
        <v>0</v>
      </c>
      <c r="R66" s="306">
        <f>=R62*R65</f>
        <v>0</v>
      </c>
      <c r="S66" s="306">
        <f>=S62*S65</f>
        <v>0</v>
      </c>
      <c r="T66" s="306">
        <f>=T62*T65</f>
        <v>0</v>
      </c>
      <c r="U66" s="306">
        <f>=U62*U65</f>
        <v>0</v>
      </c>
      <c r="V66" s="306">
        <f>=V62*V65</f>
        <v>0</v>
      </c>
      <c r="W66" s="306">
        <f>=W62*W65</f>
        <v>0</v>
      </c>
      <c r="X66" s="306">
        <f>=X62*X65</f>
        <v>0</v>
      </c>
      <c r="Y66" s="306">
        <f>=Y62*Y65</f>
        <v>0</v>
      </c>
      <c r="Z66" s="306">
        <f>=Z62*Z65</f>
        <v>0</v>
      </c>
    </row>
    <row r="67" spans="1:26" ht="12" customHeight="true">
      <c r="A67" s="314">
        <v>5</v>
      </c>
      <c r="B67" s="342" t="s"/>
      <c r="C67" s="342" t="s"/>
      <c r="D67" s="316" t="s">
        <v>672</v>
      </c>
      <c r="E67" s="300" t="s"/>
      <c r="F67" s="300" t="s"/>
      <c r="G67" s="300" t="s"/>
      <c r="H67" s="300" t="s"/>
      <c r="I67" s="300" t="s"/>
      <c r="J67" s="300" t="s"/>
      <c r="K67" s="300" t="s"/>
      <c r="L67" s="300" t="s"/>
      <c r="M67" s="300" t="s"/>
      <c r="N67" s="300" t="s"/>
      <c r="O67" s="300" t="s"/>
      <c r="P67" s="300" t="s"/>
      <c r="Q67" s="300" t="s"/>
      <c r="R67" s="300" t="s"/>
      <c r="S67" s="300" t="s"/>
      <c r="T67" s="300" t="s"/>
      <c r="U67" s="300" t="s"/>
      <c r="V67" s="300" t="s"/>
      <c r="W67" s="300" t="s"/>
      <c r="X67" s="300" t="s"/>
      <c r="Y67" s="300" t="s"/>
      <c r="Z67" s="300" t="s"/>
    </row>
    <row r="68" spans="1:26" ht="12" customHeight="true">
      <c r="A68" s="314" t="s"/>
      <c r="B68" s="318" t="s">
        <v>688</v>
      </c>
      <c r="C68" s="319" t="s"/>
      <c r="D68" s="320" t="s">
        <v>674</v>
      </c>
      <c r="E68" s="321" t="s"/>
      <c r="F68" s="321">
        <f>=E68</f>
        <v>0</v>
      </c>
      <c r="G68" s="331" t="s"/>
      <c r="H68" s="321">
        <f>=G68</f>
        <v>0</v>
      </c>
      <c r="I68" s="321">
        <f>=H68</f>
        <v>0</v>
      </c>
      <c r="J68" s="321">
        <f>=I68</f>
        <v>0</v>
      </c>
      <c r="K68" s="321">
        <f>=J68</f>
        <v>0</v>
      </c>
      <c r="L68" s="321">
        <f>=K68</f>
        <v>0</v>
      </c>
      <c r="M68" s="321">
        <f>=L68</f>
        <v>0</v>
      </c>
      <c r="N68" s="321">
        <f>=M68</f>
        <v>0</v>
      </c>
      <c r="O68" s="321">
        <f>=N68</f>
        <v>0</v>
      </c>
      <c r="P68" s="321">
        <f>=O68</f>
        <v>0</v>
      </c>
      <c r="Q68" s="321">
        <f>=P68</f>
        <v>0</v>
      </c>
      <c r="R68" s="321">
        <f>=Q68</f>
        <v>0</v>
      </c>
      <c r="S68" s="321">
        <f>=R68</f>
        <v>0</v>
      </c>
      <c r="T68" s="321">
        <f>=S68</f>
        <v>0</v>
      </c>
      <c r="U68" s="321">
        <f>=T68</f>
        <v>0</v>
      </c>
      <c r="V68" s="321">
        <f>=U68</f>
        <v>0</v>
      </c>
      <c r="W68" s="321">
        <f>=V68</f>
        <v>0</v>
      </c>
      <c r="X68" s="321">
        <f>=W68</f>
        <v>0</v>
      </c>
      <c r="Y68" s="321">
        <f>=X68</f>
        <v>0</v>
      </c>
      <c r="Z68" s="321">
        <f>=Y68</f>
        <v>0</v>
      </c>
    </row>
    <row r="69" spans="1:26" ht="12" customHeight="true">
      <c r="A69" s="314" t="s"/>
      <c r="B69" s="323" t="s">
        <v>534</v>
      </c>
      <c r="C69" s="324">
        <f>=IF($D68="美元",辅助表1评估项目基础数据表!$C$17,IF($D68="其他外币",辅助表1评估项目基础数据表!$C$18,1))</f>
        <v>1</v>
      </c>
      <c r="D69" s="300" t="s"/>
      <c r="E69" s="325">
        <f>=$C69</f>
        <v>1</v>
      </c>
      <c r="F69" s="325">
        <f>=$C69</f>
        <v>1</v>
      </c>
      <c r="G69" s="325">
        <f>=$C69</f>
        <v>1</v>
      </c>
      <c r="H69" s="325">
        <f>=$C69</f>
        <v>1</v>
      </c>
      <c r="I69" s="325">
        <f>=$C69</f>
        <v>1</v>
      </c>
      <c r="J69" s="325">
        <f>=$C69</f>
        <v>1</v>
      </c>
      <c r="K69" s="325">
        <f>=$C69</f>
        <v>1</v>
      </c>
      <c r="L69" s="325">
        <f>=$C69</f>
        <v>1</v>
      </c>
      <c r="M69" s="325">
        <f>=$C69</f>
        <v>1</v>
      </c>
      <c r="N69" s="325">
        <f>=$C69</f>
        <v>1</v>
      </c>
      <c r="O69" s="325">
        <f>=$C69</f>
        <v>1</v>
      </c>
      <c r="P69" s="325">
        <f>=$C69</f>
        <v>1</v>
      </c>
      <c r="Q69" s="325">
        <f>=$C69</f>
        <v>1</v>
      </c>
      <c r="R69" s="325">
        <f>=$C69</f>
        <v>1</v>
      </c>
      <c r="S69" s="325">
        <f>=$C69</f>
        <v>1</v>
      </c>
      <c r="T69" s="325">
        <f>=$C69</f>
        <v>1</v>
      </c>
      <c r="U69" s="325">
        <f>=$C69</f>
        <v>1</v>
      </c>
      <c r="V69" s="325">
        <f>=$C69</f>
        <v>1</v>
      </c>
      <c r="W69" s="325">
        <f>=$C69</f>
        <v>1</v>
      </c>
      <c r="X69" s="325">
        <f>=$C69</f>
        <v>1</v>
      </c>
      <c r="Y69" s="325">
        <f>=$C69</f>
        <v>1</v>
      </c>
      <c r="Z69" s="325">
        <f>=$C69</f>
        <v>1</v>
      </c>
    </row>
    <row r="70" spans="1:26" ht="12" customHeight="true">
      <c r="A70" s="314" t="s"/>
      <c r="B70" s="326" t="s">
        <v>676</v>
      </c>
      <c r="C70" s="327" t="s"/>
      <c r="D70" s="310" t="s"/>
      <c r="E70" s="328">
        <f>=E68*E69</f>
        <v>0</v>
      </c>
      <c r="F70" s="328">
        <f>=F68*F69</f>
        <v>0</v>
      </c>
      <c r="G70" s="328">
        <f>=G68*G69</f>
        <v>0</v>
      </c>
      <c r="H70" s="328">
        <f>=H68*H69</f>
        <v>0</v>
      </c>
      <c r="I70" s="328">
        <f>=I68*I69</f>
        <v>0</v>
      </c>
      <c r="J70" s="328">
        <f>=J68*J69</f>
        <v>0</v>
      </c>
      <c r="K70" s="328">
        <f>=K68*K69</f>
        <v>0</v>
      </c>
      <c r="L70" s="328">
        <f>=L68*L69</f>
        <v>0</v>
      </c>
      <c r="M70" s="328">
        <f>=M68*M69</f>
        <v>0</v>
      </c>
      <c r="N70" s="328">
        <f>=N68*N69</f>
        <v>0</v>
      </c>
      <c r="O70" s="328">
        <f>=O68*O69</f>
        <v>0</v>
      </c>
      <c r="P70" s="328">
        <f>=P68*P69</f>
        <v>0</v>
      </c>
      <c r="Q70" s="328">
        <f>=Q68*Q69</f>
        <v>0</v>
      </c>
      <c r="R70" s="328">
        <f>=R68*R69</f>
        <v>0</v>
      </c>
      <c r="S70" s="328">
        <f>=S68*S69</f>
        <v>0</v>
      </c>
      <c r="T70" s="328">
        <f>=T68*T69</f>
        <v>0</v>
      </c>
      <c r="U70" s="328">
        <f>=U68*U69</f>
        <v>0</v>
      </c>
      <c r="V70" s="328">
        <f>=V68*V69</f>
        <v>0</v>
      </c>
      <c r="W70" s="328">
        <f>=W68*W69</f>
        <v>0</v>
      </c>
      <c r="X70" s="328">
        <f>=X68*X69</f>
        <v>0</v>
      </c>
      <c r="Y70" s="328">
        <f>=Y68*Y69</f>
        <v>0</v>
      </c>
      <c r="Z70" s="328">
        <f>=Z68*Z69</f>
        <v>0</v>
      </c>
    </row>
    <row r="71" spans="1:26" ht="12" customHeight="true">
      <c r="A71" s="314" t="s"/>
      <c r="B71" s="333" t="s">
        <v>677</v>
      </c>
      <c r="C71" s="330" t="s"/>
      <c r="D71" s="306">
        <f>=SUM(E71:Z71)</f>
        <v>0</v>
      </c>
      <c r="E71" s="321" t="s"/>
      <c r="F71" s="321">
        <f>=E71</f>
        <v>0</v>
      </c>
      <c r="G71" s="331" t="s"/>
      <c r="H71" s="331" t="s"/>
      <c r="I71" s="331" t="s"/>
      <c r="J71" s="331" t="s"/>
      <c r="K71" s="331" t="s"/>
      <c r="L71" s="331" t="s"/>
      <c r="M71" s="331" t="s"/>
      <c r="N71" s="331" t="s"/>
      <c r="O71" s="331" t="s"/>
      <c r="P71" s="331" t="s"/>
      <c r="Q71" s="331" t="s"/>
      <c r="R71" s="331" t="s"/>
      <c r="S71" s="331" t="s"/>
      <c r="T71" s="331">
        <f>=S71</f>
        <v>0</v>
      </c>
      <c r="U71" s="331">
        <f>=T71</f>
        <v>0</v>
      </c>
      <c r="V71" s="331">
        <f>=U71</f>
        <v>0</v>
      </c>
      <c r="W71" s="331">
        <f>=V71</f>
        <v>0</v>
      </c>
      <c r="X71" s="331">
        <f>=W71</f>
        <v>0</v>
      </c>
      <c r="Y71" s="331">
        <f>=X71</f>
        <v>0</v>
      </c>
      <c r="Z71" s="331">
        <f>=Y71</f>
        <v>0</v>
      </c>
    </row>
    <row r="72" spans="1:26" ht="12" customHeight="true">
      <c r="A72" s="314" t="s"/>
      <c r="B72" s="333" t="s">
        <v>680</v>
      </c>
      <c r="C72" s="333" t="s"/>
      <c r="D72" s="306">
        <f>=SUM(E72:Z72)</f>
        <v>0</v>
      </c>
      <c r="E72" s="306">
        <f>=E70*E71</f>
        <v>0</v>
      </c>
      <c r="F72" s="306">
        <f>=F70*F71</f>
        <v>0</v>
      </c>
      <c r="G72" s="306">
        <f>=G70*G71</f>
        <v>0</v>
      </c>
      <c r="H72" s="306">
        <f>=H70*H71</f>
        <v>0</v>
      </c>
      <c r="I72" s="306">
        <f>=I70*I71</f>
        <v>0</v>
      </c>
      <c r="J72" s="306">
        <f>=J70*J71</f>
        <v>0</v>
      </c>
      <c r="K72" s="306">
        <f>=K70*K71</f>
        <v>0</v>
      </c>
      <c r="L72" s="306">
        <f>=L70*L71</f>
        <v>0</v>
      </c>
      <c r="M72" s="306">
        <f>=M70*M71</f>
        <v>0</v>
      </c>
      <c r="N72" s="306">
        <f>=N70*N71</f>
        <v>0</v>
      </c>
      <c r="O72" s="306">
        <f>=O70*O71</f>
        <v>0</v>
      </c>
      <c r="P72" s="306">
        <f>=P70*P71</f>
        <v>0</v>
      </c>
      <c r="Q72" s="306">
        <f>=Q70*Q71</f>
        <v>0</v>
      </c>
      <c r="R72" s="306">
        <f>=R70*R71</f>
        <v>0</v>
      </c>
      <c r="S72" s="306">
        <f>=S70*S71</f>
        <v>0</v>
      </c>
      <c r="T72" s="306">
        <f>=T70*T71</f>
        <v>0</v>
      </c>
      <c r="U72" s="306">
        <f>=U70*U71</f>
        <v>0</v>
      </c>
      <c r="V72" s="306">
        <f>=V70*V71</f>
        <v>0</v>
      </c>
      <c r="W72" s="306">
        <f>=W70*W71</f>
        <v>0</v>
      </c>
      <c r="X72" s="306">
        <f>=X70*X71</f>
        <v>0</v>
      </c>
      <c r="Y72" s="306">
        <f>=Y70*Y71</f>
        <v>0</v>
      </c>
      <c r="Z72" s="306">
        <f>=Z70*Z71</f>
        <v>0</v>
      </c>
    </row>
    <row r="73" spans="1:26" ht="12" customHeight="true">
      <c r="A73" s="314" t="s"/>
      <c r="B73" s="334" t="s">
        <v>682</v>
      </c>
      <c r="C73" s="335" t="s"/>
      <c r="D73" s="310" t="s"/>
      <c r="E73" s="336">
        <f>=$C73</f>
        <v>0</v>
      </c>
      <c r="F73" s="336">
        <f>=$C73</f>
        <v>0</v>
      </c>
      <c r="G73" s="336">
        <f>=$C73</f>
        <v>0</v>
      </c>
      <c r="H73" s="336">
        <f>=$C73</f>
        <v>0</v>
      </c>
      <c r="I73" s="336">
        <f>=$C73</f>
        <v>0</v>
      </c>
      <c r="J73" s="336">
        <f>=$C73</f>
        <v>0</v>
      </c>
      <c r="K73" s="336">
        <f>=$C73</f>
        <v>0</v>
      </c>
      <c r="L73" s="336">
        <f>=$C73</f>
        <v>0</v>
      </c>
      <c r="M73" s="336">
        <f>=$C73</f>
        <v>0</v>
      </c>
      <c r="N73" s="336">
        <f>=$C73</f>
        <v>0</v>
      </c>
      <c r="O73" s="336">
        <f>=$C73</f>
        <v>0</v>
      </c>
      <c r="P73" s="336">
        <f>=$C73</f>
        <v>0</v>
      </c>
      <c r="Q73" s="336">
        <f>=$C73</f>
        <v>0</v>
      </c>
      <c r="R73" s="336">
        <f>=$C73</f>
        <v>0</v>
      </c>
      <c r="S73" s="336">
        <f>=$C73</f>
        <v>0</v>
      </c>
      <c r="T73" s="336">
        <f>=$C73</f>
        <v>0</v>
      </c>
      <c r="U73" s="336">
        <f>=$C73</f>
        <v>0</v>
      </c>
      <c r="V73" s="336">
        <f>=$C73</f>
        <v>0</v>
      </c>
      <c r="W73" s="336">
        <f>=$C73</f>
        <v>0</v>
      </c>
      <c r="X73" s="336">
        <f>=$C73</f>
        <v>0</v>
      </c>
      <c r="Y73" s="336">
        <f>=$C73</f>
        <v>0</v>
      </c>
      <c r="Z73" s="336">
        <f>=$C73</f>
        <v>0</v>
      </c>
    </row>
    <row r="74" spans="1:26" ht="12" customHeight="true">
      <c r="A74" s="314" t="s"/>
      <c r="B74" s="334" t="s">
        <v>654</v>
      </c>
      <c r="C74" s="310" t="s"/>
      <c r="D74" s="306">
        <f>=SUM(E74:Z74)</f>
        <v>0</v>
      </c>
      <c r="E74" s="306">
        <f>=E72*E73/(1+E73)</f>
        <v>0</v>
      </c>
      <c r="F74" s="306">
        <f>=F72*F73/(1+F73)</f>
        <v>0</v>
      </c>
      <c r="G74" s="306">
        <f>=G72*G73/(1+G73)</f>
        <v>0</v>
      </c>
      <c r="H74" s="306">
        <f>=H72*H73/(1+H73)</f>
        <v>0</v>
      </c>
      <c r="I74" s="306">
        <f>=I72*I73/(1+I73)</f>
        <v>0</v>
      </c>
      <c r="J74" s="306">
        <f>=J72*J73/(1+J73)</f>
        <v>0</v>
      </c>
      <c r="K74" s="306">
        <f>=K72*K73/(1+K73)</f>
        <v>0</v>
      </c>
      <c r="L74" s="306">
        <f>=L72*L73/(1+L73)</f>
        <v>0</v>
      </c>
      <c r="M74" s="306">
        <f>=M72*M73/(1+M73)</f>
        <v>0</v>
      </c>
      <c r="N74" s="306">
        <f>=N72*N73/(1+N73)</f>
        <v>0</v>
      </c>
      <c r="O74" s="306">
        <f>=O72*O73/(1+O73)</f>
        <v>0</v>
      </c>
      <c r="P74" s="306">
        <f>=P72*P73/(1+P73)</f>
        <v>0</v>
      </c>
      <c r="Q74" s="306">
        <f>=Q72*Q73/(1+Q73)</f>
        <v>0</v>
      </c>
      <c r="R74" s="306">
        <f>=R72*R73/(1+R73)</f>
        <v>0</v>
      </c>
      <c r="S74" s="306">
        <f>=S72*S73/(1+S73)</f>
        <v>0</v>
      </c>
      <c r="T74" s="306">
        <f>=T72*T73/(1+T73)</f>
        <v>0</v>
      </c>
      <c r="U74" s="306">
        <f>=U72*U73/(1+U73)</f>
        <v>0</v>
      </c>
      <c r="V74" s="306">
        <f>=V72*V73/(1+V73)</f>
        <v>0</v>
      </c>
      <c r="W74" s="306">
        <f>=W72*W73/(1+W73)</f>
        <v>0</v>
      </c>
      <c r="X74" s="306">
        <f>=X72*X73/(1+X73)</f>
        <v>0</v>
      </c>
      <c r="Y74" s="306">
        <f>=Y72*Y73/(1+Y73)</f>
        <v>0</v>
      </c>
      <c r="Z74" s="306">
        <f>=Z72*Z73/(1+Z73)</f>
        <v>0</v>
      </c>
    </row>
    <row r="75" spans="1:26" ht="12" customHeight="true">
      <c r="A75" s="314" t="s"/>
      <c r="B75" s="334" t="s">
        <v>683</v>
      </c>
      <c r="C75" s="310" t="s"/>
      <c r="D75" s="310" t="s"/>
      <c r="E75" s="336">
        <f>=$C75</f>
        <v>0</v>
      </c>
      <c r="F75" s="336">
        <f>=$C75</f>
        <v>0</v>
      </c>
      <c r="G75" s="336">
        <f>=$C75</f>
        <v>0</v>
      </c>
      <c r="H75" s="336">
        <f>=$C75</f>
        <v>0</v>
      </c>
      <c r="I75" s="336">
        <f>=$C75</f>
        <v>0</v>
      </c>
      <c r="J75" s="336">
        <f>=$C75</f>
        <v>0</v>
      </c>
      <c r="K75" s="336">
        <f>=$C75</f>
        <v>0</v>
      </c>
      <c r="L75" s="336">
        <f>=$C75</f>
        <v>0</v>
      </c>
      <c r="M75" s="336">
        <f>=$C75</f>
        <v>0</v>
      </c>
      <c r="N75" s="336">
        <f>=$C75</f>
        <v>0</v>
      </c>
      <c r="O75" s="336">
        <f>=$C75</f>
        <v>0</v>
      </c>
      <c r="P75" s="336">
        <f>=$C75</f>
        <v>0</v>
      </c>
      <c r="Q75" s="336">
        <f>=$C75</f>
        <v>0</v>
      </c>
      <c r="R75" s="336">
        <f>=$C75</f>
        <v>0</v>
      </c>
      <c r="S75" s="336">
        <f>=$C75</f>
        <v>0</v>
      </c>
      <c r="T75" s="336">
        <f>=$C75</f>
        <v>0</v>
      </c>
      <c r="U75" s="336">
        <f>=$C75</f>
        <v>0</v>
      </c>
      <c r="V75" s="336">
        <f>=$C75</f>
        <v>0</v>
      </c>
      <c r="W75" s="336">
        <f>=$C75</f>
        <v>0</v>
      </c>
      <c r="X75" s="336">
        <f>=$C75</f>
        <v>0</v>
      </c>
      <c r="Y75" s="336">
        <f>=$C75</f>
        <v>0</v>
      </c>
      <c r="Z75" s="336">
        <f>=$C75</f>
        <v>0</v>
      </c>
    </row>
    <row r="76" spans="1:26" ht="12" customHeight="true">
      <c r="A76" s="314" t="s"/>
      <c r="B76" s="334" t="s">
        <v>684</v>
      </c>
      <c r="C76" s="337" t="s"/>
      <c r="D76" s="306">
        <f>=SUM(E76:Z76)</f>
        <v>0</v>
      </c>
      <c r="E76" s="306">
        <f>=E72*E75</f>
        <v>0</v>
      </c>
      <c r="F76" s="306">
        <f>=F72*F75</f>
        <v>0</v>
      </c>
      <c r="G76" s="306">
        <f>=G72*G75</f>
        <v>0</v>
      </c>
      <c r="H76" s="306">
        <f>=H72*H75</f>
        <v>0</v>
      </c>
      <c r="I76" s="306">
        <f>=I72*I75</f>
        <v>0</v>
      </c>
      <c r="J76" s="306">
        <f>=J72*J75</f>
        <v>0</v>
      </c>
      <c r="K76" s="306">
        <f>=K72*K75</f>
        <v>0</v>
      </c>
      <c r="L76" s="306">
        <f>=L72*L75</f>
        <v>0</v>
      </c>
      <c r="M76" s="306">
        <f>=M72*M75</f>
        <v>0</v>
      </c>
      <c r="N76" s="306">
        <f>=N72*N75</f>
        <v>0</v>
      </c>
      <c r="O76" s="306">
        <f>=O72*O75</f>
        <v>0</v>
      </c>
      <c r="P76" s="306">
        <f>=P72*P75</f>
        <v>0</v>
      </c>
      <c r="Q76" s="306">
        <f>=Q72*Q75</f>
        <v>0</v>
      </c>
      <c r="R76" s="306">
        <f>=R72*R75</f>
        <v>0</v>
      </c>
      <c r="S76" s="306">
        <f>=S72*S75</f>
        <v>0</v>
      </c>
      <c r="T76" s="306">
        <f>=T72*T75</f>
        <v>0</v>
      </c>
      <c r="U76" s="306">
        <f>=U72*U75</f>
        <v>0</v>
      </c>
      <c r="V76" s="306">
        <f>=V72*V75</f>
        <v>0</v>
      </c>
      <c r="W76" s="306">
        <f>=W72*W75</f>
        <v>0</v>
      </c>
      <c r="X76" s="306">
        <f>=X72*X75</f>
        <v>0</v>
      </c>
      <c r="Y76" s="306">
        <f>=Y72*Y75</f>
        <v>0</v>
      </c>
      <c r="Z76" s="306">
        <f>=Z72*Z75</f>
        <v>0</v>
      </c>
    </row>
    <row r="77" spans="1:26" ht="12" customHeight="true">
      <c r="A77" s="314">
        <v>6</v>
      </c>
      <c r="B77" s="342" t="s"/>
      <c r="C77" s="342" t="s"/>
      <c r="D77" s="316" t="s">
        <v>672</v>
      </c>
      <c r="E77" s="300" t="s"/>
      <c r="F77" s="300" t="s"/>
      <c r="G77" s="300" t="s"/>
      <c r="H77" s="300" t="s"/>
      <c r="I77" s="300" t="s"/>
      <c r="J77" s="300" t="s"/>
      <c r="K77" s="300" t="s"/>
      <c r="L77" s="300" t="s"/>
      <c r="M77" s="300" t="s"/>
      <c r="N77" s="300" t="s"/>
      <c r="O77" s="300" t="s"/>
      <c r="P77" s="300" t="s"/>
      <c r="Q77" s="300" t="s"/>
      <c r="R77" s="300" t="s"/>
      <c r="S77" s="300" t="s"/>
      <c r="T77" s="300" t="s"/>
      <c r="U77" s="300" t="s"/>
      <c r="V77" s="300" t="s"/>
      <c r="W77" s="300" t="s"/>
      <c r="X77" s="300" t="s"/>
      <c r="Y77" s="300" t="s"/>
      <c r="Z77" s="300" t="s"/>
    </row>
    <row r="78" spans="1:26" ht="12" customHeight="true">
      <c r="A78" s="314" t="s"/>
      <c r="B78" s="318" t="s">
        <v>688</v>
      </c>
      <c r="C78" s="319" t="s"/>
      <c r="D78" s="320" t="s">
        <v>674</v>
      </c>
      <c r="E78" s="321" t="s"/>
      <c r="F78" s="321">
        <f>=E78</f>
        <v>0</v>
      </c>
      <c r="G78" s="331" t="s"/>
      <c r="H78" s="321">
        <f>=G78</f>
        <v>0</v>
      </c>
      <c r="I78" s="321">
        <f>=H78</f>
        <v>0</v>
      </c>
      <c r="J78" s="321">
        <f>=I78</f>
        <v>0</v>
      </c>
      <c r="K78" s="321">
        <f>=J78</f>
        <v>0</v>
      </c>
      <c r="L78" s="321">
        <f>=K78</f>
        <v>0</v>
      </c>
      <c r="M78" s="321">
        <f>=L78</f>
        <v>0</v>
      </c>
      <c r="N78" s="321">
        <f>=M78</f>
        <v>0</v>
      </c>
      <c r="O78" s="321">
        <f>=N78</f>
        <v>0</v>
      </c>
      <c r="P78" s="321">
        <f>=O78</f>
        <v>0</v>
      </c>
      <c r="Q78" s="321">
        <f>=P78</f>
        <v>0</v>
      </c>
      <c r="R78" s="321">
        <f>=Q78</f>
        <v>0</v>
      </c>
      <c r="S78" s="321">
        <f>=R78</f>
        <v>0</v>
      </c>
      <c r="T78" s="321">
        <f>=S78</f>
        <v>0</v>
      </c>
      <c r="U78" s="321">
        <f>=T78</f>
        <v>0</v>
      </c>
      <c r="V78" s="321">
        <f>=U78</f>
        <v>0</v>
      </c>
      <c r="W78" s="321">
        <f>=V78</f>
        <v>0</v>
      </c>
      <c r="X78" s="321">
        <f>=W78</f>
        <v>0</v>
      </c>
      <c r="Y78" s="321">
        <f>=X78</f>
        <v>0</v>
      </c>
      <c r="Z78" s="321">
        <f>=Y78</f>
        <v>0</v>
      </c>
    </row>
    <row r="79" spans="1:26" ht="12" customHeight="true">
      <c r="A79" s="314" t="s"/>
      <c r="B79" s="323" t="s">
        <v>534</v>
      </c>
      <c r="C79" s="324">
        <f>=IF($D78="美元",辅助表1评估项目基础数据表!$C$17,IF($D78="其他外币",辅助表1评估项目基础数据表!$C$18,1))</f>
        <v>1</v>
      </c>
      <c r="D79" s="300" t="s"/>
      <c r="E79" s="325">
        <f>=$C79</f>
        <v>1</v>
      </c>
      <c r="F79" s="325">
        <f>=$C79</f>
        <v>1</v>
      </c>
      <c r="G79" s="343">
        <f>=$C79</f>
        <v>1</v>
      </c>
      <c r="H79" s="325">
        <f>=$C79</f>
        <v>1</v>
      </c>
      <c r="I79" s="325">
        <f>=$C79</f>
        <v>1</v>
      </c>
      <c r="J79" s="325">
        <f>=$C79</f>
        <v>1</v>
      </c>
      <c r="K79" s="325">
        <f>=$C79</f>
        <v>1</v>
      </c>
      <c r="L79" s="325">
        <f>=$C79</f>
        <v>1</v>
      </c>
      <c r="M79" s="325">
        <f>=$C79</f>
        <v>1</v>
      </c>
      <c r="N79" s="325">
        <f>=$C79</f>
        <v>1</v>
      </c>
      <c r="O79" s="325">
        <f>=$C79</f>
        <v>1</v>
      </c>
      <c r="P79" s="325">
        <f>=$C79</f>
        <v>1</v>
      </c>
      <c r="Q79" s="325">
        <f>=$C79</f>
        <v>1</v>
      </c>
      <c r="R79" s="325">
        <f>=$C79</f>
        <v>1</v>
      </c>
      <c r="S79" s="325">
        <f>=$C79</f>
        <v>1</v>
      </c>
      <c r="T79" s="325">
        <f>=$C79</f>
        <v>1</v>
      </c>
      <c r="U79" s="325">
        <f>=$C79</f>
        <v>1</v>
      </c>
      <c r="V79" s="325">
        <f>=$C79</f>
        <v>1</v>
      </c>
      <c r="W79" s="325">
        <f>=$C79</f>
        <v>1</v>
      </c>
      <c r="X79" s="325">
        <f>=$C79</f>
        <v>1</v>
      </c>
      <c r="Y79" s="325">
        <f>=$C79</f>
        <v>1</v>
      </c>
      <c r="Z79" s="325">
        <f>=$C79</f>
        <v>1</v>
      </c>
    </row>
    <row r="80" spans="1:26" ht="12" customHeight="true">
      <c r="A80" s="314" t="s"/>
      <c r="B80" s="326" t="s">
        <v>676</v>
      </c>
      <c r="C80" s="327" t="s"/>
      <c r="D80" s="310" t="s"/>
      <c r="E80" s="328">
        <f>=E78*E79</f>
        <v>0</v>
      </c>
      <c r="F80" s="328">
        <f>=F78*F79</f>
        <v>0</v>
      </c>
      <c r="G80" s="344">
        <f>=G78*G79</f>
        <v>0</v>
      </c>
      <c r="H80" s="328">
        <f>=H78*H79</f>
        <v>0</v>
      </c>
      <c r="I80" s="328">
        <f>=I78*I79</f>
        <v>0</v>
      </c>
      <c r="J80" s="328">
        <f>=J78*J79</f>
        <v>0</v>
      </c>
      <c r="K80" s="328">
        <f>=K78*K79</f>
        <v>0</v>
      </c>
      <c r="L80" s="328">
        <f>=L78*L79</f>
        <v>0</v>
      </c>
      <c r="M80" s="328">
        <f>=M78*M79</f>
        <v>0</v>
      </c>
      <c r="N80" s="328">
        <f>=N78*N79</f>
        <v>0</v>
      </c>
      <c r="O80" s="328">
        <f>=O78*O79</f>
        <v>0</v>
      </c>
      <c r="P80" s="328">
        <f>=P78*P79</f>
        <v>0</v>
      </c>
      <c r="Q80" s="328">
        <f>=Q78*Q79</f>
        <v>0</v>
      </c>
      <c r="R80" s="328">
        <f>=R78*R79</f>
        <v>0</v>
      </c>
      <c r="S80" s="328">
        <f>=S78*S79</f>
        <v>0</v>
      </c>
      <c r="T80" s="328">
        <f>=T78*T79</f>
        <v>0</v>
      </c>
      <c r="U80" s="328">
        <f>=U78*U79</f>
        <v>0</v>
      </c>
      <c r="V80" s="328">
        <f>=V78*V79</f>
        <v>0</v>
      </c>
      <c r="W80" s="328">
        <f>=W78*W79</f>
        <v>0</v>
      </c>
      <c r="X80" s="328">
        <f>=X78*X79</f>
        <v>0</v>
      </c>
      <c r="Y80" s="328">
        <f>=Y78*Y79</f>
        <v>0</v>
      </c>
      <c r="Z80" s="328">
        <f>=Z78*Z79</f>
        <v>0</v>
      </c>
    </row>
    <row r="81" spans="1:26" ht="12" customHeight="true">
      <c r="A81" s="314" t="s"/>
      <c r="B81" s="333" t="s">
        <v>677</v>
      </c>
      <c r="C81" s="330" t="s"/>
      <c r="D81" s="306">
        <f>=SUM(E81:Z81)</f>
        <v>0</v>
      </c>
      <c r="E81" s="321" t="s"/>
      <c r="F81" s="321">
        <f>=E81</f>
        <v>0</v>
      </c>
      <c r="G81" s="331" t="s"/>
      <c r="H81" s="331" t="s"/>
      <c r="I81" s="331" t="s"/>
      <c r="J81" s="331" t="s"/>
      <c r="K81" s="331" t="s"/>
      <c r="L81" s="331" t="s"/>
      <c r="M81" s="331" t="s"/>
      <c r="N81" s="331" t="s"/>
      <c r="O81" s="331" t="s"/>
      <c r="P81" s="331" t="s"/>
      <c r="Q81" s="331" t="s"/>
      <c r="R81" s="331" t="s"/>
      <c r="S81" s="331" t="s"/>
      <c r="T81" s="331">
        <f>=S81</f>
        <v>0</v>
      </c>
      <c r="U81" s="331">
        <f>=T81</f>
        <v>0</v>
      </c>
      <c r="V81" s="331">
        <f>=U81</f>
        <v>0</v>
      </c>
      <c r="W81" s="331">
        <f>=V81</f>
        <v>0</v>
      </c>
      <c r="X81" s="331">
        <f>=W81</f>
        <v>0</v>
      </c>
      <c r="Y81" s="331">
        <f>=X81</f>
        <v>0</v>
      </c>
      <c r="Z81" s="331">
        <f>=Y81</f>
        <v>0</v>
      </c>
    </row>
    <row r="82" spans="1:26" ht="12" customHeight="true">
      <c r="A82" s="314" t="s"/>
      <c r="B82" s="333" t="s">
        <v>680</v>
      </c>
      <c r="C82" s="333" t="s"/>
      <c r="D82" s="306">
        <f>=SUM(E82:Z82)</f>
        <v>0</v>
      </c>
      <c r="E82" s="306">
        <f>=E80*E81</f>
        <v>0</v>
      </c>
      <c r="F82" s="306">
        <f>=F80*F81</f>
        <v>0</v>
      </c>
      <c r="G82" s="306">
        <f>=G80*G81</f>
        <v>0</v>
      </c>
      <c r="H82" s="306">
        <f>=H80*H81</f>
        <v>0</v>
      </c>
      <c r="I82" s="306">
        <f>=I80*I81</f>
        <v>0</v>
      </c>
      <c r="J82" s="306">
        <f>=J80*J81</f>
        <v>0</v>
      </c>
      <c r="K82" s="306">
        <f>=K80*K81</f>
        <v>0</v>
      </c>
      <c r="L82" s="306">
        <f>=L80*L81</f>
        <v>0</v>
      </c>
      <c r="M82" s="306">
        <f>=M80*M81</f>
        <v>0</v>
      </c>
      <c r="N82" s="306">
        <f>=N80*N81</f>
        <v>0</v>
      </c>
      <c r="O82" s="306">
        <f>=O80*O81</f>
        <v>0</v>
      </c>
      <c r="P82" s="306">
        <f>=P80*P81</f>
        <v>0</v>
      </c>
      <c r="Q82" s="306">
        <f>=Q80*Q81</f>
        <v>0</v>
      </c>
      <c r="R82" s="306">
        <f>=R80*R81</f>
        <v>0</v>
      </c>
      <c r="S82" s="306">
        <f>=S80*S81</f>
        <v>0</v>
      </c>
      <c r="T82" s="306">
        <f>=T80*T81</f>
        <v>0</v>
      </c>
      <c r="U82" s="306">
        <f>=U80*U81</f>
        <v>0</v>
      </c>
      <c r="V82" s="306">
        <f>=V80*V81</f>
        <v>0</v>
      </c>
      <c r="W82" s="306">
        <f>=W80*W81</f>
        <v>0</v>
      </c>
      <c r="X82" s="306">
        <f>=X80*X81</f>
        <v>0</v>
      </c>
      <c r="Y82" s="306">
        <f>=Y80*Y81</f>
        <v>0</v>
      </c>
      <c r="Z82" s="306">
        <f>=Z80*Z81</f>
        <v>0</v>
      </c>
    </row>
    <row r="83" spans="1:26" ht="12" customHeight="true">
      <c r="A83" s="314" t="s"/>
      <c r="B83" s="334" t="s">
        <v>682</v>
      </c>
      <c r="C83" s="335" t="s"/>
      <c r="D83" s="310" t="s"/>
      <c r="E83" s="336">
        <f>=$C83</f>
        <v>0</v>
      </c>
      <c r="F83" s="336">
        <f>=$C83</f>
        <v>0</v>
      </c>
      <c r="G83" s="336">
        <f>=$C83</f>
        <v>0</v>
      </c>
      <c r="H83" s="336">
        <f>=$C83</f>
        <v>0</v>
      </c>
      <c r="I83" s="336">
        <f>=$C83</f>
        <v>0</v>
      </c>
      <c r="J83" s="336">
        <f>=$C83</f>
        <v>0</v>
      </c>
      <c r="K83" s="336">
        <f>=$C83</f>
        <v>0</v>
      </c>
      <c r="L83" s="336">
        <f>=$C83</f>
        <v>0</v>
      </c>
      <c r="M83" s="336">
        <f>=$C83</f>
        <v>0</v>
      </c>
      <c r="N83" s="336">
        <f>=$C83</f>
        <v>0</v>
      </c>
      <c r="O83" s="336">
        <f>=$C83</f>
        <v>0</v>
      </c>
      <c r="P83" s="336">
        <f>=$C83</f>
        <v>0</v>
      </c>
      <c r="Q83" s="336">
        <f>=$C83</f>
        <v>0</v>
      </c>
      <c r="R83" s="336">
        <f>=$C83</f>
        <v>0</v>
      </c>
      <c r="S83" s="336">
        <f>=$C83</f>
        <v>0</v>
      </c>
      <c r="T83" s="336">
        <f>=$C83</f>
        <v>0</v>
      </c>
      <c r="U83" s="336">
        <f>=$C83</f>
        <v>0</v>
      </c>
      <c r="V83" s="336">
        <f>=$C83</f>
        <v>0</v>
      </c>
      <c r="W83" s="336">
        <f>=$C83</f>
        <v>0</v>
      </c>
      <c r="X83" s="336">
        <f>=$C83</f>
        <v>0</v>
      </c>
      <c r="Y83" s="336">
        <f>=$C83</f>
        <v>0</v>
      </c>
      <c r="Z83" s="336">
        <f>=$C83</f>
        <v>0</v>
      </c>
    </row>
    <row r="84" spans="1:26" ht="12" customHeight="true">
      <c r="A84" s="314" t="s"/>
      <c r="B84" s="334" t="s">
        <v>654</v>
      </c>
      <c r="C84" s="310" t="s"/>
      <c r="D84" s="306">
        <f>=SUM(E84:Z84)</f>
        <v>0</v>
      </c>
      <c r="E84" s="306">
        <f>=E82*E83/(1+E83)</f>
        <v>0</v>
      </c>
      <c r="F84" s="306">
        <f>=F82*F83/(1+F83)</f>
        <v>0</v>
      </c>
      <c r="G84" s="306">
        <f>=G82*G83/(1+G83)</f>
        <v>0</v>
      </c>
      <c r="H84" s="306">
        <f>=H82*H83/(1+H83)</f>
        <v>0</v>
      </c>
      <c r="I84" s="306">
        <f>=I82*I83/(1+I83)</f>
        <v>0</v>
      </c>
      <c r="J84" s="306">
        <f>=J82*J83/(1+J83)</f>
        <v>0</v>
      </c>
      <c r="K84" s="306">
        <f>=K82*K83/(1+K83)</f>
        <v>0</v>
      </c>
      <c r="L84" s="306">
        <f>=L82*L83/(1+L83)</f>
        <v>0</v>
      </c>
      <c r="M84" s="306">
        <f>=M82*M83/(1+M83)</f>
        <v>0</v>
      </c>
      <c r="N84" s="306">
        <f>=N82*N83/(1+N83)</f>
        <v>0</v>
      </c>
      <c r="O84" s="306">
        <f>=O82*O83/(1+O83)</f>
        <v>0</v>
      </c>
      <c r="P84" s="306">
        <f>=P82*P83/(1+P83)</f>
        <v>0</v>
      </c>
      <c r="Q84" s="306">
        <f>=Q82*Q83/(1+Q83)</f>
        <v>0</v>
      </c>
      <c r="R84" s="306">
        <f>=R82*R83/(1+R83)</f>
        <v>0</v>
      </c>
      <c r="S84" s="306">
        <f>=S82*S83/(1+S83)</f>
        <v>0</v>
      </c>
      <c r="T84" s="306">
        <f>=T82*T83/(1+T83)</f>
        <v>0</v>
      </c>
      <c r="U84" s="306">
        <f>=U82*U83/(1+U83)</f>
        <v>0</v>
      </c>
      <c r="V84" s="306">
        <f>=V82*V83/(1+V83)</f>
        <v>0</v>
      </c>
      <c r="W84" s="306">
        <f>=W82*W83/(1+W83)</f>
        <v>0</v>
      </c>
      <c r="X84" s="306">
        <f>=X82*X83/(1+X83)</f>
        <v>0</v>
      </c>
      <c r="Y84" s="306">
        <f>=Y82*Y83/(1+Y83)</f>
        <v>0</v>
      </c>
      <c r="Z84" s="306">
        <f>=Z82*Z83/(1+Z83)</f>
        <v>0</v>
      </c>
    </row>
    <row r="85" spans="1:26" ht="12" customHeight="true">
      <c r="A85" s="314" t="s"/>
      <c r="B85" s="334" t="s">
        <v>683</v>
      </c>
      <c r="C85" s="310" t="s"/>
      <c r="D85" s="310" t="s"/>
      <c r="E85" s="336">
        <f>=$C85</f>
        <v>0</v>
      </c>
      <c r="F85" s="336">
        <f>=$C85</f>
        <v>0</v>
      </c>
      <c r="G85" s="336">
        <f>=$C85</f>
        <v>0</v>
      </c>
      <c r="H85" s="336">
        <f>=$C85</f>
        <v>0</v>
      </c>
      <c r="I85" s="336">
        <f>=$C85</f>
        <v>0</v>
      </c>
      <c r="J85" s="336">
        <f>=$C85</f>
        <v>0</v>
      </c>
      <c r="K85" s="336">
        <f>=$C85</f>
        <v>0</v>
      </c>
      <c r="L85" s="336">
        <f>=$C85</f>
        <v>0</v>
      </c>
      <c r="M85" s="336">
        <f>=$C85</f>
        <v>0</v>
      </c>
      <c r="N85" s="336">
        <f>=$C85</f>
        <v>0</v>
      </c>
      <c r="O85" s="336">
        <f>=$C85</f>
        <v>0</v>
      </c>
      <c r="P85" s="336">
        <f>=$C85</f>
        <v>0</v>
      </c>
      <c r="Q85" s="336">
        <f>=$C85</f>
        <v>0</v>
      </c>
      <c r="R85" s="336">
        <f>=$C85</f>
        <v>0</v>
      </c>
      <c r="S85" s="336">
        <f>=$C85</f>
        <v>0</v>
      </c>
      <c r="T85" s="336">
        <f>=$C85</f>
        <v>0</v>
      </c>
      <c r="U85" s="336">
        <f>=$C85</f>
        <v>0</v>
      </c>
      <c r="V85" s="336">
        <f>=$C85</f>
        <v>0</v>
      </c>
      <c r="W85" s="336">
        <f>=$C85</f>
        <v>0</v>
      </c>
      <c r="X85" s="336">
        <f>=$C85</f>
        <v>0</v>
      </c>
      <c r="Y85" s="336">
        <f>=$C85</f>
        <v>0</v>
      </c>
      <c r="Z85" s="336">
        <f>=$C85</f>
        <v>0</v>
      </c>
    </row>
    <row r="86" spans="1:26" ht="12" customHeight="true">
      <c r="A86" s="314" t="s"/>
      <c r="B86" s="334" t="s">
        <v>684</v>
      </c>
      <c r="C86" s="337" t="s"/>
      <c r="D86" s="306">
        <f>=SUM(E86:Z86)</f>
        <v>0</v>
      </c>
      <c r="E86" s="306">
        <f>=E82*E85</f>
        <v>0</v>
      </c>
      <c r="F86" s="306">
        <f>=F82*F85</f>
        <v>0</v>
      </c>
      <c r="G86" s="306">
        <f>=G82*G85</f>
        <v>0</v>
      </c>
      <c r="H86" s="306">
        <f>=H82*H85</f>
        <v>0</v>
      </c>
      <c r="I86" s="306">
        <f>=I82*I85</f>
        <v>0</v>
      </c>
      <c r="J86" s="306">
        <f>=J82*J85</f>
        <v>0</v>
      </c>
      <c r="K86" s="306">
        <f>=K82*K85</f>
        <v>0</v>
      </c>
      <c r="L86" s="306">
        <f>=L82*L85</f>
        <v>0</v>
      </c>
      <c r="M86" s="306">
        <f>=M82*M85</f>
        <v>0</v>
      </c>
      <c r="N86" s="306">
        <f>=N82*N85</f>
        <v>0</v>
      </c>
      <c r="O86" s="306">
        <f>=O82*O85</f>
        <v>0</v>
      </c>
      <c r="P86" s="306">
        <f>=P82*P85</f>
        <v>0</v>
      </c>
      <c r="Q86" s="306">
        <f>=Q82*Q85</f>
        <v>0</v>
      </c>
      <c r="R86" s="306">
        <f>=R82*R85</f>
        <v>0</v>
      </c>
      <c r="S86" s="306">
        <f>=S82*S85</f>
        <v>0</v>
      </c>
      <c r="T86" s="306">
        <f>=T82*T85</f>
        <v>0</v>
      </c>
      <c r="U86" s="306">
        <f>=U82*U85</f>
        <v>0</v>
      </c>
      <c r="V86" s="306">
        <f>=V82*V85</f>
        <v>0</v>
      </c>
      <c r="W86" s="306">
        <f>=W82*W85</f>
        <v>0</v>
      </c>
      <c r="X86" s="306">
        <f>=X82*X85</f>
        <v>0</v>
      </c>
      <c r="Y86" s="306">
        <f>=Y82*Y85</f>
        <v>0</v>
      </c>
      <c r="Z86" s="306">
        <f>=Z82*Z85</f>
        <v>0</v>
      </c>
    </row>
    <row r="87" spans="1:26" ht="12" customHeight="true">
      <c r="A87" s="314">
        <v>7</v>
      </c>
      <c r="B87" s="342" t="s"/>
      <c r="C87" s="342" t="s"/>
      <c r="D87" s="316" t="s">
        <v>672</v>
      </c>
      <c r="E87" s="300" t="s"/>
      <c r="F87" s="300" t="s"/>
      <c r="G87" s="300" t="s"/>
      <c r="H87" s="300" t="s"/>
      <c r="I87" s="300" t="s"/>
      <c r="J87" s="300" t="s"/>
      <c r="K87" s="300" t="s"/>
      <c r="L87" s="300" t="s"/>
      <c r="M87" s="300" t="s"/>
      <c r="N87" s="300" t="s"/>
      <c r="O87" s="300" t="s"/>
      <c r="P87" s="300" t="s"/>
      <c r="Q87" s="300" t="s"/>
      <c r="R87" s="300" t="s"/>
      <c r="S87" s="300" t="s"/>
      <c r="T87" s="300" t="s"/>
      <c r="U87" s="300" t="s"/>
      <c r="V87" s="300" t="s"/>
      <c r="W87" s="300" t="s"/>
      <c r="X87" s="300" t="s"/>
      <c r="Y87" s="300" t="s"/>
      <c r="Z87" s="300" t="s"/>
    </row>
    <row r="88" spans="1:26" ht="12" customHeight="true">
      <c r="A88" s="314" t="s"/>
      <c r="B88" s="318" t="s">
        <v>688</v>
      </c>
      <c r="C88" s="319" t="s"/>
      <c r="D88" s="320" t="s">
        <v>674</v>
      </c>
      <c r="E88" s="321" t="s"/>
      <c r="F88" s="321">
        <f>=E88</f>
        <v>0</v>
      </c>
      <c r="G88" s="331" t="s"/>
      <c r="H88" s="321">
        <f>=G88</f>
        <v>0</v>
      </c>
      <c r="I88" s="321">
        <f>=H88</f>
        <v>0</v>
      </c>
      <c r="J88" s="321">
        <f>=I88</f>
        <v>0</v>
      </c>
      <c r="K88" s="321">
        <f>=J88</f>
        <v>0</v>
      </c>
      <c r="L88" s="321">
        <f>=K88</f>
        <v>0</v>
      </c>
      <c r="M88" s="321">
        <f>=L88</f>
        <v>0</v>
      </c>
      <c r="N88" s="321">
        <f>=M88</f>
        <v>0</v>
      </c>
      <c r="O88" s="321">
        <f>=N88</f>
        <v>0</v>
      </c>
      <c r="P88" s="321">
        <f>=O88</f>
        <v>0</v>
      </c>
      <c r="Q88" s="321">
        <f>=P88</f>
        <v>0</v>
      </c>
      <c r="R88" s="321">
        <f>=Q88</f>
        <v>0</v>
      </c>
      <c r="S88" s="321">
        <f>=R88</f>
        <v>0</v>
      </c>
      <c r="T88" s="321">
        <f>=S88</f>
        <v>0</v>
      </c>
      <c r="U88" s="321">
        <f>=T88</f>
        <v>0</v>
      </c>
      <c r="V88" s="321">
        <f>=U88</f>
        <v>0</v>
      </c>
      <c r="W88" s="321">
        <f>=V88</f>
        <v>0</v>
      </c>
      <c r="X88" s="321">
        <f>=W88</f>
        <v>0</v>
      </c>
      <c r="Y88" s="321">
        <f>=X88</f>
        <v>0</v>
      </c>
      <c r="Z88" s="321">
        <f>=Y88</f>
        <v>0</v>
      </c>
    </row>
    <row r="89" spans="1:26" ht="12" customHeight="true">
      <c r="A89" s="314" t="s"/>
      <c r="B89" s="323" t="s">
        <v>534</v>
      </c>
      <c r="C89" s="324">
        <f>=IF($D88="美元",辅助表1评估项目基础数据表!$C$17,IF($D88="其他外币",辅助表1评估项目基础数据表!$C$18,1))</f>
        <v>1</v>
      </c>
      <c r="D89" s="300" t="s"/>
      <c r="E89" s="325">
        <f>=$C89</f>
        <v>1</v>
      </c>
      <c r="F89" s="325">
        <f>=$C89</f>
        <v>1</v>
      </c>
      <c r="G89" s="325">
        <f>=$C89</f>
        <v>1</v>
      </c>
      <c r="H89" s="325">
        <f>=$C89</f>
        <v>1</v>
      </c>
      <c r="I89" s="325">
        <f>=$C89</f>
        <v>1</v>
      </c>
      <c r="J89" s="325">
        <f>=$C89</f>
        <v>1</v>
      </c>
      <c r="K89" s="325">
        <f>=$C89</f>
        <v>1</v>
      </c>
      <c r="L89" s="325">
        <f>=$C89</f>
        <v>1</v>
      </c>
      <c r="M89" s="325">
        <f>=$C89</f>
        <v>1</v>
      </c>
      <c r="N89" s="325">
        <f>=$C89</f>
        <v>1</v>
      </c>
      <c r="O89" s="325">
        <f>=$C89</f>
        <v>1</v>
      </c>
      <c r="P89" s="325">
        <f>=$C89</f>
        <v>1</v>
      </c>
      <c r="Q89" s="325">
        <f>=$C89</f>
        <v>1</v>
      </c>
      <c r="R89" s="325">
        <f>=$C89</f>
        <v>1</v>
      </c>
      <c r="S89" s="325">
        <f>=$C89</f>
        <v>1</v>
      </c>
      <c r="T89" s="325">
        <f>=$C89</f>
        <v>1</v>
      </c>
      <c r="U89" s="325">
        <f>=$C89</f>
        <v>1</v>
      </c>
      <c r="V89" s="325">
        <f>=$C89</f>
        <v>1</v>
      </c>
      <c r="W89" s="325">
        <f>=$C89</f>
        <v>1</v>
      </c>
      <c r="X89" s="325">
        <f>=$C89</f>
        <v>1</v>
      </c>
      <c r="Y89" s="325">
        <f>=$C89</f>
        <v>1</v>
      </c>
      <c r="Z89" s="325">
        <f>=$C89</f>
        <v>1</v>
      </c>
    </row>
    <row r="90" spans="1:26" ht="12" customHeight="true">
      <c r="A90" s="314" t="s"/>
      <c r="B90" s="326" t="s">
        <v>676</v>
      </c>
      <c r="C90" s="327" t="s"/>
      <c r="D90" s="310" t="s"/>
      <c r="E90" s="328">
        <f>=E88*E89</f>
        <v>0</v>
      </c>
      <c r="F90" s="328">
        <f>=F88*F89</f>
        <v>0</v>
      </c>
      <c r="G90" s="328">
        <f>=G88*G89</f>
        <v>0</v>
      </c>
      <c r="H90" s="328">
        <f>=H88*H89</f>
        <v>0</v>
      </c>
      <c r="I90" s="328">
        <f>=I88*I89</f>
        <v>0</v>
      </c>
      <c r="J90" s="328">
        <f>=J88*J89</f>
        <v>0</v>
      </c>
      <c r="K90" s="328">
        <f>=K88*K89</f>
        <v>0</v>
      </c>
      <c r="L90" s="328">
        <f>=L88*L89</f>
        <v>0</v>
      </c>
      <c r="M90" s="328">
        <f>=M88*M89</f>
        <v>0</v>
      </c>
      <c r="N90" s="328">
        <f>=N88*N89</f>
        <v>0</v>
      </c>
      <c r="O90" s="328">
        <f>=O88*O89</f>
        <v>0</v>
      </c>
      <c r="P90" s="328">
        <f>=P88*P89</f>
        <v>0</v>
      </c>
      <c r="Q90" s="328">
        <f>=Q88*Q89</f>
        <v>0</v>
      </c>
      <c r="R90" s="328">
        <f>=R88*R89</f>
        <v>0</v>
      </c>
      <c r="S90" s="328">
        <f>=S88*S89</f>
        <v>0</v>
      </c>
      <c r="T90" s="328">
        <f>=T88*T89</f>
        <v>0</v>
      </c>
      <c r="U90" s="328">
        <f>=U88*U89</f>
        <v>0</v>
      </c>
      <c r="V90" s="328">
        <f>=V88*V89</f>
        <v>0</v>
      </c>
      <c r="W90" s="328">
        <f>=W88*W89</f>
        <v>0</v>
      </c>
      <c r="X90" s="328">
        <f>=X88*X89</f>
        <v>0</v>
      </c>
      <c r="Y90" s="328">
        <f>=Y88*Y89</f>
        <v>0</v>
      </c>
      <c r="Z90" s="328">
        <f>=Z88*Z89</f>
        <v>0</v>
      </c>
    </row>
    <row r="91" spans="1:26" ht="12" customHeight="true">
      <c r="A91" s="314" t="s"/>
      <c r="B91" s="333" t="s">
        <v>677</v>
      </c>
      <c r="C91" s="330" t="s"/>
      <c r="D91" s="306">
        <f>=SUM(E91:Z91)</f>
        <v>0</v>
      </c>
      <c r="E91" s="321" t="s"/>
      <c r="F91" s="321">
        <f>=E91</f>
        <v>0</v>
      </c>
      <c r="G91" s="331" t="s"/>
      <c r="H91" s="331" t="s"/>
      <c r="I91" s="331" t="s"/>
      <c r="J91" s="331" t="s"/>
      <c r="K91" s="331" t="s"/>
      <c r="L91" s="331" t="s"/>
      <c r="M91" s="331" t="s"/>
      <c r="N91" s="331" t="s"/>
      <c r="O91" s="331" t="s"/>
      <c r="P91" s="331" t="s"/>
      <c r="Q91" s="331" t="s"/>
      <c r="R91" s="331" t="s"/>
      <c r="S91" s="331" t="s"/>
      <c r="T91" s="331">
        <f>=S91</f>
        <v>0</v>
      </c>
      <c r="U91" s="331">
        <f>=T91</f>
        <v>0</v>
      </c>
      <c r="V91" s="331">
        <f>=U91</f>
        <v>0</v>
      </c>
      <c r="W91" s="331">
        <f>=V91</f>
        <v>0</v>
      </c>
      <c r="X91" s="331">
        <f>=W91</f>
        <v>0</v>
      </c>
      <c r="Y91" s="331">
        <f>=X91</f>
        <v>0</v>
      </c>
      <c r="Z91" s="331">
        <f>=Y91</f>
        <v>0</v>
      </c>
    </row>
    <row r="92" spans="1:26" ht="12" customHeight="true">
      <c r="A92" s="314" t="s"/>
      <c r="B92" s="333" t="s">
        <v>680</v>
      </c>
      <c r="C92" s="333" t="s"/>
      <c r="D92" s="306">
        <f>=SUM(E92:Z92)</f>
        <v>0</v>
      </c>
      <c r="E92" s="306">
        <f>=E90*E91</f>
        <v>0</v>
      </c>
      <c r="F92" s="306">
        <f>=F90*F91</f>
        <v>0</v>
      </c>
      <c r="G92" s="306">
        <f>=G90*G91</f>
        <v>0</v>
      </c>
      <c r="H92" s="306">
        <f>=H90*H91</f>
        <v>0</v>
      </c>
      <c r="I92" s="306">
        <f>=I90*I91</f>
        <v>0</v>
      </c>
      <c r="J92" s="306">
        <f>=J90*J91</f>
        <v>0</v>
      </c>
      <c r="K92" s="306">
        <f>=K90*K91</f>
        <v>0</v>
      </c>
      <c r="L92" s="306">
        <f>=L90*L91</f>
        <v>0</v>
      </c>
      <c r="M92" s="306">
        <f>=M90*M91</f>
        <v>0</v>
      </c>
      <c r="N92" s="306">
        <f>=N90*N91</f>
        <v>0</v>
      </c>
      <c r="O92" s="306">
        <f>=O90*O91</f>
        <v>0</v>
      </c>
      <c r="P92" s="306">
        <f>=P90*P91</f>
        <v>0</v>
      </c>
      <c r="Q92" s="306">
        <f>=Q90*Q91</f>
        <v>0</v>
      </c>
      <c r="R92" s="306">
        <f>=R90*R91</f>
        <v>0</v>
      </c>
      <c r="S92" s="306">
        <f>=S90*S91</f>
        <v>0</v>
      </c>
      <c r="T92" s="306">
        <f>=T90*T91</f>
        <v>0</v>
      </c>
      <c r="U92" s="306">
        <f>=U90*U91</f>
        <v>0</v>
      </c>
      <c r="V92" s="306">
        <f>=V90*V91</f>
        <v>0</v>
      </c>
      <c r="W92" s="306">
        <f>=W90*W91</f>
        <v>0</v>
      </c>
      <c r="X92" s="306">
        <f>=X90*X91</f>
        <v>0</v>
      </c>
      <c r="Y92" s="306">
        <f>=Y90*Y91</f>
        <v>0</v>
      </c>
      <c r="Z92" s="306">
        <f>=Z90*Z91</f>
        <v>0</v>
      </c>
    </row>
    <row r="93" spans="1:26" ht="12" customHeight="true">
      <c r="A93" s="314" t="s"/>
      <c r="B93" s="334" t="s">
        <v>682</v>
      </c>
      <c r="C93" s="335" t="s"/>
      <c r="D93" s="310" t="s"/>
      <c r="E93" s="336">
        <f>=$C93</f>
        <v>0</v>
      </c>
      <c r="F93" s="336">
        <f>=$C93</f>
        <v>0</v>
      </c>
      <c r="G93" s="336">
        <f>=$C93</f>
        <v>0</v>
      </c>
      <c r="H93" s="336">
        <f>=$C93</f>
        <v>0</v>
      </c>
      <c r="I93" s="336">
        <f>=$C93</f>
        <v>0</v>
      </c>
      <c r="J93" s="336">
        <f>=$C93</f>
        <v>0</v>
      </c>
      <c r="K93" s="336">
        <f>=$C93</f>
        <v>0</v>
      </c>
      <c r="L93" s="336">
        <f>=$C93</f>
        <v>0</v>
      </c>
      <c r="M93" s="336">
        <f>=$C93</f>
        <v>0</v>
      </c>
      <c r="N93" s="336">
        <f>=$C93</f>
        <v>0</v>
      </c>
      <c r="O93" s="336">
        <f>=$C93</f>
        <v>0</v>
      </c>
      <c r="P93" s="336">
        <f>=$C93</f>
        <v>0</v>
      </c>
      <c r="Q93" s="336">
        <f>=$C93</f>
        <v>0</v>
      </c>
      <c r="R93" s="336">
        <f>=$C93</f>
        <v>0</v>
      </c>
      <c r="S93" s="336">
        <f>=$C93</f>
        <v>0</v>
      </c>
      <c r="T93" s="336">
        <f>=$C93</f>
        <v>0</v>
      </c>
      <c r="U93" s="336">
        <f>=$C93</f>
        <v>0</v>
      </c>
      <c r="V93" s="336">
        <f>=$C93</f>
        <v>0</v>
      </c>
      <c r="W93" s="336">
        <f>=$C93</f>
        <v>0</v>
      </c>
      <c r="X93" s="336">
        <f>=$C93</f>
        <v>0</v>
      </c>
      <c r="Y93" s="336">
        <f>=$C93</f>
        <v>0</v>
      </c>
      <c r="Z93" s="336">
        <f>=$C93</f>
        <v>0</v>
      </c>
    </row>
    <row r="94" spans="1:26" ht="12" customHeight="true">
      <c r="A94" s="314" t="s"/>
      <c r="B94" s="334" t="s">
        <v>654</v>
      </c>
      <c r="C94" s="310" t="s"/>
      <c r="D94" s="306">
        <f>=SUM(E94:Z94)</f>
        <v>0</v>
      </c>
      <c r="E94" s="306">
        <f>=E92*E93/(1+E93)</f>
        <v>0</v>
      </c>
      <c r="F94" s="306">
        <f>=F92*F93/(1+F93)</f>
        <v>0</v>
      </c>
      <c r="G94" s="306">
        <f>=G92*G93/(1+G93)</f>
        <v>0</v>
      </c>
      <c r="H94" s="306">
        <f>=H92*H93/(1+H93)</f>
        <v>0</v>
      </c>
      <c r="I94" s="306">
        <f>=I92*I93/(1+I93)</f>
        <v>0</v>
      </c>
      <c r="J94" s="306">
        <f>=J92*J93/(1+J93)</f>
        <v>0</v>
      </c>
      <c r="K94" s="306">
        <f>=K92*K93/(1+K93)</f>
        <v>0</v>
      </c>
      <c r="L94" s="306">
        <f>=L92*L93/(1+L93)</f>
        <v>0</v>
      </c>
      <c r="M94" s="306">
        <f>=M92*M93/(1+M93)</f>
        <v>0</v>
      </c>
      <c r="N94" s="306">
        <f>=N92*N93/(1+N93)</f>
        <v>0</v>
      </c>
      <c r="O94" s="306">
        <f>=O92*O93/(1+O93)</f>
        <v>0</v>
      </c>
      <c r="P94" s="306">
        <f>=P92*P93/(1+P93)</f>
        <v>0</v>
      </c>
      <c r="Q94" s="306">
        <f>=Q92*Q93/(1+Q93)</f>
        <v>0</v>
      </c>
      <c r="R94" s="306">
        <f>=R92*R93/(1+R93)</f>
        <v>0</v>
      </c>
      <c r="S94" s="306">
        <f>=S92*S93/(1+S93)</f>
        <v>0</v>
      </c>
      <c r="T94" s="306">
        <f>=T92*T93/(1+T93)</f>
        <v>0</v>
      </c>
      <c r="U94" s="306">
        <f>=U92*U93/(1+U93)</f>
        <v>0</v>
      </c>
      <c r="V94" s="306">
        <f>=V92*V93/(1+V93)</f>
        <v>0</v>
      </c>
      <c r="W94" s="306">
        <f>=W92*W93/(1+W93)</f>
        <v>0</v>
      </c>
      <c r="X94" s="306">
        <f>=X92*X93/(1+X93)</f>
        <v>0</v>
      </c>
      <c r="Y94" s="306">
        <f>=Y92*Y93/(1+Y93)</f>
        <v>0</v>
      </c>
      <c r="Z94" s="306">
        <f>=Z92*Z93/(1+Z93)</f>
        <v>0</v>
      </c>
    </row>
    <row r="95" spans="1:26" ht="12" customHeight="true">
      <c r="A95" s="314" t="s"/>
      <c r="B95" s="334" t="s">
        <v>683</v>
      </c>
      <c r="C95" s="310" t="s"/>
      <c r="D95" s="310" t="s"/>
      <c r="E95" s="336">
        <f>=$C95</f>
        <v>0</v>
      </c>
      <c r="F95" s="336">
        <f>=$C95</f>
        <v>0</v>
      </c>
      <c r="G95" s="336">
        <f>=$C95</f>
        <v>0</v>
      </c>
      <c r="H95" s="336">
        <f>=$C95</f>
        <v>0</v>
      </c>
      <c r="I95" s="336">
        <f>=$C95</f>
        <v>0</v>
      </c>
      <c r="J95" s="336">
        <f>=$C95</f>
        <v>0</v>
      </c>
      <c r="K95" s="336">
        <f>=$C95</f>
        <v>0</v>
      </c>
      <c r="L95" s="336">
        <f>=$C95</f>
        <v>0</v>
      </c>
      <c r="M95" s="336">
        <f>=$C95</f>
        <v>0</v>
      </c>
      <c r="N95" s="336">
        <f>=$C95</f>
        <v>0</v>
      </c>
      <c r="O95" s="336">
        <f>=$C95</f>
        <v>0</v>
      </c>
      <c r="P95" s="336">
        <f>=$C95</f>
        <v>0</v>
      </c>
      <c r="Q95" s="336">
        <f>=$C95</f>
        <v>0</v>
      </c>
      <c r="R95" s="336">
        <f>=$C95</f>
        <v>0</v>
      </c>
      <c r="S95" s="336">
        <f>=$C95</f>
        <v>0</v>
      </c>
      <c r="T95" s="336">
        <f>=$C95</f>
        <v>0</v>
      </c>
      <c r="U95" s="336">
        <f>=$C95</f>
        <v>0</v>
      </c>
      <c r="V95" s="336">
        <f>=$C95</f>
        <v>0</v>
      </c>
      <c r="W95" s="336">
        <f>=$C95</f>
        <v>0</v>
      </c>
      <c r="X95" s="336">
        <f>=$C95</f>
        <v>0</v>
      </c>
      <c r="Y95" s="336">
        <f>=$C95</f>
        <v>0</v>
      </c>
      <c r="Z95" s="336">
        <f>=$C95</f>
        <v>0</v>
      </c>
    </row>
    <row r="96" spans="1:26" ht="12" customHeight="true">
      <c r="A96" s="314" t="s"/>
      <c r="B96" s="334" t="s">
        <v>684</v>
      </c>
      <c r="C96" s="337" t="s"/>
      <c r="D96" s="306">
        <f>=SUM(E96:Z96)</f>
        <v>0</v>
      </c>
      <c r="E96" s="306">
        <f>=E92*E95</f>
        <v>0</v>
      </c>
      <c r="F96" s="306">
        <f>=F92*F95</f>
        <v>0</v>
      </c>
      <c r="G96" s="306">
        <f>=G92*G95</f>
        <v>0</v>
      </c>
      <c r="H96" s="306">
        <f>=H92*H95</f>
        <v>0</v>
      </c>
      <c r="I96" s="306">
        <f>=I92*I95</f>
        <v>0</v>
      </c>
      <c r="J96" s="306">
        <f>=J92*J95</f>
        <v>0</v>
      </c>
      <c r="K96" s="306">
        <f>=K92*K95</f>
        <v>0</v>
      </c>
      <c r="L96" s="306">
        <f>=L92*L95</f>
        <v>0</v>
      </c>
      <c r="M96" s="306">
        <f>=M92*M95</f>
        <v>0</v>
      </c>
      <c r="N96" s="306">
        <f>=N92*N95</f>
        <v>0</v>
      </c>
      <c r="O96" s="306">
        <f>=O92*O95</f>
        <v>0</v>
      </c>
      <c r="P96" s="306">
        <f>=P92*P95</f>
        <v>0</v>
      </c>
      <c r="Q96" s="306">
        <f>=Q92*Q95</f>
        <v>0</v>
      </c>
      <c r="R96" s="306">
        <f>=R92*R95</f>
        <v>0</v>
      </c>
      <c r="S96" s="306">
        <f>=S92*S95</f>
        <v>0</v>
      </c>
      <c r="T96" s="306">
        <f>=T92*T95</f>
        <v>0</v>
      </c>
      <c r="U96" s="306">
        <f>=U92*U95</f>
        <v>0</v>
      </c>
      <c r="V96" s="306">
        <f>=V92*V95</f>
        <v>0</v>
      </c>
      <c r="W96" s="306">
        <f>=W92*W95</f>
        <v>0</v>
      </c>
      <c r="X96" s="306">
        <f>=X92*X95</f>
        <v>0</v>
      </c>
      <c r="Y96" s="306">
        <f>=Y92*Y95</f>
        <v>0</v>
      </c>
      <c r="Z96" s="306">
        <f>=Z92*Z95</f>
        <v>0</v>
      </c>
    </row>
    <row r="97" spans="1:26" ht="12" customHeight="true">
      <c r="A97" s="314">
        <v>8</v>
      </c>
      <c r="B97" s="342" t="s"/>
      <c r="C97" s="342" t="s"/>
      <c r="D97" s="316" t="s">
        <v>672</v>
      </c>
      <c r="E97" s="300" t="s"/>
      <c r="F97" s="300" t="s"/>
      <c r="G97" s="300" t="s"/>
      <c r="H97" s="300" t="s"/>
      <c r="I97" s="300" t="s"/>
      <c r="J97" s="300" t="s"/>
      <c r="K97" s="300" t="s"/>
      <c r="L97" s="300" t="s"/>
      <c r="M97" s="300" t="s"/>
      <c r="N97" s="300" t="s"/>
      <c r="O97" s="300" t="s"/>
      <c r="P97" s="300" t="s"/>
      <c r="Q97" s="300" t="s"/>
      <c r="R97" s="300" t="s"/>
      <c r="S97" s="300" t="s"/>
      <c r="T97" s="300" t="s"/>
      <c r="U97" s="300" t="s"/>
      <c r="V97" s="300" t="s"/>
      <c r="W97" s="300" t="s"/>
      <c r="X97" s="300" t="s"/>
      <c r="Y97" s="300" t="s"/>
      <c r="Z97" s="300" t="s"/>
    </row>
    <row r="98" spans="1:26" ht="12" customHeight="true">
      <c r="A98" s="314" t="s"/>
      <c r="B98" s="318" t="s">
        <v>688</v>
      </c>
      <c r="C98" s="319" t="s"/>
      <c r="D98" s="320" t="s">
        <v>674</v>
      </c>
      <c r="E98" s="321" t="s"/>
      <c r="F98" s="321">
        <f>=E98</f>
        <v>0</v>
      </c>
      <c r="G98" s="331" t="s"/>
      <c r="H98" s="321">
        <f>=G98</f>
        <v>0</v>
      </c>
      <c r="I98" s="321">
        <f>=H98</f>
        <v>0</v>
      </c>
      <c r="J98" s="321">
        <f>=I98</f>
        <v>0</v>
      </c>
      <c r="K98" s="321">
        <f>=J98</f>
        <v>0</v>
      </c>
      <c r="L98" s="321">
        <f>=K98</f>
        <v>0</v>
      </c>
      <c r="M98" s="321">
        <f>=L98</f>
        <v>0</v>
      </c>
      <c r="N98" s="321">
        <f>=M98</f>
        <v>0</v>
      </c>
      <c r="O98" s="321">
        <f>=N98</f>
        <v>0</v>
      </c>
      <c r="P98" s="321">
        <f>=O98</f>
        <v>0</v>
      </c>
      <c r="Q98" s="321">
        <f>=P98</f>
        <v>0</v>
      </c>
      <c r="R98" s="321">
        <f>=Q98</f>
        <v>0</v>
      </c>
      <c r="S98" s="321">
        <f>=R98</f>
        <v>0</v>
      </c>
      <c r="T98" s="321">
        <f>=S98</f>
        <v>0</v>
      </c>
      <c r="U98" s="321">
        <f>=T98</f>
        <v>0</v>
      </c>
      <c r="V98" s="321">
        <f>=U98</f>
        <v>0</v>
      </c>
      <c r="W98" s="321">
        <f>=V98</f>
        <v>0</v>
      </c>
      <c r="X98" s="321">
        <f>=W98</f>
        <v>0</v>
      </c>
      <c r="Y98" s="321">
        <f>=X98</f>
        <v>0</v>
      </c>
      <c r="Z98" s="321">
        <f>=Y98</f>
        <v>0</v>
      </c>
    </row>
    <row r="99" spans="1:26" ht="12" customHeight="true">
      <c r="A99" s="314" t="s"/>
      <c r="B99" s="323" t="s">
        <v>534</v>
      </c>
      <c r="C99" s="324">
        <f>=IF($D98="美元",辅助表1评估项目基础数据表!$C$17,IF($D98="其他外币",辅助表1评估项目基础数据表!$C$18,1))</f>
        <v>1</v>
      </c>
      <c r="D99" s="300" t="s"/>
      <c r="E99" s="325">
        <f>=$C99</f>
        <v>1</v>
      </c>
      <c r="F99" s="325">
        <f>=$C99</f>
        <v>1</v>
      </c>
      <c r="G99" s="325">
        <f>=$C99</f>
        <v>1</v>
      </c>
      <c r="H99" s="325">
        <f>=$C99</f>
        <v>1</v>
      </c>
      <c r="I99" s="325">
        <f>=$C99</f>
        <v>1</v>
      </c>
      <c r="J99" s="325">
        <f>=$C99</f>
        <v>1</v>
      </c>
      <c r="K99" s="325">
        <f>=$C99</f>
        <v>1</v>
      </c>
      <c r="L99" s="325">
        <f>=$C99</f>
        <v>1</v>
      </c>
      <c r="M99" s="325">
        <f>=$C99</f>
        <v>1</v>
      </c>
      <c r="N99" s="325">
        <f>=$C99</f>
        <v>1</v>
      </c>
      <c r="O99" s="325">
        <f>=$C99</f>
        <v>1</v>
      </c>
      <c r="P99" s="325">
        <f>=$C99</f>
        <v>1</v>
      </c>
      <c r="Q99" s="325">
        <f>=$C99</f>
        <v>1</v>
      </c>
      <c r="R99" s="325">
        <f>=$C99</f>
        <v>1</v>
      </c>
      <c r="S99" s="325">
        <f>=$C99</f>
        <v>1</v>
      </c>
      <c r="T99" s="325">
        <f>=$C99</f>
        <v>1</v>
      </c>
      <c r="U99" s="325">
        <f>=$C99</f>
        <v>1</v>
      </c>
      <c r="V99" s="325">
        <f>=$C99</f>
        <v>1</v>
      </c>
      <c r="W99" s="325">
        <f>=$C99</f>
        <v>1</v>
      </c>
      <c r="X99" s="325">
        <f>=$C99</f>
        <v>1</v>
      </c>
      <c r="Y99" s="325">
        <f>=$C99</f>
        <v>1</v>
      </c>
      <c r="Z99" s="325">
        <f>=$C99</f>
        <v>1</v>
      </c>
    </row>
    <row r="100" spans="1:26" ht="12" customHeight="true">
      <c r="A100" s="314" t="s"/>
      <c r="B100" s="326" t="s">
        <v>676</v>
      </c>
      <c r="C100" s="327" t="s"/>
      <c r="D100" s="310" t="s"/>
      <c r="E100" s="328">
        <f>=E98*E99</f>
        <v>0</v>
      </c>
      <c r="F100" s="328">
        <f>=F98*F99</f>
        <v>0</v>
      </c>
      <c r="G100" s="328">
        <f>=G98*G99</f>
        <v>0</v>
      </c>
      <c r="H100" s="328">
        <f>=H98*H99</f>
        <v>0</v>
      </c>
      <c r="I100" s="328">
        <f>=I98*I99</f>
        <v>0</v>
      </c>
      <c r="J100" s="328">
        <f>=J98*J99</f>
        <v>0</v>
      </c>
      <c r="K100" s="328">
        <f>=K98*K99</f>
        <v>0</v>
      </c>
      <c r="L100" s="328">
        <f>=L98*L99</f>
        <v>0</v>
      </c>
      <c r="M100" s="328">
        <f>=M98*M99</f>
        <v>0</v>
      </c>
      <c r="N100" s="328">
        <f>=N98*N99</f>
        <v>0</v>
      </c>
      <c r="O100" s="328">
        <f>=O98*O99</f>
        <v>0</v>
      </c>
      <c r="P100" s="328">
        <f>=P98*P99</f>
        <v>0</v>
      </c>
      <c r="Q100" s="328">
        <f>=Q98*Q99</f>
        <v>0</v>
      </c>
      <c r="R100" s="328">
        <f>=R98*R99</f>
        <v>0</v>
      </c>
      <c r="S100" s="328">
        <f>=S98*S99</f>
        <v>0</v>
      </c>
      <c r="T100" s="328">
        <f>=T98*T99</f>
        <v>0</v>
      </c>
      <c r="U100" s="328">
        <f>=U98*U99</f>
        <v>0</v>
      </c>
      <c r="V100" s="328">
        <f>=V98*V99</f>
        <v>0</v>
      </c>
      <c r="W100" s="328">
        <f>=W98*W99</f>
        <v>0</v>
      </c>
      <c r="X100" s="328">
        <f>=X98*X99</f>
        <v>0</v>
      </c>
      <c r="Y100" s="328">
        <f>=Y98*Y99</f>
        <v>0</v>
      </c>
      <c r="Z100" s="328">
        <f>=Z98*Z99</f>
        <v>0</v>
      </c>
    </row>
    <row r="101" spans="1:26" ht="12" customHeight="true">
      <c r="A101" s="314" t="s"/>
      <c r="B101" s="333" t="s">
        <v>677</v>
      </c>
      <c r="C101" s="330" t="s"/>
      <c r="D101" s="306">
        <f>=SUM(E101:Z101)</f>
        <v>0</v>
      </c>
      <c r="E101" s="321" t="s"/>
      <c r="F101" s="321">
        <f>=E101</f>
        <v>0</v>
      </c>
      <c r="G101" s="331" t="s"/>
      <c r="H101" s="331" t="s"/>
      <c r="I101" s="331" t="s"/>
      <c r="J101" s="331" t="s"/>
      <c r="K101" s="331" t="s"/>
      <c r="L101" s="331" t="s"/>
      <c r="M101" s="331" t="s"/>
      <c r="N101" s="331" t="s"/>
      <c r="O101" s="331" t="s"/>
      <c r="P101" s="331" t="s"/>
      <c r="Q101" s="331" t="s"/>
      <c r="R101" s="331" t="s"/>
      <c r="S101" s="331" t="s"/>
      <c r="T101" s="331">
        <f>=S101</f>
        <v>0</v>
      </c>
      <c r="U101" s="331">
        <f>=T101</f>
        <v>0</v>
      </c>
      <c r="V101" s="331">
        <f>=U101</f>
        <v>0</v>
      </c>
      <c r="W101" s="331">
        <f>=V101</f>
        <v>0</v>
      </c>
      <c r="X101" s="331">
        <f>=W101</f>
        <v>0</v>
      </c>
      <c r="Y101" s="331">
        <f>=X101</f>
        <v>0</v>
      </c>
      <c r="Z101" s="331">
        <f>=Y101</f>
        <v>0</v>
      </c>
    </row>
    <row r="102" spans="1:26" ht="12" customHeight="true">
      <c r="A102" s="314" t="s"/>
      <c r="B102" s="333" t="s">
        <v>680</v>
      </c>
      <c r="C102" s="333" t="s"/>
      <c r="D102" s="306">
        <f>=SUM(E102:Z102)</f>
        <v>0</v>
      </c>
      <c r="E102" s="306">
        <f>=E100*E101</f>
        <v>0</v>
      </c>
      <c r="F102" s="306">
        <f>=F100*F101</f>
        <v>0</v>
      </c>
      <c r="G102" s="306">
        <f>=G100*G101</f>
        <v>0</v>
      </c>
      <c r="H102" s="306">
        <f>=H100*H101</f>
        <v>0</v>
      </c>
      <c r="I102" s="306">
        <f>=I100*I101</f>
        <v>0</v>
      </c>
      <c r="J102" s="306">
        <f>=J100*J101</f>
        <v>0</v>
      </c>
      <c r="K102" s="306">
        <f>=K100*K101</f>
        <v>0</v>
      </c>
      <c r="L102" s="306">
        <f>=L100*L101</f>
        <v>0</v>
      </c>
      <c r="M102" s="306">
        <f>=M100*M101</f>
        <v>0</v>
      </c>
      <c r="N102" s="306">
        <f>=N100*N101</f>
        <v>0</v>
      </c>
      <c r="O102" s="306">
        <f>=O100*O101</f>
        <v>0</v>
      </c>
      <c r="P102" s="306">
        <f>=P100*P101</f>
        <v>0</v>
      </c>
      <c r="Q102" s="306">
        <f>=Q100*Q101</f>
        <v>0</v>
      </c>
      <c r="R102" s="306">
        <f>=R100*R101</f>
        <v>0</v>
      </c>
      <c r="S102" s="306">
        <f>=S100*S101</f>
        <v>0</v>
      </c>
      <c r="T102" s="306">
        <f>=T100*T101</f>
        <v>0</v>
      </c>
      <c r="U102" s="306">
        <f>=U100*U101</f>
        <v>0</v>
      </c>
      <c r="V102" s="306">
        <f>=V100*V101</f>
        <v>0</v>
      </c>
      <c r="W102" s="306">
        <f>=W100*W101</f>
        <v>0</v>
      </c>
      <c r="X102" s="306">
        <f>=X100*X101</f>
        <v>0</v>
      </c>
      <c r="Y102" s="306">
        <f>=Y100*Y101</f>
        <v>0</v>
      </c>
      <c r="Z102" s="306">
        <f>=Z100*Z101</f>
        <v>0</v>
      </c>
    </row>
    <row r="103" spans="1:26" ht="12" customHeight="true">
      <c r="A103" s="314" t="s"/>
      <c r="B103" s="334" t="s">
        <v>682</v>
      </c>
      <c r="C103" s="335" t="s"/>
      <c r="D103" s="310" t="s"/>
      <c r="E103" s="336">
        <f>=$C103</f>
        <v>0</v>
      </c>
      <c r="F103" s="336">
        <f>=$C103</f>
        <v>0</v>
      </c>
      <c r="G103" s="336">
        <f>=$C103</f>
        <v>0</v>
      </c>
      <c r="H103" s="336">
        <f>=$C103</f>
        <v>0</v>
      </c>
      <c r="I103" s="336">
        <f>=$C103</f>
        <v>0</v>
      </c>
      <c r="J103" s="336">
        <f>=$C103</f>
        <v>0</v>
      </c>
      <c r="K103" s="336">
        <f>=$C103</f>
        <v>0</v>
      </c>
      <c r="L103" s="336">
        <f>=$C103</f>
        <v>0</v>
      </c>
      <c r="M103" s="336">
        <f>=$C103</f>
        <v>0</v>
      </c>
      <c r="N103" s="336">
        <f>=$C103</f>
        <v>0</v>
      </c>
      <c r="O103" s="336">
        <f>=$C103</f>
        <v>0</v>
      </c>
      <c r="P103" s="336">
        <f>=$C103</f>
        <v>0</v>
      </c>
      <c r="Q103" s="336">
        <f>=$C103</f>
        <v>0</v>
      </c>
      <c r="R103" s="336">
        <f>=$C103</f>
        <v>0</v>
      </c>
      <c r="S103" s="336">
        <f>=$C103</f>
        <v>0</v>
      </c>
      <c r="T103" s="336">
        <f>=$C103</f>
        <v>0</v>
      </c>
      <c r="U103" s="336">
        <f>=$C103</f>
        <v>0</v>
      </c>
      <c r="V103" s="336">
        <f>=$C103</f>
        <v>0</v>
      </c>
      <c r="W103" s="336">
        <f>=$C103</f>
        <v>0</v>
      </c>
      <c r="X103" s="336">
        <f>=$C103</f>
        <v>0</v>
      </c>
      <c r="Y103" s="336">
        <f>=$C103</f>
        <v>0</v>
      </c>
      <c r="Z103" s="336">
        <f>=$C103</f>
        <v>0</v>
      </c>
    </row>
    <row r="104" spans="1:26" ht="12" customHeight="true">
      <c r="A104" s="314" t="s"/>
      <c r="B104" s="334" t="s">
        <v>654</v>
      </c>
      <c r="C104" s="310" t="s"/>
      <c r="D104" s="306">
        <f>=SUM(E104:Z104)</f>
        <v>0</v>
      </c>
      <c r="E104" s="306">
        <f>=E102*E103/(1+E103)</f>
        <v>0</v>
      </c>
      <c r="F104" s="306">
        <f>=F102*F103/(1+F103)</f>
        <v>0</v>
      </c>
      <c r="G104" s="306">
        <f>=G102*G103/(1+G103)</f>
        <v>0</v>
      </c>
      <c r="H104" s="306">
        <f>=H102*H103/(1+H103)</f>
        <v>0</v>
      </c>
      <c r="I104" s="306">
        <f>=I102*I103/(1+I103)</f>
        <v>0</v>
      </c>
      <c r="J104" s="306">
        <f>=J102*J103/(1+J103)</f>
        <v>0</v>
      </c>
      <c r="K104" s="306">
        <f>=K102*K103/(1+K103)</f>
        <v>0</v>
      </c>
      <c r="L104" s="306">
        <f>=L102*L103/(1+L103)</f>
        <v>0</v>
      </c>
      <c r="M104" s="306">
        <f>=M102*M103/(1+M103)</f>
        <v>0</v>
      </c>
      <c r="N104" s="306">
        <f>=N102*N103/(1+N103)</f>
        <v>0</v>
      </c>
      <c r="O104" s="306">
        <f>=O102*O103/(1+O103)</f>
        <v>0</v>
      </c>
      <c r="P104" s="306">
        <f>=P102*P103/(1+P103)</f>
        <v>0</v>
      </c>
      <c r="Q104" s="306">
        <f>=Q102*Q103/(1+Q103)</f>
        <v>0</v>
      </c>
      <c r="R104" s="306">
        <f>=R102*R103/(1+R103)</f>
        <v>0</v>
      </c>
      <c r="S104" s="306">
        <f>=S102*S103/(1+S103)</f>
        <v>0</v>
      </c>
      <c r="T104" s="306">
        <f>=T102*T103/(1+T103)</f>
        <v>0</v>
      </c>
      <c r="U104" s="306">
        <f>=U102*U103/(1+U103)</f>
        <v>0</v>
      </c>
      <c r="V104" s="306">
        <f>=V102*V103/(1+V103)</f>
        <v>0</v>
      </c>
      <c r="W104" s="306">
        <f>=W102*W103/(1+W103)</f>
        <v>0</v>
      </c>
      <c r="X104" s="306">
        <f>=X102*X103/(1+X103)</f>
        <v>0</v>
      </c>
      <c r="Y104" s="306">
        <f>=Y102*Y103/(1+Y103)</f>
        <v>0</v>
      </c>
      <c r="Z104" s="306">
        <f>=Z102*Z103/(1+Z103)</f>
        <v>0</v>
      </c>
    </row>
    <row r="105" spans="1:26" ht="12" customHeight="true">
      <c r="A105" s="314" t="s"/>
      <c r="B105" s="334" t="s">
        <v>683</v>
      </c>
      <c r="C105" s="310" t="s"/>
      <c r="D105" s="310" t="s"/>
      <c r="E105" s="336">
        <f>=$C105</f>
        <v>0</v>
      </c>
      <c r="F105" s="336">
        <f>=$C105</f>
        <v>0</v>
      </c>
      <c r="G105" s="336">
        <f>=$C105</f>
        <v>0</v>
      </c>
      <c r="H105" s="336">
        <f>=$C105</f>
        <v>0</v>
      </c>
      <c r="I105" s="336">
        <f>=$C105</f>
        <v>0</v>
      </c>
      <c r="J105" s="336">
        <f>=$C105</f>
        <v>0</v>
      </c>
      <c r="K105" s="336">
        <f>=$C105</f>
        <v>0</v>
      </c>
      <c r="L105" s="336">
        <f>=$C105</f>
        <v>0</v>
      </c>
      <c r="M105" s="336">
        <f>=$C105</f>
        <v>0</v>
      </c>
      <c r="N105" s="336">
        <f>=$C105</f>
        <v>0</v>
      </c>
      <c r="O105" s="336">
        <f>=$C105</f>
        <v>0</v>
      </c>
      <c r="P105" s="336">
        <f>=$C105</f>
        <v>0</v>
      </c>
      <c r="Q105" s="336">
        <f>=$C105</f>
        <v>0</v>
      </c>
      <c r="R105" s="336">
        <f>=$C105</f>
        <v>0</v>
      </c>
      <c r="S105" s="336">
        <f>=$C105</f>
        <v>0</v>
      </c>
      <c r="T105" s="336">
        <f>=$C105</f>
        <v>0</v>
      </c>
      <c r="U105" s="336">
        <f>=$C105</f>
        <v>0</v>
      </c>
      <c r="V105" s="336">
        <f>=$C105</f>
        <v>0</v>
      </c>
      <c r="W105" s="336">
        <f>=$C105</f>
        <v>0</v>
      </c>
      <c r="X105" s="336">
        <f>=$C105</f>
        <v>0</v>
      </c>
      <c r="Y105" s="336">
        <f>=$C105</f>
        <v>0</v>
      </c>
      <c r="Z105" s="336">
        <f>=$C105</f>
        <v>0</v>
      </c>
    </row>
    <row r="106" spans="1:26" ht="12" customHeight="true">
      <c r="A106" s="314" t="s"/>
      <c r="B106" s="334" t="s">
        <v>684</v>
      </c>
      <c r="C106" s="337" t="s"/>
      <c r="D106" s="345">
        <f>=SUM(E106:Z106)</f>
        <v>0</v>
      </c>
      <c r="E106" s="306">
        <f>=E102*E105</f>
        <v>0</v>
      </c>
      <c r="F106" s="306">
        <f>=F102*F105</f>
        <v>0</v>
      </c>
      <c r="G106" s="306">
        <f>=G102*G105</f>
        <v>0</v>
      </c>
      <c r="H106" s="306">
        <f>=H102*H105</f>
        <v>0</v>
      </c>
      <c r="I106" s="306">
        <f>=I102*I105</f>
        <v>0</v>
      </c>
      <c r="J106" s="306">
        <f>=J102*J105</f>
        <v>0</v>
      </c>
      <c r="K106" s="306">
        <f>=K102*K105</f>
        <v>0</v>
      </c>
      <c r="L106" s="306">
        <f>=L102*L105</f>
        <v>0</v>
      </c>
      <c r="M106" s="306">
        <f>=M102*M105</f>
        <v>0</v>
      </c>
      <c r="N106" s="306">
        <f>=N102*N105</f>
        <v>0</v>
      </c>
      <c r="O106" s="306">
        <f>=O102*O105</f>
        <v>0</v>
      </c>
      <c r="P106" s="306">
        <f>=P102*P105</f>
        <v>0</v>
      </c>
      <c r="Q106" s="306">
        <f>=Q102*Q105</f>
        <v>0</v>
      </c>
      <c r="R106" s="306">
        <f>=R102*R105</f>
        <v>0</v>
      </c>
      <c r="S106" s="306">
        <f>=S102*S105</f>
        <v>0</v>
      </c>
      <c r="T106" s="306">
        <f>=T102*T105</f>
        <v>0</v>
      </c>
      <c r="U106" s="306">
        <f>=U102*U105</f>
        <v>0</v>
      </c>
      <c r="V106" s="306">
        <f>=V102*V105</f>
        <v>0</v>
      </c>
      <c r="W106" s="306">
        <f>=W102*W105</f>
        <v>0</v>
      </c>
      <c r="X106" s="306">
        <f>=X102*X105</f>
        <v>0</v>
      </c>
      <c r="Y106" s="306">
        <f>=Y102*Y105</f>
        <v>0</v>
      </c>
      <c r="Z106" s="306">
        <f>=Z102*Z105</f>
        <v>0</v>
      </c>
    </row>
    <row r="107" spans="1:26" ht="12" customHeight="true">
      <c r="A107" s="314">
        <v>9</v>
      </c>
      <c r="B107" s="342" t="s"/>
      <c r="C107" s="342" t="s"/>
      <c r="D107" s="316" t="s">
        <v>672</v>
      </c>
      <c r="E107" s="300" t="s"/>
      <c r="F107" s="300" t="s"/>
      <c r="G107" s="300" t="s"/>
      <c r="H107" s="300" t="s"/>
      <c r="I107" s="300" t="s"/>
      <c r="J107" s="300" t="s"/>
      <c r="K107" s="300" t="s"/>
      <c r="L107" s="300" t="s"/>
      <c r="M107" s="300" t="s"/>
      <c r="N107" s="300" t="s"/>
      <c r="O107" s="300" t="s"/>
      <c r="P107" s="300" t="s"/>
      <c r="Q107" s="300" t="s"/>
      <c r="R107" s="300" t="s"/>
      <c r="S107" s="300" t="s"/>
      <c r="T107" s="300" t="s"/>
      <c r="U107" s="300" t="s"/>
      <c r="V107" s="300" t="s"/>
      <c r="W107" s="300" t="s"/>
      <c r="X107" s="300" t="s"/>
      <c r="Y107" s="300" t="s"/>
      <c r="Z107" s="300" t="s"/>
    </row>
    <row r="108" spans="1:26" ht="12" customHeight="true">
      <c r="A108" s="314" t="s"/>
      <c r="B108" s="318" t="s">
        <v>688</v>
      </c>
      <c r="C108" s="319" t="s"/>
      <c r="D108" s="320" t="s">
        <v>674</v>
      </c>
      <c r="E108" s="321" t="s"/>
      <c r="F108" s="321">
        <f>=E108</f>
        <v>0</v>
      </c>
      <c r="G108" s="331" t="s"/>
      <c r="H108" s="321">
        <f>=G108</f>
        <v>0</v>
      </c>
      <c r="I108" s="321">
        <f>=H108</f>
        <v>0</v>
      </c>
      <c r="J108" s="321">
        <f>=I108</f>
        <v>0</v>
      </c>
      <c r="K108" s="321">
        <f>=J108</f>
        <v>0</v>
      </c>
      <c r="L108" s="321">
        <f>=K108</f>
        <v>0</v>
      </c>
      <c r="M108" s="321">
        <f>=L108</f>
        <v>0</v>
      </c>
      <c r="N108" s="321">
        <f>=M108</f>
        <v>0</v>
      </c>
      <c r="O108" s="321">
        <f>=N108</f>
        <v>0</v>
      </c>
      <c r="P108" s="321">
        <f>=O108</f>
        <v>0</v>
      </c>
      <c r="Q108" s="321">
        <f>=P108</f>
        <v>0</v>
      </c>
      <c r="R108" s="321">
        <f>=Q108</f>
        <v>0</v>
      </c>
      <c r="S108" s="321">
        <f>=R108</f>
        <v>0</v>
      </c>
      <c r="T108" s="321">
        <f>=S108</f>
        <v>0</v>
      </c>
      <c r="U108" s="321">
        <f>=T108</f>
        <v>0</v>
      </c>
      <c r="V108" s="321">
        <f>=U108</f>
        <v>0</v>
      </c>
      <c r="W108" s="321">
        <f>=V108</f>
        <v>0</v>
      </c>
      <c r="X108" s="321">
        <f>=W108</f>
        <v>0</v>
      </c>
      <c r="Y108" s="321">
        <f>=X108</f>
        <v>0</v>
      </c>
      <c r="Z108" s="321">
        <f>=Y108</f>
        <v>0</v>
      </c>
    </row>
    <row r="109" spans="1:26" ht="12" customHeight="true">
      <c r="A109" s="314" t="s"/>
      <c r="B109" s="323" t="s">
        <v>534</v>
      </c>
      <c r="C109" s="324">
        <f>=IF($D108="美元",辅助表1评估项目基础数据表!$C$17,IF($D108="其他外币",辅助表1评估项目基础数据表!$C$18,1))</f>
        <v>1</v>
      </c>
      <c r="D109" s="300" t="s"/>
      <c r="E109" s="325">
        <f>=$C109</f>
        <v>1</v>
      </c>
      <c r="F109" s="325">
        <f>=$C109</f>
        <v>1</v>
      </c>
      <c r="G109" s="325">
        <f>=$C109</f>
        <v>1</v>
      </c>
      <c r="H109" s="325">
        <f>=$C109</f>
        <v>1</v>
      </c>
      <c r="I109" s="325">
        <f>=$C109</f>
        <v>1</v>
      </c>
      <c r="J109" s="325">
        <f>=$C109</f>
        <v>1</v>
      </c>
      <c r="K109" s="325">
        <f>=$C109</f>
        <v>1</v>
      </c>
      <c r="L109" s="325">
        <f>=$C109</f>
        <v>1</v>
      </c>
      <c r="M109" s="325">
        <f>=$C109</f>
        <v>1</v>
      </c>
      <c r="N109" s="325">
        <f>=$C109</f>
        <v>1</v>
      </c>
      <c r="O109" s="325">
        <f>=$C109</f>
        <v>1</v>
      </c>
      <c r="P109" s="325">
        <f>=$C109</f>
        <v>1</v>
      </c>
      <c r="Q109" s="325">
        <f>=$C109</f>
        <v>1</v>
      </c>
      <c r="R109" s="325">
        <f>=$C109</f>
        <v>1</v>
      </c>
      <c r="S109" s="325">
        <f>=$C109</f>
        <v>1</v>
      </c>
      <c r="T109" s="325">
        <f>=$C109</f>
        <v>1</v>
      </c>
      <c r="U109" s="325">
        <f>=$C109</f>
        <v>1</v>
      </c>
      <c r="V109" s="325">
        <f>=$C109</f>
        <v>1</v>
      </c>
      <c r="W109" s="325">
        <f>=$C109</f>
        <v>1</v>
      </c>
      <c r="X109" s="325">
        <f>=$C109</f>
        <v>1</v>
      </c>
      <c r="Y109" s="325">
        <f>=$C109</f>
        <v>1</v>
      </c>
      <c r="Z109" s="325">
        <f>=$C109</f>
        <v>1</v>
      </c>
    </row>
    <row r="110" spans="1:26" ht="12" customHeight="true">
      <c r="A110" s="314" t="s"/>
      <c r="B110" s="326" t="s">
        <v>676</v>
      </c>
      <c r="C110" s="327" t="s"/>
      <c r="D110" s="310" t="s"/>
      <c r="E110" s="328">
        <f>=E108*E109</f>
        <v>0</v>
      </c>
      <c r="F110" s="328">
        <f>=F108*F109</f>
        <v>0</v>
      </c>
      <c r="G110" s="328">
        <f>=G108*G109</f>
        <v>0</v>
      </c>
      <c r="H110" s="328">
        <f>=H108*H109</f>
        <v>0</v>
      </c>
      <c r="I110" s="328">
        <f>=I108*I109</f>
        <v>0</v>
      </c>
      <c r="J110" s="328">
        <f>=J108*J109</f>
        <v>0</v>
      </c>
      <c r="K110" s="328">
        <f>=K108*K109</f>
        <v>0</v>
      </c>
      <c r="L110" s="328">
        <f>=L108*L109</f>
        <v>0</v>
      </c>
      <c r="M110" s="328">
        <f>=M108*M109</f>
        <v>0</v>
      </c>
      <c r="N110" s="328">
        <f>=N108*N109</f>
        <v>0</v>
      </c>
      <c r="O110" s="328">
        <f>=O108*O109</f>
        <v>0</v>
      </c>
      <c r="P110" s="328">
        <f>=P108*P109</f>
        <v>0</v>
      </c>
      <c r="Q110" s="328">
        <f>=Q108*Q109</f>
        <v>0</v>
      </c>
      <c r="R110" s="328">
        <f>=R108*R109</f>
        <v>0</v>
      </c>
      <c r="S110" s="328">
        <f>=S108*S109</f>
        <v>0</v>
      </c>
      <c r="T110" s="328">
        <f>=T108*T109</f>
        <v>0</v>
      </c>
      <c r="U110" s="328">
        <f>=U108*U109</f>
        <v>0</v>
      </c>
      <c r="V110" s="328">
        <f>=V108*V109</f>
        <v>0</v>
      </c>
      <c r="W110" s="328">
        <f>=W108*W109</f>
        <v>0</v>
      </c>
      <c r="X110" s="328">
        <f>=X108*X109</f>
        <v>0</v>
      </c>
      <c r="Y110" s="328">
        <f>=Y108*Y109</f>
        <v>0</v>
      </c>
      <c r="Z110" s="328">
        <f>=Z108*Z109</f>
        <v>0</v>
      </c>
    </row>
    <row r="111" spans="1:26" ht="12" customHeight="true">
      <c r="A111" s="314" t="s"/>
      <c r="B111" s="333" t="s">
        <v>677</v>
      </c>
      <c r="C111" s="330" t="s"/>
      <c r="D111" s="306">
        <f>=SUM(E111:Z111)</f>
        <v>0</v>
      </c>
      <c r="E111" s="321" t="s"/>
      <c r="F111" s="321">
        <f>=E111</f>
        <v>0</v>
      </c>
      <c r="G111" s="331" t="s"/>
      <c r="H111" s="331" t="s"/>
      <c r="I111" s="331" t="s"/>
      <c r="J111" s="331" t="s"/>
      <c r="K111" s="331" t="s"/>
      <c r="L111" s="331" t="s"/>
      <c r="M111" s="331" t="s"/>
      <c r="N111" s="331" t="s"/>
      <c r="O111" s="331" t="s"/>
      <c r="P111" s="331" t="s"/>
      <c r="Q111" s="331" t="s"/>
      <c r="R111" s="331" t="s"/>
      <c r="S111" s="331" t="s"/>
      <c r="T111" s="331">
        <f>=S111</f>
        <v>0</v>
      </c>
      <c r="U111" s="331">
        <f>=T111</f>
        <v>0</v>
      </c>
      <c r="V111" s="331">
        <f>=U111</f>
        <v>0</v>
      </c>
      <c r="W111" s="331">
        <f>=V111</f>
        <v>0</v>
      </c>
      <c r="X111" s="331">
        <f>=W111</f>
        <v>0</v>
      </c>
      <c r="Y111" s="331">
        <f>=X111</f>
        <v>0</v>
      </c>
      <c r="Z111" s="331">
        <f>=Y111</f>
        <v>0</v>
      </c>
    </row>
    <row r="112" spans="1:26" ht="12" customHeight="true">
      <c r="A112" s="314" t="s"/>
      <c r="B112" s="333" t="s">
        <v>680</v>
      </c>
      <c r="C112" s="333" t="s"/>
      <c r="D112" s="306">
        <f>=SUM(E112:Z112)</f>
        <v>0</v>
      </c>
      <c r="E112" s="306">
        <f>=E110*E111</f>
        <v>0</v>
      </c>
      <c r="F112" s="306">
        <f>=F110*F111</f>
        <v>0</v>
      </c>
      <c r="G112" s="306">
        <f>=G110*G111</f>
        <v>0</v>
      </c>
      <c r="H112" s="306">
        <f>=H110*H111</f>
        <v>0</v>
      </c>
      <c r="I112" s="306">
        <f>=I110*I111</f>
        <v>0</v>
      </c>
      <c r="J112" s="306">
        <f>=J110*J111</f>
        <v>0</v>
      </c>
      <c r="K112" s="306">
        <f>=K110*K111</f>
        <v>0</v>
      </c>
      <c r="L112" s="306">
        <f>=L110*L111</f>
        <v>0</v>
      </c>
      <c r="M112" s="306">
        <f>=M110*M111</f>
        <v>0</v>
      </c>
      <c r="N112" s="306">
        <f>=N110*N111</f>
        <v>0</v>
      </c>
      <c r="O112" s="306">
        <f>=O110*O111</f>
        <v>0</v>
      </c>
      <c r="P112" s="306">
        <f>=P110*P111</f>
        <v>0</v>
      </c>
      <c r="Q112" s="306">
        <f>=Q110*Q111</f>
        <v>0</v>
      </c>
      <c r="R112" s="306">
        <f>=R110*R111</f>
        <v>0</v>
      </c>
      <c r="S112" s="306">
        <f>=S110*S111</f>
        <v>0</v>
      </c>
      <c r="T112" s="306">
        <f>=T110*T111</f>
        <v>0</v>
      </c>
      <c r="U112" s="306">
        <f>=U110*U111</f>
        <v>0</v>
      </c>
      <c r="V112" s="306">
        <f>=V110*V111</f>
        <v>0</v>
      </c>
      <c r="W112" s="306">
        <f>=W110*W111</f>
        <v>0</v>
      </c>
      <c r="X112" s="306">
        <f>=X110*X111</f>
        <v>0</v>
      </c>
      <c r="Y112" s="306">
        <f>=Y110*Y111</f>
        <v>0</v>
      </c>
      <c r="Z112" s="306">
        <f>=Z110*Z111</f>
        <v>0</v>
      </c>
    </row>
    <row r="113" spans="1:26" ht="12" customHeight="true">
      <c r="A113" s="314" t="s"/>
      <c r="B113" s="334" t="s">
        <v>682</v>
      </c>
      <c r="C113" s="335" t="s"/>
      <c r="D113" s="310" t="s"/>
      <c r="E113" s="336">
        <f>=$C113</f>
        <v>0</v>
      </c>
      <c r="F113" s="336">
        <f>=$C113</f>
        <v>0</v>
      </c>
      <c r="G113" s="336">
        <f>=$C113</f>
        <v>0</v>
      </c>
      <c r="H113" s="336">
        <f>=$C113</f>
        <v>0</v>
      </c>
      <c r="I113" s="336">
        <f>=$C113</f>
        <v>0</v>
      </c>
      <c r="J113" s="336">
        <f>=$C113</f>
        <v>0</v>
      </c>
      <c r="K113" s="336">
        <f>=$C113</f>
        <v>0</v>
      </c>
      <c r="L113" s="336">
        <f>=$C113</f>
        <v>0</v>
      </c>
      <c r="M113" s="336">
        <f>=$C113</f>
        <v>0</v>
      </c>
      <c r="N113" s="336">
        <f>=$C113</f>
        <v>0</v>
      </c>
      <c r="O113" s="336">
        <f>=$C113</f>
        <v>0</v>
      </c>
      <c r="P113" s="336">
        <f>=$C113</f>
        <v>0</v>
      </c>
      <c r="Q113" s="336">
        <f>=$C113</f>
        <v>0</v>
      </c>
      <c r="R113" s="336">
        <f>=$C113</f>
        <v>0</v>
      </c>
      <c r="S113" s="336">
        <f>=$C113</f>
        <v>0</v>
      </c>
      <c r="T113" s="336">
        <f>=$C113</f>
        <v>0</v>
      </c>
      <c r="U113" s="336">
        <f>=$C113</f>
        <v>0</v>
      </c>
      <c r="V113" s="336">
        <f>=$C113</f>
        <v>0</v>
      </c>
      <c r="W113" s="336">
        <f>=$C113</f>
        <v>0</v>
      </c>
      <c r="X113" s="336">
        <f>=$C113</f>
        <v>0</v>
      </c>
      <c r="Y113" s="336">
        <f>=$C113</f>
        <v>0</v>
      </c>
      <c r="Z113" s="336">
        <f>=$C113</f>
        <v>0</v>
      </c>
    </row>
    <row r="114" spans="1:26" ht="12" customHeight="true">
      <c r="A114" s="314" t="s"/>
      <c r="B114" s="334" t="s">
        <v>654</v>
      </c>
      <c r="C114" s="310" t="s"/>
      <c r="D114" s="306">
        <f>=SUM(E114:Z114)</f>
        <v>0</v>
      </c>
      <c r="E114" s="306">
        <f>=E112*E113/(1+E113)</f>
        <v>0</v>
      </c>
      <c r="F114" s="306">
        <f>=F112*F113/(1+F113)</f>
        <v>0</v>
      </c>
      <c r="G114" s="306">
        <f>=G112*G113/(1+G113)</f>
        <v>0</v>
      </c>
      <c r="H114" s="306">
        <f>=H112*H113/(1+H113)</f>
        <v>0</v>
      </c>
      <c r="I114" s="306">
        <f>=I112*I113/(1+I113)</f>
        <v>0</v>
      </c>
      <c r="J114" s="306">
        <f>=J112*J113/(1+J113)</f>
        <v>0</v>
      </c>
      <c r="K114" s="306">
        <f>=K112*K113/(1+K113)</f>
        <v>0</v>
      </c>
      <c r="L114" s="306">
        <f>=L112*L113/(1+L113)</f>
        <v>0</v>
      </c>
      <c r="M114" s="306">
        <f>=M112*M113/(1+M113)</f>
        <v>0</v>
      </c>
      <c r="N114" s="306">
        <f>=N112*N113/(1+N113)</f>
        <v>0</v>
      </c>
      <c r="O114" s="306">
        <f>=O112*O113/(1+O113)</f>
        <v>0</v>
      </c>
      <c r="P114" s="306">
        <f>=P112*P113/(1+P113)</f>
        <v>0</v>
      </c>
      <c r="Q114" s="306">
        <f>=Q112*Q113/(1+Q113)</f>
        <v>0</v>
      </c>
      <c r="R114" s="306">
        <f>=R112*R113/(1+R113)</f>
        <v>0</v>
      </c>
      <c r="S114" s="306">
        <f>=S112*S113/(1+S113)</f>
        <v>0</v>
      </c>
      <c r="T114" s="306">
        <f>=T112*T113/(1+T113)</f>
        <v>0</v>
      </c>
      <c r="U114" s="306">
        <f>=U112*U113/(1+U113)</f>
        <v>0</v>
      </c>
      <c r="V114" s="306">
        <f>=V112*V113/(1+V113)</f>
        <v>0</v>
      </c>
      <c r="W114" s="306">
        <f>=W112*W113/(1+W113)</f>
        <v>0</v>
      </c>
      <c r="X114" s="306">
        <f>=X112*X113/(1+X113)</f>
        <v>0</v>
      </c>
      <c r="Y114" s="306">
        <f>=Y112*Y113/(1+Y113)</f>
        <v>0</v>
      </c>
      <c r="Z114" s="306">
        <f>=Z112*Z113/(1+Z113)</f>
        <v>0</v>
      </c>
    </row>
    <row r="115" spans="1:26" ht="12" customHeight="true">
      <c r="A115" s="314" t="s"/>
      <c r="B115" s="334" t="s">
        <v>683</v>
      </c>
      <c r="C115" s="310" t="s"/>
      <c r="D115" s="310" t="s"/>
      <c r="E115" s="336">
        <f>=$C115</f>
        <v>0</v>
      </c>
      <c r="F115" s="336">
        <f>=$C115</f>
        <v>0</v>
      </c>
      <c r="G115" s="336">
        <f>=$C115</f>
        <v>0</v>
      </c>
      <c r="H115" s="336">
        <f>=$C115</f>
        <v>0</v>
      </c>
      <c r="I115" s="336">
        <f>=$C115</f>
        <v>0</v>
      </c>
      <c r="J115" s="336">
        <f>=$C115</f>
        <v>0</v>
      </c>
      <c r="K115" s="336">
        <f>=$C115</f>
        <v>0</v>
      </c>
      <c r="L115" s="336">
        <f>=$C115</f>
        <v>0</v>
      </c>
      <c r="M115" s="336">
        <f>=$C115</f>
        <v>0</v>
      </c>
      <c r="N115" s="336">
        <f>=$C115</f>
        <v>0</v>
      </c>
      <c r="O115" s="336">
        <f>=$C115</f>
        <v>0</v>
      </c>
      <c r="P115" s="336">
        <f>=$C115</f>
        <v>0</v>
      </c>
      <c r="Q115" s="336">
        <f>=$C115</f>
        <v>0</v>
      </c>
      <c r="R115" s="336">
        <f>=$C115</f>
        <v>0</v>
      </c>
      <c r="S115" s="336">
        <f>=$C115</f>
        <v>0</v>
      </c>
      <c r="T115" s="336">
        <f>=$C115</f>
        <v>0</v>
      </c>
      <c r="U115" s="336">
        <f>=$C115</f>
        <v>0</v>
      </c>
      <c r="V115" s="336">
        <f>=$C115</f>
        <v>0</v>
      </c>
      <c r="W115" s="336">
        <f>=$C115</f>
        <v>0</v>
      </c>
      <c r="X115" s="336">
        <f>=$C115</f>
        <v>0</v>
      </c>
      <c r="Y115" s="336">
        <f>=$C115</f>
        <v>0</v>
      </c>
      <c r="Z115" s="336">
        <f>=$C115</f>
        <v>0</v>
      </c>
    </row>
    <row r="116" spans="1:26" ht="12" customHeight="true">
      <c r="A116" s="314" t="s"/>
      <c r="B116" s="334" t="s">
        <v>684</v>
      </c>
      <c r="C116" s="337" t="s"/>
      <c r="D116" s="306">
        <f>=SUM(E116:Z116)</f>
        <v>0</v>
      </c>
      <c r="E116" s="306">
        <f>=E112*E115</f>
        <v>0</v>
      </c>
      <c r="F116" s="306">
        <f>=F112*F115</f>
        <v>0</v>
      </c>
      <c r="G116" s="306">
        <f>=G112*G115</f>
        <v>0</v>
      </c>
      <c r="H116" s="306">
        <f>=H112*H115</f>
        <v>0</v>
      </c>
      <c r="I116" s="306">
        <f>=I112*I115</f>
        <v>0</v>
      </c>
      <c r="J116" s="306">
        <f>=J112*J115</f>
        <v>0</v>
      </c>
      <c r="K116" s="306">
        <f>=K112*K115</f>
        <v>0</v>
      </c>
      <c r="L116" s="306">
        <f>=L112*L115</f>
        <v>0</v>
      </c>
      <c r="M116" s="306">
        <f>=M112*M115</f>
        <v>0</v>
      </c>
      <c r="N116" s="306">
        <f>=N112*N115</f>
        <v>0</v>
      </c>
      <c r="O116" s="306">
        <f>=O112*O115</f>
        <v>0</v>
      </c>
      <c r="P116" s="306">
        <f>=P112*P115</f>
        <v>0</v>
      </c>
      <c r="Q116" s="306">
        <f>=Q112*Q115</f>
        <v>0</v>
      </c>
      <c r="R116" s="306">
        <f>=R112*R115</f>
        <v>0</v>
      </c>
      <c r="S116" s="306">
        <f>=S112*S115</f>
        <v>0</v>
      </c>
      <c r="T116" s="306">
        <f>=T112*T115</f>
        <v>0</v>
      </c>
      <c r="U116" s="306">
        <f>=U112*U115</f>
        <v>0</v>
      </c>
      <c r="V116" s="306">
        <f>=V112*V115</f>
        <v>0</v>
      </c>
      <c r="W116" s="306">
        <f>=W112*W115</f>
        <v>0</v>
      </c>
      <c r="X116" s="306">
        <f>=X112*X115</f>
        <v>0</v>
      </c>
      <c r="Y116" s="306">
        <f>=Y112*Y115</f>
        <v>0</v>
      </c>
      <c r="Z116" s="306">
        <f>=Z112*Z115</f>
        <v>0</v>
      </c>
    </row>
    <row r="117" spans="1:26" ht="12" customHeight="true">
      <c r="A117" s="314">
        <v>10</v>
      </c>
      <c r="B117" s="342" t="s"/>
      <c r="C117" s="342" t="s"/>
      <c r="D117" s="316" t="s">
        <v>672</v>
      </c>
      <c r="E117" s="300" t="s"/>
      <c r="F117" s="300" t="s"/>
      <c r="G117" s="300" t="s"/>
      <c r="H117" s="300" t="s"/>
      <c r="I117" s="300" t="s"/>
      <c r="J117" s="300" t="s"/>
      <c r="K117" s="300" t="s"/>
      <c r="L117" s="300" t="s"/>
      <c r="M117" s="300" t="s"/>
      <c r="N117" s="300" t="s"/>
      <c r="O117" s="300" t="s"/>
      <c r="P117" s="300" t="s"/>
      <c r="Q117" s="300" t="s"/>
      <c r="R117" s="300" t="s"/>
      <c r="S117" s="300" t="s"/>
      <c r="T117" s="300" t="s"/>
      <c r="U117" s="300" t="s"/>
      <c r="V117" s="300" t="s"/>
      <c r="W117" s="300" t="s"/>
      <c r="X117" s="300" t="s"/>
      <c r="Y117" s="300" t="s"/>
      <c r="Z117" s="300" t="s"/>
    </row>
    <row r="118" spans="1:26" ht="12" customHeight="true">
      <c r="A118" s="314" t="s"/>
      <c r="B118" s="318" t="s">
        <v>688</v>
      </c>
      <c r="C118" s="319" t="s"/>
      <c r="D118" s="320" t="s">
        <v>674</v>
      </c>
      <c r="E118" s="321" t="s"/>
      <c r="F118" s="321">
        <f>=E118</f>
        <v>0</v>
      </c>
      <c r="G118" s="331" t="s"/>
      <c r="H118" s="321">
        <f>=G118</f>
        <v>0</v>
      </c>
      <c r="I118" s="321">
        <f>=H118</f>
        <v>0</v>
      </c>
      <c r="J118" s="321">
        <f>=I118</f>
        <v>0</v>
      </c>
      <c r="K118" s="321">
        <f>=J118</f>
        <v>0</v>
      </c>
      <c r="L118" s="321">
        <f>=K118</f>
        <v>0</v>
      </c>
      <c r="M118" s="321">
        <f>=L118</f>
        <v>0</v>
      </c>
      <c r="N118" s="321">
        <f>=M118</f>
        <v>0</v>
      </c>
      <c r="O118" s="321">
        <f>=N118</f>
        <v>0</v>
      </c>
      <c r="P118" s="321">
        <f>=O118</f>
        <v>0</v>
      </c>
      <c r="Q118" s="321">
        <f>=P118</f>
        <v>0</v>
      </c>
      <c r="R118" s="321">
        <f>=Q118</f>
        <v>0</v>
      </c>
      <c r="S118" s="321">
        <f>=R118</f>
        <v>0</v>
      </c>
      <c r="T118" s="321">
        <f>=S118</f>
        <v>0</v>
      </c>
      <c r="U118" s="321">
        <f>=T118</f>
        <v>0</v>
      </c>
      <c r="V118" s="321">
        <f>=U118</f>
        <v>0</v>
      </c>
      <c r="W118" s="321">
        <f>=V118</f>
        <v>0</v>
      </c>
      <c r="X118" s="321">
        <f>=W118</f>
        <v>0</v>
      </c>
      <c r="Y118" s="321">
        <f>=X118</f>
        <v>0</v>
      </c>
      <c r="Z118" s="321">
        <f>=Y118</f>
        <v>0</v>
      </c>
    </row>
    <row r="119" spans="1:26" ht="12" customHeight="true">
      <c r="A119" s="314" t="s"/>
      <c r="B119" s="323" t="s">
        <v>534</v>
      </c>
      <c r="C119" s="324">
        <f>=IF($D118="美元",辅助表1评估项目基础数据表!$C$17,IF($D118="其他外币",辅助表1评估项目基础数据表!$C$18,1))</f>
        <v>1</v>
      </c>
      <c r="D119" s="300" t="s"/>
      <c r="E119" s="325">
        <f>=$C119</f>
        <v>1</v>
      </c>
      <c r="F119" s="325">
        <f>=$C119</f>
        <v>1</v>
      </c>
      <c r="G119" s="325">
        <f>=$C119</f>
        <v>1</v>
      </c>
      <c r="H119" s="325">
        <f>=$C119</f>
        <v>1</v>
      </c>
      <c r="I119" s="325">
        <f>=$C119</f>
        <v>1</v>
      </c>
      <c r="J119" s="325">
        <f>=$C119</f>
        <v>1</v>
      </c>
      <c r="K119" s="325">
        <f>=$C119</f>
        <v>1</v>
      </c>
      <c r="L119" s="325">
        <f>=$C119</f>
        <v>1</v>
      </c>
      <c r="M119" s="325">
        <f>=$C119</f>
        <v>1</v>
      </c>
      <c r="N119" s="325">
        <f>=$C119</f>
        <v>1</v>
      </c>
      <c r="O119" s="325">
        <f>=$C119</f>
        <v>1</v>
      </c>
      <c r="P119" s="325">
        <f>=$C119</f>
        <v>1</v>
      </c>
      <c r="Q119" s="325">
        <f>=$C119</f>
        <v>1</v>
      </c>
      <c r="R119" s="325">
        <f>=$C119</f>
        <v>1</v>
      </c>
      <c r="S119" s="325">
        <f>=$C119</f>
        <v>1</v>
      </c>
      <c r="T119" s="325">
        <f>=$C119</f>
        <v>1</v>
      </c>
      <c r="U119" s="325">
        <f>=$C119</f>
        <v>1</v>
      </c>
      <c r="V119" s="325">
        <f>=$C119</f>
        <v>1</v>
      </c>
      <c r="W119" s="325">
        <f>=$C119</f>
        <v>1</v>
      </c>
      <c r="X119" s="325">
        <f>=$C119</f>
        <v>1</v>
      </c>
      <c r="Y119" s="325">
        <f>=$C119</f>
        <v>1</v>
      </c>
      <c r="Z119" s="325">
        <f>=$C119</f>
        <v>1</v>
      </c>
    </row>
    <row r="120" spans="1:26" ht="12" customHeight="true">
      <c r="A120" s="314" t="s"/>
      <c r="B120" s="326" t="s">
        <v>676</v>
      </c>
      <c r="C120" s="327" t="s"/>
      <c r="D120" s="310" t="s"/>
      <c r="E120" s="328">
        <f>=E118*E119</f>
        <v>0</v>
      </c>
      <c r="F120" s="328">
        <f>=F118*F119</f>
        <v>0</v>
      </c>
      <c r="G120" s="328">
        <f>=G118*G119</f>
        <v>0</v>
      </c>
      <c r="H120" s="328">
        <f>=H118*H119</f>
        <v>0</v>
      </c>
      <c r="I120" s="328">
        <f>=I118*I119</f>
        <v>0</v>
      </c>
      <c r="J120" s="328">
        <f>=J118*J119</f>
        <v>0</v>
      </c>
      <c r="K120" s="328">
        <f>=K118*K119</f>
        <v>0</v>
      </c>
      <c r="L120" s="328">
        <f>=L118*L119</f>
        <v>0</v>
      </c>
      <c r="M120" s="328">
        <f>=M118*M119</f>
        <v>0</v>
      </c>
      <c r="N120" s="328">
        <f>=N118*N119</f>
        <v>0</v>
      </c>
      <c r="O120" s="328">
        <f>=O118*O119</f>
        <v>0</v>
      </c>
      <c r="P120" s="328">
        <f>=P118*P119</f>
        <v>0</v>
      </c>
      <c r="Q120" s="328">
        <f>=Q118*Q119</f>
        <v>0</v>
      </c>
      <c r="R120" s="328">
        <f>=R118*R119</f>
        <v>0</v>
      </c>
      <c r="S120" s="328">
        <f>=S118*S119</f>
        <v>0</v>
      </c>
      <c r="T120" s="328">
        <f>=T118*T119</f>
        <v>0</v>
      </c>
      <c r="U120" s="328">
        <f>=U118*U119</f>
        <v>0</v>
      </c>
      <c r="V120" s="328">
        <f>=V118*V119</f>
        <v>0</v>
      </c>
      <c r="W120" s="328">
        <f>=W118*W119</f>
        <v>0</v>
      </c>
      <c r="X120" s="328">
        <f>=X118*X119</f>
        <v>0</v>
      </c>
      <c r="Y120" s="328">
        <f>=Y118*Y119</f>
        <v>0</v>
      </c>
      <c r="Z120" s="328">
        <f>=Z118*Z119</f>
        <v>0</v>
      </c>
    </row>
    <row r="121" spans="1:26" ht="12" customHeight="true">
      <c r="A121" s="314" t="s"/>
      <c r="B121" s="333" t="s">
        <v>677</v>
      </c>
      <c r="C121" s="330" t="s"/>
      <c r="D121" s="306">
        <f>=SUM(E121:Z121)</f>
        <v>0</v>
      </c>
      <c r="E121" s="321" t="s"/>
      <c r="F121" s="321">
        <f>=E121</f>
        <v>0</v>
      </c>
      <c r="G121" s="331" t="s"/>
      <c r="H121" s="331" t="s"/>
      <c r="I121" s="331" t="s"/>
      <c r="J121" s="331" t="s"/>
      <c r="K121" s="331" t="s"/>
      <c r="L121" s="331" t="s"/>
      <c r="M121" s="331" t="s"/>
      <c r="N121" s="331" t="s"/>
      <c r="O121" s="331" t="s"/>
      <c r="P121" s="331" t="s"/>
      <c r="Q121" s="331" t="s"/>
      <c r="R121" s="331" t="s"/>
      <c r="S121" s="331" t="s"/>
      <c r="T121" s="331">
        <f>=S121</f>
        <v>0</v>
      </c>
      <c r="U121" s="331">
        <f>=T121</f>
        <v>0</v>
      </c>
      <c r="V121" s="331">
        <f>=U121</f>
        <v>0</v>
      </c>
      <c r="W121" s="331">
        <f>=V121</f>
        <v>0</v>
      </c>
      <c r="X121" s="331">
        <f>=W121</f>
        <v>0</v>
      </c>
      <c r="Y121" s="331">
        <f>=X121</f>
        <v>0</v>
      </c>
      <c r="Z121" s="331">
        <f>=Y121</f>
        <v>0</v>
      </c>
    </row>
    <row r="122" spans="1:26" ht="12" customHeight="true">
      <c r="A122" s="314" t="s"/>
      <c r="B122" s="333" t="s">
        <v>680</v>
      </c>
      <c r="C122" s="333" t="s"/>
      <c r="D122" s="306">
        <f>=SUM(E122:Z122)</f>
        <v>0</v>
      </c>
      <c r="E122" s="306">
        <f>=E120*E121</f>
        <v>0</v>
      </c>
      <c r="F122" s="306">
        <f>=F120*F121</f>
        <v>0</v>
      </c>
      <c r="G122" s="306">
        <f>=G120*G121</f>
        <v>0</v>
      </c>
      <c r="H122" s="306">
        <f>=H120*H121</f>
        <v>0</v>
      </c>
      <c r="I122" s="306">
        <f>=I120*I121</f>
        <v>0</v>
      </c>
      <c r="J122" s="306">
        <f>=J120*J121</f>
        <v>0</v>
      </c>
      <c r="K122" s="306">
        <f>=K120*K121</f>
        <v>0</v>
      </c>
      <c r="L122" s="306">
        <f>=L120*L121</f>
        <v>0</v>
      </c>
      <c r="M122" s="306">
        <f>=M120*M121</f>
        <v>0</v>
      </c>
      <c r="N122" s="306">
        <f>=N120*N121</f>
        <v>0</v>
      </c>
      <c r="O122" s="306">
        <f>=O120*O121</f>
        <v>0</v>
      </c>
      <c r="P122" s="306">
        <f>=P120*P121</f>
        <v>0</v>
      </c>
      <c r="Q122" s="306">
        <f>=Q120*Q121</f>
        <v>0</v>
      </c>
      <c r="R122" s="306">
        <f>=R120*R121</f>
        <v>0</v>
      </c>
      <c r="S122" s="306">
        <f>=S120*S121</f>
        <v>0</v>
      </c>
      <c r="T122" s="306">
        <f>=T120*T121</f>
        <v>0</v>
      </c>
      <c r="U122" s="306">
        <f>=U120*U121</f>
        <v>0</v>
      </c>
      <c r="V122" s="306">
        <f>=V120*V121</f>
        <v>0</v>
      </c>
      <c r="W122" s="306">
        <f>=W120*W121</f>
        <v>0</v>
      </c>
      <c r="X122" s="306">
        <f>=X120*X121</f>
        <v>0</v>
      </c>
      <c r="Y122" s="306">
        <f>=Y120*Y121</f>
        <v>0</v>
      </c>
      <c r="Z122" s="306">
        <f>=Z120*Z121</f>
        <v>0</v>
      </c>
    </row>
    <row r="123" spans="1:26" ht="12" customHeight="true">
      <c r="A123" s="314" t="s"/>
      <c r="B123" s="334" t="s">
        <v>682</v>
      </c>
      <c r="C123" s="335" t="s"/>
      <c r="D123" s="310" t="s"/>
      <c r="E123" s="336">
        <f>=$C123</f>
        <v>0</v>
      </c>
      <c r="F123" s="336">
        <f>=$C123</f>
        <v>0</v>
      </c>
      <c r="G123" s="336">
        <f>=$C123</f>
        <v>0</v>
      </c>
      <c r="H123" s="336">
        <f>=$C123</f>
        <v>0</v>
      </c>
      <c r="I123" s="336">
        <f>=$C123</f>
        <v>0</v>
      </c>
      <c r="J123" s="336">
        <f>=$C123</f>
        <v>0</v>
      </c>
      <c r="K123" s="336">
        <f>=$C123</f>
        <v>0</v>
      </c>
      <c r="L123" s="336">
        <f>=$C123</f>
        <v>0</v>
      </c>
      <c r="M123" s="336">
        <f>=$C123</f>
        <v>0</v>
      </c>
      <c r="N123" s="336">
        <f>=$C123</f>
        <v>0</v>
      </c>
      <c r="O123" s="336">
        <f>=$C123</f>
        <v>0</v>
      </c>
      <c r="P123" s="336">
        <f>=$C123</f>
        <v>0</v>
      </c>
      <c r="Q123" s="336">
        <f>=$C123</f>
        <v>0</v>
      </c>
      <c r="R123" s="336">
        <f>=$C123</f>
        <v>0</v>
      </c>
      <c r="S123" s="336">
        <f>=$C123</f>
        <v>0</v>
      </c>
      <c r="T123" s="336">
        <f>=$C123</f>
        <v>0</v>
      </c>
      <c r="U123" s="336">
        <f>=$C123</f>
        <v>0</v>
      </c>
      <c r="V123" s="336">
        <f>=$C123</f>
        <v>0</v>
      </c>
      <c r="W123" s="336">
        <f>=$C123</f>
        <v>0</v>
      </c>
      <c r="X123" s="336">
        <f>=$C123</f>
        <v>0</v>
      </c>
      <c r="Y123" s="336">
        <f>=$C123</f>
        <v>0</v>
      </c>
      <c r="Z123" s="336">
        <f>=$C123</f>
        <v>0</v>
      </c>
    </row>
    <row r="124" spans="1:26" ht="12" customHeight="true">
      <c r="A124" s="314" t="s"/>
      <c r="B124" s="334" t="s">
        <v>654</v>
      </c>
      <c r="C124" s="310" t="s"/>
      <c r="D124" s="306">
        <f>=SUM(E124:Z124)</f>
        <v>0</v>
      </c>
      <c r="E124" s="306">
        <f>=E122*E123/(1+E123)</f>
        <v>0</v>
      </c>
      <c r="F124" s="306">
        <f>=F122*F123/(1+F123)</f>
        <v>0</v>
      </c>
      <c r="G124" s="306">
        <f>=G122*G123/(1+G123)</f>
        <v>0</v>
      </c>
      <c r="H124" s="306">
        <f>=H122*H123/(1+H123)</f>
        <v>0</v>
      </c>
      <c r="I124" s="306">
        <f>=I122*I123/(1+I123)</f>
        <v>0</v>
      </c>
      <c r="J124" s="306">
        <f>=J122*J123/(1+J123)</f>
        <v>0</v>
      </c>
      <c r="K124" s="306">
        <f>=K122*K123/(1+K123)</f>
        <v>0</v>
      </c>
      <c r="L124" s="306">
        <f>=L122*L123/(1+L123)</f>
        <v>0</v>
      </c>
      <c r="M124" s="306">
        <f>=M122*M123/(1+M123)</f>
        <v>0</v>
      </c>
      <c r="N124" s="306">
        <f>=N122*N123/(1+N123)</f>
        <v>0</v>
      </c>
      <c r="O124" s="306">
        <f>=O122*O123/(1+O123)</f>
        <v>0</v>
      </c>
      <c r="P124" s="306">
        <f>=P122*P123/(1+P123)</f>
        <v>0</v>
      </c>
      <c r="Q124" s="306">
        <f>=Q122*Q123/(1+Q123)</f>
        <v>0</v>
      </c>
      <c r="R124" s="306">
        <f>=R122*R123/(1+R123)</f>
        <v>0</v>
      </c>
      <c r="S124" s="306">
        <f>=S122*S123/(1+S123)</f>
        <v>0</v>
      </c>
      <c r="T124" s="306">
        <f>=T122*T123/(1+T123)</f>
        <v>0</v>
      </c>
      <c r="U124" s="306">
        <f>=U122*U123/(1+U123)</f>
        <v>0</v>
      </c>
      <c r="V124" s="306">
        <f>=V122*V123/(1+V123)</f>
        <v>0</v>
      </c>
      <c r="W124" s="306">
        <f>=W122*W123/(1+W123)</f>
        <v>0</v>
      </c>
      <c r="X124" s="306">
        <f>=X122*X123/(1+X123)</f>
        <v>0</v>
      </c>
      <c r="Y124" s="306">
        <f>=Y122*Y123/(1+Y123)</f>
        <v>0</v>
      </c>
      <c r="Z124" s="306">
        <f>=Z122*Z123/(1+Z123)</f>
        <v>0</v>
      </c>
    </row>
    <row r="125" spans="1:26" ht="12" customHeight="true">
      <c r="A125" s="314" t="s"/>
      <c r="B125" s="334" t="s">
        <v>683</v>
      </c>
      <c r="C125" s="310" t="s"/>
      <c r="D125" s="310" t="s"/>
      <c r="E125" s="336">
        <f>=$C125</f>
        <v>0</v>
      </c>
      <c r="F125" s="336">
        <f>=$C125</f>
        <v>0</v>
      </c>
      <c r="G125" s="336">
        <f>=$C125</f>
        <v>0</v>
      </c>
      <c r="H125" s="336">
        <f>=$C125</f>
        <v>0</v>
      </c>
      <c r="I125" s="336">
        <f>=$C125</f>
        <v>0</v>
      </c>
      <c r="J125" s="336">
        <f>=$C125</f>
        <v>0</v>
      </c>
      <c r="K125" s="336">
        <f>=$C125</f>
        <v>0</v>
      </c>
      <c r="L125" s="336">
        <f>=$C125</f>
        <v>0</v>
      </c>
      <c r="M125" s="336">
        <f>=$C125</f>
        <v>0</v>
      </c>
      <c r="N125" s="336">
        <f>=$C125</f>
        <v>0</v>
      </c>
      <c r="O125" s="336">
        <f>=$C125</f>
        <v>0</v>
      </c>
      <c r="P125" s="336">
        <f>=$C125</f>
        <v>0</v>
      </c>
      <c r="Q125" s="336">
        <f>=$C125</f>
        <v>0</v>
      </c>
      <c r="R125" s="336">
        <f>=$C125</f>
        <v>0</v>
      </c>
      <c r="S125" s="336">
        <f>=$C125</f>
        <v>0</v>
      </c>
      <c r="T125" s="336">
        <f>=$C125</f>
        <v>0</v>
      </c>
      <c r="U125" s="336">
        <f>=$C125</f>
        <v>0</v>
      </c>
      <c r="V125" s="336">
        <f>=$C125</f>
        <v>0</v>
      </c>
      <c r="W125" s="336">
        <f>=$C125</f>
        <v>0</v>
      </c>
      <c r="X125" s="336">
        <f>=$C125</f>
        <v>0</v>
      </c>
      <c r="Y125" s="336">
        <f>=$C125</f>
        <v>0</v>
      </c>
      <c r="Z125" s="336">
        <f>=$C125</f>
        <v>0</v>
      </c>
    </row>
    <row r="126" spans="1:26" ht="12" customHeight="true">
      <c r="A126" s="314" t="s"/>
      <c r="B126" s="334" t="s">
        <v>684</v>
      </c>
      <c r="C126" s="337" t="s"/>
      <c r="D126" s="306">
        <f>=SUM(E126:Z126)</f>
        <v>0</v>
      </c>
      <c r="E126" s="306">
        <f>=E122*E125</f>
        <v>0</v>
      </c>
      <c r="F126" s="306">
        <f>=F122*F125</f>
        <v>0</v>
      </c>
      <c r="G126" s="306">
        <f>=G122*G125</f>
        <v>0</v>
      </c>
      <c r="H126" s="306">
        <f>=H122*H125</f>
        <v>0</v>
      </c>
      <c r="I126" s="306">
        <f>=I122*I125</f>
        <v>0</v>
      </c>
      <c r="J126" s="306">
        <f>=J122*J125</f>
        <v>0</v>
      </c>
      <c r="K126" s="306">
        <f>=K122*K125</f>
        <v>0</v>
      </c>
      <c r="L126" s="306">
        <f>=L122*L125</f>
        <v>0</v>
      </c>
      <c r="M126" s="306">
        <f>=M122*M125</f>
        <v>0</v>
      </c>
      <c r="N126" s="306">
        <f>=N122*N125</f>
        <v>0</v>
      </c>
      <c r="O126" s="306">
        <f>=O122*O125</f>
        <v>0</v>
      </c>
      <c r="P126" s="306">
        <f>=P122*P125</f>
        <v>0</v>
      </c>
      <c r="Q126" s="306">
        <f>=Q122*Q125</f>
        <v>0</v>
      </c>
      <c r="R126" s="306">
        <f>=R122*R125</f>
        <v>0</v>
      </c>
      <c r="S126" s="306">
        <f>=S122*S125</f>
        <v>0</v>
      </c>
      <c r="T126" s="306">
        <f>=T122*T125</f>
        <v>0</v>
      </c>
      <c r="U126" s="306">
        <f>=U122*U125</f>
        <v>0</v>
      </c>
      <c r="V126" s="306">
        <f>=V122*V125</f>
        <v>0</v>
      </c>
      <c r="W126" s="306">
        <f>=W122*W125</f>
        <v>0</v>
      </c>
      <c r="X126" s="306">
        <f>=X122*X125</f>
        <v>0</v>
      </c>
      <c r="Y126" s="306">
        <f>=Y122*Y125</f>
        <v>0</v>
      </c>
      <c r="Z126" s="306">
        <f>=Z122*Z125</f>
        <v>0</v>
      </c>
    </row>
    <row r="127" spans="1:26" ht="12" customHeight="true">
      <c r="A127" s="314">
        <v>11</v>
      </c>
      <c r="B127" s="342" t="s"/>
      <c r="C127" s="342" t="s"/>
      <c r="D127" s="316" t="s">
        <v>672</v>
      </c>
      <c r="E127" s="300" t="s"/>
      <c r="F127" s="300" t="s"/>
      <c r="G127" s="300" t="s"/>
      <c r="H127" s="300" t="s"/>
      <c r="I127" s="300" t="s"/>
      <c r="J127" s="300" t="s"/>
      <c r="K127" s="300" t="s"/>
      <c r="L127" s="300" t="s"/>
      <c r="M127" s="300" t="s"/>
      <c r="N127" s="300" t="s"/>
      <c r="O127" s="300" t="s"/>
      <c r="P127" s="300" t="s"/>
      <c r="Q127" s="300" t="s"/>
      <c r="R127" s="300" t="s"/>
      <c r="S127" s="300" t="s"/>
      <c r="T127" s="300" t="s"/>
      <c r="U127" s="300" t="s"/>
      <c r="V127" s="300" t="s"/>
      <c r="W127" s="300" t="s"/>
      <c r="X127" s="300" t="s"/>
      <c r="Y127" s="300" t="s"/>
      <c r="Z127" s="300" t="s"/>
    </row>
    <row r="128" spans="1:26" ht="12" customHeight="true">
      <c r="A128" s="314" t="s"/>
      <c r="B128" s="318" t="s">
        <v>688</v>
      </c>
      <c r="C128" s="319" t="s"/>
      <c r="D128" s="320" t="s">
        <v>674</v>
      </c>
      <c r="E128" s="321" t="s"/>
      <c r="F128" s="321">
        <f>=E128</f>
        <v>0</v>
      </c>
      <c r="G128" s="331" t="s"/>
      <c r="H128" s="321">
        <f>=G128</f>
        <v>0</v>
      </c>
      <c r="I128" s="321">
        <f>=H128</f>
        <v>0</v>
      </c>
      <c r="J128" s="321">
        <f>=I128</f>
        <v>0</v>
      </c>
      <c r="K128" s="321">
        <f>=J128</f>
        <v>0</v>
      </c>
      <c r="L128" s="321">
        <f>=K128</f>
        <v>0</v>
      </c>
      <c r="M128" s="321">
        <f>=L128</f>
        <v>0</v>
      </c>
      <c r="N128" s="321">
        <f>=M128</f>
        <v>0</v>
      </c>
      <c r="O128" s="321">
        <f>=N128</f>
        <v>0</v>
      </c>
      <c r="P128" s="321">
        <f>=O128</f>
        <v>0</v>
      </c>
      <c r="Q128" s="321">
        <f>=P128</f>
        <v>0</v>
      </c>
      <c r="R128" s="321">
        <f>=Q128</f>
        <v>0</v>
      </c>
      <c r="S128" s="321">
        <f>=R128</f>
        <v>0</v>
      </c>
      <c r="T128" s="321">
        <f>=S128</f>
        <v>0</v>
      </c>
      <c r="U128" s="321">
        <f>=T128</f>
        <v>0</v>
      </c>
      <c r="V128" s="321">
        <f>=U128</f>
        <v>0</v>
      </c>
      <c r="W128" s="321">
        <f>=V128</f>
        <v>0</v>
      </c>
      <c r="X128" s="321">
        <f>=W128</f>
        <v>0</v>
      </c>
      <c r="Y128" s="321">
        <f>=X128</f>
        <v>0</v>
      </c>
      <c r="Z128" s="321">
        <f>=Y128</f>
        <v>0</v>
      </c>
    </row>
    <row r="129" spans="1:26" ht="12" customHeight="true">
      <c r="A129" s="314" t="s"/>
      <c r="B129" s="323" t="s">
        <v>534</v>
      </c>
      <c r="C129" s="324">
        <f>=IF($D128="美元",辅助表1评估项目基础数据表!$C$17,IF($D128="其他外币",辅助表1评估项目基础数据表!$C$18,1))</f>
        <v>1</v>
      </c>
      <c r="D129" s="300" t="s"/>
      <c r="E129" s="325">
        <f>=$C129</f>
        <v>1</v>
      </c>
      <c r="F129" s="325">
        <f>=$C129</f>
        <v>1</v>
      </c>
      <c r="G129" s="325">
        <f>=$C129</f>
        <v>1</v>
      </c>
      <c r="H129" s="325">
        <f>=$C129</f>
        <v>1</v>
      </c>
      <c r="I129" s="325">
        <f>=$C129</f>
        <v>1</v>
      </c>
      <c r="J129" s="325">
        <f>=$C129</f>
        <v>1</v>
      </c>
      <c r="K129" s="325">
        <f>=$C129</f>
        <v>1</v>
      </c>
      <c r="L129" s="325">
        <f>=$C129</f>
        <v>1</v>
      </c>
      <c r="M129" s="325">
        <f>=$C129</f>
        <v>1</v>
      </c>
      <c r="N129" s="325">
        <f>=$C129</f>
        <v>1</v>
      </c>
      <c r="O129" s="325">
        <f>=$C129</f>
        <v>1</v>
      </c>
      <c r="P129" s="325">
        <f>=$C129</f>
        <v>1</v>
      </c>
      <c r="Q129" s="325">
        <f>=$C129</f>
        <v>1</v>
      </c>
      <c r="R129" s="325">
        <f>=$C129</f>
        <v>1</v>
      </c>
      <c r="S129" s="325">
        <f>=$C129</f>
        <v>1</v>
      </c>
      <c r="T129" s="325">
        <f>=$C129</f>
        <v>1</v>
      </c>
      <c r="U129" s="325">
        <f>=$C129</f>
        <v>1</v>
      </c>
      <c r="V129" s="325">
        <f>=$C129</f>
        <v>1</v>
      </c>
      <c r="W129" s="325">
        <f>=$C129</f>
        <v>1</v>
      </c>
      <c r="X129" s="325">
        <f>=$C129</f>
        <v>1</v>
      </c>
      <c r="Y129" s="325">
        <f>=$C129</f>
        <v>1</v>
      </c>
      <c r="Z129" s="325">
        <f>=$C129</f>
        <v>1</v>
      </c>
    </row>
    <row r="130" spans="1:26" ht="12" customHeight="true">
      <c r="A130" s="314" t="s"/>
      <c r="B130" s="326" t="s">
        <v>676</v>
      </c>
      <c r="C130" s="327" t="s"/>
      <c r="D130" s="310" t="s"/>
      <c r="E130" s="328">
        <f>=E128*E129</f>
        <v>0</v>
      </c>
      <c r="F130" s="328">
        <f>=F128*F129</f>
        <v>0</v>
      </c>
      <c r="G130" s="328">
        <f>=G128*G129</f>
        <v>0</v>
      </c>
      <c r="H130" s="328">
        <f>=H128*H129</f>
        <v>0</v>
      </c>
      <c r="I130" s="328">
        <f>=I128*I129</f>
        <v>0</v>
      </c>
      <c r="J130" s="328">
        <f>=J128*J129</f>
        <v>0</v>
      </c>
      <c r="K130" s="328">
        <f>=K128*K129</f>
        <v>0</v>
      </c>
      <c r="L130" s="328">
        <f>=L128*L129</f>
        <v>0</v>
      </c>
      <c r="M130" s="328">
        <f>=M128*M129</f>
        <v>0</v>
      </c>
      <c r="N130" s="328">
        <f>=N128*N129</f>
        <v>0</v>
      </c>
      <c r="O130" s="328">
        <f>=O128*O129</f>
        <v>0</v>
      </c>
      <c r="P130" s="328">
        <f>=P128*P129</f>
        <v>0</v>
      </c>
      <c r="Q130" s="328">
        <f>=Q128*Q129</f>
        <v>0</v>
      </c>
      <c r="R130" s="328">
        <f>=R128*R129</f>
        <v>0</v>
      </c>
      <c r="S130" s="328">
        <f>=S128*S129</f>
        <v>0</v>
      </c>
      <c r="T130" s="328">
        <f>=T128*T129</f>
        <v>0</v>
      </c>
      <c r="U130" s="328">
        <f>=U128*U129</f>
        <v>0</v>
      </c>
      <c r="V130" s="328">
        <f>=V128*V129</f>
        <v>0</v>
      </c>
      <c r="W130" s="328">
        <f>=W128*W129</f>
        <v>0</v>
      </c>
      <c r="X130" s="328">
        <f>=X128*X129</f>
        <v>0</v>
      </c>
      <c r="Y130" s="328">
        <f>=Y128*Y129</f>
        <v>0</v>
      </c>
      <c r="Z130" s="328">
        <f>=Z128*Z129</f>
        <v>0</v>
      </c>
    </row>
    <row r="131" spans="1:26" ht="12" customHeight="true">
      <c r="A131" s="314" t="s"/>
      <c r="B131" s="333" t="s">
        <v>677</v>
      </c>
      <c r="C131" s="330" t="s"/>
      <c r="D131" s="306">
        <f>=SUM(E131:Z131)</f>
        <v>0</v>
      </c>
      <c r="E131" s="321" t="s"/>
      <c r="F131" s="321">
        <f>=E131</f>
        <v>0</v>
      </c>
      <c r="G131" s="331" t="s"/>
      <c r="H131" s="331" t="s"/>
      <c r="I131" s="331" t="s"/>
      <c r="J131" s="331" t="s"/>
      <c r="K131" s="331" t="s"/>
      <c r="L131" s="331" t="s"/>
      <c r="M131" s="331" t="s"/>
      <c r="N131" s="331" t="s"/>
      <c r="O131" s="331" t="s"/>
      <c r="P131" s="331" t="s"/>
      <c r="Q131" s="331" t="s"/>
      <c r="R131" s="331" t="s"/>
      <c r="S131" s="331" t="s"/>
      <c r="T131" s="331">
        <f>=S131</f>
        <v>0</v>
      </c>
      <c r="U131" s="331">
        <f>=T131</f>
        <v>0</v>
      </c>
      <c r="V131" s="331">
        <f>=U131</f>
        <v>0</v>
      </c>
      <c r="W131" s="331">
        <f>=V131</f>
        <v>0</v>
      </c>
      <c r="X131" s="331">
        <f>=W131</f>
        <v>0</v>
      </c>
      <c r="Y131" s="331">
        <f>=X131</f>
        <v>0</v>
      </c>
      <c r="Z131" s="331">
        <f>=Y131</f>
        <v>0</v>
      </c>
    </row>
    <row r="132" spans="1:26" ht="12" customHeight="true">
      <c r="A132" s="314" t="s"/>
      <c r="B132" s="333" t="s">
        <v>680</v>
      </c>
      <c r="C132" s="333" t="s"/>
      <c r="D132" s="306">
        <f>=SUM(E132:Z132)</f>
        <v>0</v>
      </c>
      <c r="E132" s="306">
        <f>=E130*E131</f>
        <v>0</v>
      </c>
      <c r="F132" s="306">
        <f>=F130*F131</f>
        <v>0</v>
      </c>
      <c r="G132" s="306">
        <f>=G130*G131</f>
        <v>0</v>
      </c>
      <c r="H132" s="306">
        <f>=H130*H131</f>
        <v>0</v>
      </c>
      <c r="I132" s="306">
        <f>=I130*I131</f>
        <v>0</v>
      </c>
      <c r="J132" s="306">
        <f>=J130*J131</f>
        <v>0</v>
      </c>
      <c r="K132" s="306">
        <f>=K130*K131</f>
        <v>0</v>
      </c>
      <c r="L132" s="306">
        <f>=L130*L131</f>
        <v>0</v>
      </c>
      <c r="M132" s="306">
        <f>=M130*M131</f>
        <v>0</v>
      </c>
      <c r="N132" s="306">
        <f>=N130*N131</f>
        <v>0</v>
      </c>
      <c r="O132" s="306">
        <f>=O130*O131</f>
        <v>0</v>
      </c>
      <c r="P132" s="306">
        <f>=P130*P131</f>
        <v>0</v>
      </c>
      <c r="Q132" s="306">
        <f>=Q130*Q131</f>
        <v>0</v>
      </c>
      <c r="R132" s="306">
        <f>=R130*R131</f>
        <v>0</v>
      </c>
      <c r="S132" s="306">
        <f>=S130*S131</f>
        <v>0</v>
      </c>
      <c r="T132" s="306">
        <f>=T130*T131</f>
        <v>0</v>
      </c>
      <c r="U132" s="306">
        <f>=U130*U131</f>
        <v>0</v>
      </c>
      <c r="V132" s="306">
        <f>=V130*V131</f>
        <v>0</v>
      </c>
      <c r="W132" s="306">
        <f>=W130*W131</f>
        <v>0</v>
      </c>
      <c r="X132" s="306">
        <f>=X130*X131</f>
        <v>0</v>
      </c>
      <c r="Y132" s="306">
        <f>=Y130*Y131</f>
        <v>0</v>
      </c>
      <c r="Z132" s="306">
        <f>=Z130*Z131</f>
        <v>0</v>
      </c>
    </row>
    <row r="133" spans="1:26" ht="12" customHeight="true">
      <c r="A133" s="314" t="s"/>
      <c r="B133" s="334" t="s">
        <v>682</v>
      </c>
      <c r="C133" s="335" t="s"/>
      <c r="D133" s="310" t="s"/>
      <c r="E133" s="336">
        <f>=$C133</f>
        <v>0</v>
      </c>
      <c r="F133" s="336">
        <f>=$C133</f>
        <v>0</v>
      </c>
      <c r="G133" s="336">
        <f>=$C133</f>
        <v>0</v>
      </c>
      <c r="H133" s="336">
        <f>=$C133</f>
        <v>0</v>
      </c>
      <c r="I133" s="336">
        <f>=$C133</f>
        <v>0</v>
      </c>
      <c r="J133" s="336">
        <f>=$C133</f>
        <v>0</v>
      </c>
      <c r="K133" s="336">
        <f>=$C133</f>
        <v>0</v>
      </c>
      <c r="L133" s="336">
        <f>=$C133</f>
        <v>0</v>
      </c>
      <c r="M133" s="336">
        <f>=$C133</f>
        <v>0</v>
      </c>
      <c r="N133" s="336">
        <f>=$C133</f>
        <v>0</v>
      </c>
      <c r="O133" s="336">
        <f>=$C133</f>
        <v>0</v>
      </c>
      <c r="P133" s="336">
        <f>=$C133</f>
        <v>0</v>
      </c>
      <c r="Q133" s="336">
        <f>=$C133</f>
        <v>0</v>
      </c>
      <c r="R133" s="336">
        <f>=$C133</f>
        <v>0</v>
      </c>
      <c r="S133" s="336">
        <f>=$C133</f>
        <v>0</v>
      </c>
      <c r="T133" s="336">
        <f>=$C133</f>
        <v>0</v>
      </c>
      <c r="U133" s="336">
        <f>=$C133</f>
        <v>0</v>
      </c>
      <c r="V133" s="336">
        <f>=$C133</f>
        <v>0</v>
      </c>
      <c r="W133" s="336">
        <f>=$C133</f>
        <v>0</v>
      </c>
      <c r="X133" s="336">
        <f>=$C133</f>
        <v>0</v>
      </c>
      <c r="Y133" s="336">
        <f>=$C133</f>
        <v>0</v>
      </c>
      <c r="Z133" s="336">
        <f>=$C133</f>
        <v>0</v>
      </c>
    </row>
    <row r="134" spans="1:26" ht="12" customHeight="true">
      <c r="A134" s="314" t="s"/>
      <c r="B134" s="334" t="s">
        <v>654</v>
      </c>
      <c r="C134" s="310" t="s"/>
      <c r="D134" s="306">
        <f>=SUM(E134:Z134)</f>
        <v>0</v>
      </c>
      <c r="E134" s="306">
        <f>=E132*E133/(1+E133)</f>
        <v>0</v>
      </c>
      <c r="F134" s="306">
        <f>=F132*F133/(1+F133)</f>
        <v>0</v>
      </c>
      <c r="G134" s="306">
        <f>=G132*G133/(1+G133)</f>
        <v>0</v>
      </c>
      <c r="H134" s="306">
        <f>=H132*H133/(1+H133)</f>
        <v>0</v>
      </c>
      <c r="I134" s="306">
        <f>=I132*I133/(1+I133)</f>
        <v>0</v>
      </c>
      <c r="J134" s="306">
        <f>=J132*J133/(1+J133)</f>
        <v>0</v>
      </c>
      <c r="K134" s="306">
        <f>=K132*K133/(1+K133)</f>
        <v>0</v>
      </c>
      <c r="L134" s="306">
        <f>=L132*L133/(1+L133)</f>
        <v>0</v>
      </c>
      <c r="M134" s="306">
        <f>=M132*M133/(1+M133)</f>
        <v>0</v>
      </c>
      <c r="N134" s="306">
        <f>=N132*N133/(1+N133)</f>
        <v>0</v>
      </c>
      <c r="O134" s="306">
        <f>=O132*O133/(1+O133)</f>
        <v>0</v>
      </c>
      <c r="P134" s="306">
        <f>=P132*P133/(1+P133)</f>
        <v>0</v>
      </c>
      <c r="Q134" s="306">
        <f>=Q132*Q133/(1+Q133)</f>
        <v>0</v>
      </c>
      <c r="R134" s="306">
        <f>=R132*R133/(1+R133)</f>
        <v>0</v>
      </c>
      <c r="S134" s="306">
        <f>=S132*S133/(1+S133)</f>
        <v>0</v>
      </c>
      <c r="T134" s="306">
        <f>=T132*T133/(1+T133)</f>
        <v>0</v>
      </c>
      <c r="U134" s="306">
        <f>=U132*U133/(1+U133)</f>
        <v>0</v>
      </c>
      <c r="V134" s="306">
        <f>=V132*V133/(1+V133)</f>
        <v>0</v>
      </c>
      <c r="W134" s="306">
        <f>=W132*W133/(1+W133)</f>
        <v>0</v>
      </c>
      <c r="X134" s="306">
        <f>=X132*X133/(1+X133)</f>
        <v>0</v>
      </c>
      <c r="Y134" s="306">
        <f>=Y132*Y133/(1+Y133)</f>
        <v>0</v>
      </c>
      <c r="Z134" s="306">
        <f>=Z132*Z133/(1+Z133)</f>
        <v>0</v>
      </c>
    </row>
    <row r="135" spans="1:26" ht="12" customHeight="true">
      <c r="A135" s="314" t="s"/>
      <c r="B135" s="334" t="s">
        <v>683</v>
      </c>
      <c r="C135" s="310" t="s"/>
      <c r="D135" s="310" t="s"/>
      <c r="E135" s="336">
        <f>=$C135</f>
        <v>0</v>
      </c>
      <c r="F135" s="336">
        <f>=$C135</f>
        <v>0</v>
      </c>
      <c r="G135" s="336">
        <f>=$C135</f>
        <v>0</v>
      </c>
      <c r="H135" s="336">
        <f>=$C135</f>
        <v>0</v>
      </c>
      <c r="I135" s="336">
        <f>=$C135</f>
        <v>0</v>
      </c>
      <c r="J135" s="336">
        <f>=$C135</f>
        <v>0</v>
      </c>
      <c r="K135" s="336">
        <f>=$C135</f>
        <v>0</v>
      </c>
      <c r="L135" s="336">
        <f>=$C135</f>
        <v>0</v>
      </c>
      <c r="M135" s="336">
        <f>=$C135</f>
        <v>0</v>
      </c>
      <c r="N135" s="336">
        <f>=$C135</f>
        <v>0</v>
      </c>
      <c r="O135" s="336">
        <f>=$C135</f>
        <v>0</v>
      </c>
      <c r="P135" s="336">
        <f>=$C135</f>
        <v>0</v>
      </c>
      <c r="Q135" s="336">
        <f>=$C135</f>
        <v>0</v>
      </c>
      <c r="R135" s="336">
        <f>=$C135</f>
        <v>0</v>
      </c>
      <c r="S135" s="336">
        <f>=$C135</f>
        <v>0</v>
      </c>
      <c r="T135" s="336">
        <f>=$C135</f>
        <v>0</v>
      </c>
      <c r="U135" s="336">
        <f>=$C135</f>
        <v>0</v>
      </c>
      <c r="V135" s="336">
        <f>=$C135</f>
        <v>0</v>
      </c>
      <c r="W135" s="336">
        <f>=$C135</f>
        <v>0</v>
      </c>
      <c r="X135" s="336">
        <f>=$C135</f>
        <v>0</v>
      </c>
      <c r="Y135" s="336">
        <f>=$C135</f>
        <v>0</v>
      </c>
      <c r="Z135" s="336">
        <f>=$C135</f>
        <v>0</v>
      </c>
    </row>
    <row r="136" spans="1:26" ht="12" customHeight="true">
      <c r="A136" s="314" t="s"/>
      <c r="B136" s="334" t="s">
        <v>684</v>
      </c>
      <c r="C136" s="337" t="s"/>
      <c r="D136" s="306">
        <f>=SUM(E136:Z136)</f>
        <v>0</v>
      </c>
      <c r="E136" s="306">
        <f>=E132*E135</f>
        <v>0</v>
      </c>
      <c r="F136" s="306">
        <f>=F132*F135</f>
        <v>0</v>
      </c>
      <c r="G136" s="306">
        <f>=G132*G135</f>
        <v>0</v>
      </c>
      <c r="H136" s="306">
        <f>=H132*H135</f>
        <v>0</v>
      </c>
      <c r="I136" s="306">
        <f>=I132*I135</f>
        <v>0</v>
      </c>
      <c r="J136" s="306">
        <f>=J132*J135</f>
        <v>0</v>
      </c>
      <c r="K136" s="306">
        <f>=K132*K135</f>
        <v>0</v>
      </c>
      <c r="L136" s="306">
        <f>=L132*L135</f>
        <v>0</v>
      </c>
      <c r="M136" s="306">
        <f>=M132*M135</f>
        <v>0</v>
      </c>
      <c r="N136" s="306">
        <f>=N132*N135</f>
        <v>0</v>
      </c>
      <c r="O136" s="306">
        <f>=O132*O135</f>
        <v>0</v>
      </c>
      <c r="P136" s="306">
        <f>=P132*P135</f>
        <v>0</v>
      </c>
      <c r="Q136" s="306">
        <f>=Q132*Q135</f>
        <v>0</v>
      </c>
      <c r="R136" s="306">
        <f>=R132*R135</f>
        <v>0</v>
      </c>
      <c r="S136" s="306">
        <f>=S132*S135</f>
        <v>0</v>
      </c>
      <c r="T136" s="306">
        <f>=T132*T135</f>
        <v>0</v>
      </c>
      <c r="U136" s="306">
        <f>=U132*U135</f>
        <v>0</v>
      </c>
      <c r="V136" s="306">
        <f>=V132*V135</f>
        <v>0</v>
      </c>
      <c r="W136" s="306">
        <f>=W132*W135</f>
        <v>0</v>
      </c>
      <c r="X136" s="306">
        <f>=X132*X135</f>
        <v>0</v>
      </c>
      <c r="Y136" s="306">
        <f>=Y132*Y135</f>
        <v>0</v>
      </c>
      <c r="Z136" s="306">
        <f>=Z132*Z135</f>
        <v>0</v>
      </c>
    </row>
    <row r="137" spans="1:26" ht="12" customHeight="true">
      <c r="A137" s="314">
        <v>12</v>
      </c>
      <c r="B137" s="342" t="s"/>
      <c r="C137" s="342" t="s"/>
      <c r="D137" s="316" t="s">
        <v>672</v>
      </c>
      <c r="E137" s="300" t="s"/>
      <c r="F137" s="300" t="s"/>
      <c r="G137" s="300" t="s"/>
      <c r="H137" s="300" t="s"/>
      <c r="I137" s="300" t="s"/>
      <c r="J137" s="300" t="s"/>
      <c r="K137" s="300" t="s"/>
      <c r="L137" s="300" t="s"/>
      <c r="M137" s="300" t="s"/>
      <c r="N137" s="300" t="s"/>
      <c r="O137" s="300" t="s"/>
      <c r="P137" s="300" t="s"/>
      <c r="Q137" s="300" t="s"/>
      <c r="R137" s="300" t="s"/>
      <c r="S137" s="300" t="s"/>
      <c r="T137" s="300" t="s"/>
      <c r="U137" s="300" t="s"/>
      <c r="V137" s="300" t="s"/>
      <c r="W137" s="300" t="s"/>
      <c r="X137" s="300" t="s"/>
      <c r="Y137" s="300" t="s"/>
      <c r="Z137" s="300" t="s"/>
    </row>
    <row r="138" spans="1:26" ht="12" customHeight="true">
      <c r="A138" s="314" t="s"/>
      <c r="B138" s="318" t="s">
        <v>688</v>
      </c>
      <c r="C138" s="319" t="s"/>
      <c r="D138" s="320" t="s">
        <v>674</v>
      </c>
      <c r="E138" s="321" t="s"/>
      <c r="F138" s="321">
        <f>=E138</f>
        <v>0</v>
      </c>
      <c r="G138" s="331" t="s"/>
      <c r="H138" s="321">
        <f>=G138</f>
        <v>0</v>
      </c>
      <c r="I138" s="321">
        <f>=H138</f>
        <v>0</v>
      </c>
      <c r="J138" s="321">
        <f>=I138</f>
        <v>0</v>
      </c>
      <c r="K138" s="321">
        <f>=J138</f>
        <v>0</v>
      </c>
      <c r="L138" s="321">
        <f>=K138</f>
        <v>0</v>
      </c>
      <c r="M138" s="321">
        <f>=L138</f>
        <v>0</v>
      </c>
      <c r="N138" s="321">
        <f>=M138</f>
        <v>0</v>
      </c>
      <c r="O138" s="321">
        <f>=N138</f>
        <v>0</v>
      </c>
      <c r="P138" s="321">
        <f>=O138</f>
        <v>0</v>
      </c>
      <c r="Q138" s="321">
        <f>=P138</f>
        <v>0</v>
      </c>
      <c r="R138" s="321">
        <f>=Q138</f>
        <v>0</v>
      </c>
      <c r="S138" s="321">
        <f>=R138</f>
        <v>0</v>
      </c>
      <c r="T138" s="321">
        <f>=S138</f>
        <v>0</v>
      </c>
      <c r="U138" s="321">
        <f>=T138</f>
        <v>0</v>
      </c>
      <c r="V138" s="321">
        <f>=U138</f>
        <v>0</v>
      </c>
      <c r="W138" s="321">
        <f>=V138</f>
        <v>0</v>
      </c>
      <c r="X138" s="321">
        <f>=W138</f>
        <v>0</v>
      </c>
      <c r="Y138" s="321">
        <f>=X138</f>
        <v>0</v>
      </c>
      <c r="Z138" s="321">
        <f>=Y138</f>
        <v>0</v>
      </c>
    </row>
    <row r="139" spans="1:26" ht="12" customHeight="true">
      <c r="A139" s="314" t="s"/>
      <c r="B139" s="323" t="s">
        <v>534</v>
      </c>
      <c r="C139" s="324">
        <f>=IF($D138="美元",辅助表1评估项目基础数据表!$C$17,IF($D138="其他外币",辅助表1评估项目基础数据表!$C$18,1))</f>
        <v>1</v>
      </c>
      <c r="D139" s="300" t="s"/>
      <c r="E139" s="325">
        <f>=$C139</f>
        <v>1</v>
      </c>
      <c r="F139" s="325">
        <f>=$C139</f>
        <v>1</v>
      </c>
      <c r="G139" s="325">
        <f>=$C139</f>
        <v>1</v>
      </c>
      <c r="H139" s="325">
        <f>=$C139</f>
        <v>1</v>
      </c>
      <c r="I139" s="325">
        <f>=$C139</f>
        <v>1</v>
      </c>
      <c r="J139" s="325">
        <f>=$C139</f>
        <v>1</v>
      </c>
      <c r="K139" s="325">
        <f>=$C139</f>
        <v>1</v>
      </c>
      <c r="L139" s="325">
        <f>=$C139</f>
        <v>1</v>
      </c>
      <c r="M139" s="325">
        <f>=$C139</f>
        <v>1</v>
      </c>
      <c r="N139" s="325">
        <f>=$C139</f>
        <v>1</v>
      </c>
      <c r="O139" s="325">
        <f>=$C139</f>
        <v>1</v>
      </c>
      <c r="P139" s="325">
        <f>=$C139</f>
        <v>1</v>
      </c>
      <c r="Q139" s="325">
        <f>=$C139</f>
        <v>1</v>
      </c>
      <c r="R139" s="325">
        <f>=$C139</f>
        <v>1</v>
      </c>
      <c r="S139" s="325">
        <f>=$C139</f>
        <v>1</v>
      </c>
      <c r="T139" s="325">
        <f>=$C139</f>
        <v>1</v>
      </c>
      <c r="U139" s="325">
        <f>=$C139</f>
        <v>1</v>
      </c>
      <c r="V139" s="325">
        <f>=$C139</f>
        <v>1</v>
      </c>
      <c r="W139" s="325">
        <f>=$C139</f>
        <v>1</v>
      </c>
      <c r="X139" s="325">
        <f>=$C139</f>
        <v>1</v>
      </c>
      <c r="Y139" s="325">
        <f>=$C139</f>
        <v>1</v>
      </c>
      <c r="Z139" s="325">
        <f>=$C139</f>
        <v>1</v>
      </c>
    </row>
    <row r="140" spans="1:26" ht="12" customHeight="true">
      <c r="A140" s="314" t="s"/>
      <c r="B140" s="326" t="s">
        <v>676</v>
      </c>
      <c r="C140" s="327" t="s"/>
      <c r="D140" s="310" t="s"/>
      <c r="E140" s="328">
        <f>=E138*E139</f>
        <v>0</v>
      </c>
      <c r="F140" s="328">
        <f>=F138*F139</f>
        <v>0</v>
      </c>
      <c r="G140" s="328">
        <f>=G138*G139</f>
        <v>0</v>
      </c>
      <c r="H140" s="328">
        <f>=H138*H139</f>
        <v>0</v>
      </c>
      <c r="I140" s="328">
        <f>=I138*I139</f>
        <v>0</v>
      </c>
      <c r="J140" s="328">
        <f>=J138*J139</f>
        <v>0</v>
      </c>
      <c r="K140" s="328">
        <f>=K138*K139</f>
        <v>0</v>
      </c>
      <c r="L140" s="328">
        <f>=L138*L139</f>
        <v>0</v>
      </c>
      <c r="M140" s="328">
        <f>=M138*M139</f>
        <v>0</v>
      </c>
      <c r="N140" s="328">
        <f>=N138*N139</f>
        <v>0</v>
      </c>
      <c r="O140" s="328">
        <f>=O138*O139</f>
        <v>0</v>
      </c>
      <c r="P140" s="328">
        <f>=P138*P139</f>
        <v>0</v>
      </c>
      <c r="Q140" s="328">
        <f>=Q138*Q139</f>
        <v>0</v>
      </c>
      <c r="R140" s="328">
        <f>=R138*R139</f>
        <v>0</v>
      </c>
      <c r="S140" s="328">
        <f>=S138*S139</f>
        <v>0</v>
      </c>
      <c r="T140" s="328">
        <f>=T138*T139</f>
        <v>0</v>
      </c>
      <c r="U140" s="328">
        <f>=U138*U139</f>
        <v>0</v>
      </c>
      <c r="V140" s="328">
        <f>=V138*V139</f>
        <v>0</v>
      </c>
      <c r="W140" s="328">
        <f>=W138*W139</f>
        <v>0</v>
      </c>
      <c r="X140" s="328">
        <f>=X138*X139</f>
        <v>0</v>
      </c>
      <c r="Y140" s="328">
        <f>=Y138*Y139</f>
        <v>0</v>
      </c>
      <c r="Z140" s="328">
        <f>=Z138*Z139</f>
        <v>0</v>
      </c>
    </row>
    <row r="141" spans="1:26" ht="12" customHeight="true">
      <c r="A141" s="314" t="s"/>
      <c r="B141" s="333" t="s">
        <v>677</v>
      </c>
      <c r="C141" s="330" t="s"/>
      <c r="D141" s="306">
        <f>=SUM(E141:Z141)</f>
        <v>0</v>
      </c>
      <c r="E141" s="321" t="s"/>
      <c r="F141" s="321">
        <f>=E141</f>
        <v>0</v>
      </c>
      <c r="G141" s="331" t="s"/>
      <c r="H141" s="331" t="s"/>
      <c r="I141" s="331" t="s"/>
      <c r="J141" s="331" t="s"/>
      <c r="K141" s="331" t="s"/>
      <c r="L141" s="331" t="s"/>
      <c r="M141" s="331" t="s"/>
      <c r="N141" s="331" t="s"/>
      <c r="O141" s="331" t="s"/>
      <c r="P141" s="331" t="s"/>
      <c r="Q141" s="331" t="s"/>
      <c r="R141" s="331" t="s"/>
      <c r="S141" s="331" t="s"/>
      <c r="T141" s="331">
        <f>=S141</f>
        <v>0</v>
      </c>
      <c r="U141" s="331">
        <f>=T141</f>
        <v>0</v>
      </c>
      <c r="V141" s="331">
        <f>=U141</f>
        <v>0</v>
      </c>
      <c r="W141" s="331">
        <f>=V141</f>
        <v>0</v>
      </c>
      <c r="X141" s="331">
        <f>=W141</f>
        <v>0</v>
      </c>
      <c r="Y141" s="331">
        <f>=X141</f>
        <v>0</v>
      </c>
      <c r="Z141" s="331">
        <f>=Y141</f>
        <v>0</v>
      </c>
    </row>
    <row r="142" spans="1:26" ht="12" customHeight="true">
      <c r="A142" s="314" t="s"/>
      <c r="B142" s="333" t="s">
        <v>680</v>
      </c>
      <c r="C142" s="333" t="s"/>
      <c r="D142" s="306">
        <f>=SUM(E142:Z142)</f>
        <v>0</v>
      </c>
      <c r="E142" s="306">
        <f>=E140*E141</f>
        <v>0</v>
      </c>
      <c r="F142" s="306">
        <f>=F140*F141</f>
        <v>0</v>
      </c>
      <c r="G142" s="306">
        <f>=G140*G141</f>
        <v>0</v>
      </c>
      <c r="H142" s="306">
        <f>=H140*H141</f>
        <v>0</v>
      </c>
      <c r="I142" s="306">
        <f>=I140*I141</f>
        <v>0</v>
      </c>
      <c r="J142" s="306">
        <f>=J140*J141</f>
        <v>0</v>
      </c>
      <c r="K142" s="306">
        <f>=K140*K141</f>
        <v>0</v>
      </c>
      <c r="L142" s="306">
        <f>=L140*L141</f>
        <v>0</v>
      </c>
      <c r="M142" s="306">
        <f>=M140*M141</f>
        <v>0</v>
      </c>
      <c r="N142" s="306">
        <f>=N140*N141</f>
        <v>0</v>
      </c>
      <c r="O142" s="306">
        <f>=O140*O141</f>
        <v>0</v>
      </c>
      <c r="P142" s="306">
        <f>=P140*P141</f>
        <v>0</v>
      </c>
      <c r="Q142" s="306">
        <f>=Q140*Q141</f>
        <v>0</v>
      </c>
      <c r="R142" s="306">
        <f>=R140*R141</f>
        <v>0</v>
      </c>
      <c r="S142" s="306">
        <f>=S140*S141</f>
        <v>0</v>
      </c>
      <c r="T142" s="306">
        <f>=T140*T141</f>
        <v>0</v>
      </c>
      <c r="U142" s="306">
        <f>=U140*U141</f>
        <v>0</v>
      </c>
      <c r="V142" s="306">
        <f>=V140*V141</f>
        <v>0</v>
      </c>
      <c r="W142" s="306">
        <f>=W140*W141</f>
        <v>0</v>
      </c>
      <c r="X142" s="306">
        <f>=X140*X141</f>
        <v>0</v>
      </c>
      <c r="Y142" s="306">
        <f>=Y140*Y141</f>
        <v>0</v>
      </c>
      <c r="Z142" s="306">
        <f>=Z140*Z141</f>
        <v>0</v>
      </c>
    </row>
    <row r="143" spans="1:26" ht="12" customHeight="true">
      <c r="A143" s="314" t="s"/>
      <c r="B143" s="334" t="s">
        <v>682</v>
      </c>
      <c r="C143" s="335" t="s"/>
      <c r="D143" s="310" t="s"/>
      <c r="E143" s="336">
        <f>=$C143</f>
        <v>0</v>
      </c>
      <c r="F143" s="336">
        <f>=$C143</f>
        <v>0</v>
      </c>
      <c r="G143" s="336">
        <f>=$C143</f>
        <v>0</v>
      </c>
      <c r="H143" s="336">
        <f>=$C143</f>
        <v>0</v>
      </c>
      <c r="I143" s="336">
        <f>=$C143</f>
        <v>0</v>
      </c>
      <c r="J143" s="336">
        <f>=$C143</f>
        <v>0</v>
      </c>
      <c r="K143" s="336">
        <f>=$C143</f>
        <v>0</v>
      </c>
      <c r="L143" s="336">
        <f>=$C143</f>
        <v>0</v>
      </c>
      <c r="M143" s="336">
        <f>=$C143</f>
        <v>0</v>
      </c>
      <c r="N143" s="336">
        <f>=$C143</f>
        <v>0</v>
      </c>
      <c r="O143" s="336">
        <f>=$C143</f>
        <v>0</v>
      </c>
      <c r="P143" s="336">
        <f>=$C143</f>
        <v>0</v>
      </c>
      <c r="Q143" s="336">
        <f>=$C143</f>
        <v>0</v>
      </c>
      <c r="R143" s="336">
        <f>=$C143</f>
        <v>0</v>
      </c>
      <c r="S143" s="336">
        <f>=$C143</f>
        <v>0</v>
      </c>
      <c r="T143" s="336">
        <f>=$C143</f>
        <v>0</v>
      </c>
      <c r="U143" s="336">
        <f>=$C143</f>
        <v>0</v>
      </c>
      <c r="V143" s="336">
        <f>=$C143</f>
        <v>0</v>
      </c>
      <c r="W143" s="336">
        <f>=$C143</f>
        <v>0</v>
      </c>
      <c r="X143" s="336">
        <f>=$C143</f>
        <v>0</v>
      </c>
      <c r="Y143" s="336">
        <f>=$C143</f>
        <v>0</v>
      </c>
      <c r="Z143" s="336">
        <f>=$C143</f>
        <v>0</v>
      </c>
    </row>
    <row r="144" spans="1:26" ht="12" customHeight="true">
      <c r="A144" s="314" t="s"/>
      <c r="B144" s="334" t="s">
        <v>654</v>
      </c>
      <c r="C144" s="310" t="s"/>
      <c r="D144" s="306">
        <f>=SUM(E144:Z144)</f>
        <v>0</v>
      </c>
      <c r="E144" s="306">
        <f>=E142*E143/(1+E143)</f>
        <v>0</v>
      </c>
      <c r="F144" s="306">
        <f>=F142*F143/(1+F143)</f>
        <v>0</v>
      </c>
      <c r="G144" s="306">
        <f>=G142*G143/(1+G143)</f>
        <v>0</v>
      </c>
      <c r="H144" s="306">
        <f>=H142*H143/(1+H143)</f>
        <v>0</v>
      </c>
      <c r="I144" s="306">
        <f>=I142*I143/(1+I143)</f>
        <v>0</v>
      </c>
      <c r="J144" s="306">
        <f>=J142*J143/(1+J143)</f>
        <v>0</v>
      </c>
      <c r="K144" s="306">
        <f>=K142*K143/(1+K143)</f>
        <v>0</v>
      </c>
      <c r="L144" s="306">
        <f>=L142*L143/(1+L143)</f>
        <v>0</v>
      </c>
      <c r="M144" s="306">
        <f>=M142*M143/(1+M143)</f>
        <v>0</v>
      </c>
      <c r="N144" s="306">
        <f>=N142*N143/(1+N143)</f>
        <v>0</v>
      </c>
      <c r="O144" s="306">
        <f>=O142*O143/(1+O143)</f>
        <v>0</v>
      </c>
      <c r="P144" s="306">
        <f>=P142*P143/(1+P143)</f>
        <v>0</v>
      </c>
      <c r="Q144" s="306">
        <f>=Q142*Q143/(1+Q143)</f>
        <v>0</v>
      </c>
      <c r="R144" s="306">
        <f>=R142*R143/(1+R143)</f>
        <v>0</v>
      </c>
      <c r="S144" s="306">
        <f>=S142*S143/(1+S143)</f>
        <v>0</v>
      </c>
      <c r="T144" s="306">
        <f>=T142*T143/(1+T143)</f>
        <v>0</v>
      </c>
      <c r="U144" s="306">
        <f>=U142*U143/(1+U143)</f>
        <v>0</v>
      </c>
      <c r="V144" s="306">
        <f>=V142*V143/(1+V143)</f>
        <v>0</v>
      </c>
      <c r="W144" s="306">
        <f>=W142*W143/(1+W143)</f>
        <v>0</v>
      </c>
      <c r="X144" s="306">
        <f>=X142*X143/(1+X143)</f>
        <v>0</v>
      </c>
      <c r="Y144" s="306">
        <f>=Y142*Y143/(1+Y143)</f>
        <v>0</v>
      </c>
      <c r="Z144" s="306">
        <f>=Z142*Z143/(1+Z143)</f>
        <v>0</v>
      </c>
    </row>
    <row r="145" spans="1:26" ht="12" customHeight="true">
      <c r="A145" s="314" t="s"/>
      <c r="B145" s="334" t="s">
        <v>683</v>
      </c>
      <c r="C145" s="310" t="s"/>
      <c r="D145" s="310" t="s"/>
      <c r="E145" s="336">
        <f>=$C145</f>
        <v>0</v>
      </c>
      <c r="F145" s="336">
        <f>=$C145</f>
        <v>0</v>
      </c>
      <c r="G145" s="336">
        <f>=$C145</f>
        <v>0</v>
      </c>
      <c r="H145" s="336">
        <f>=$C145</f>
        <v>0</v>
      </c>
      <c r="I145" s="336">
        <f>=$C145</f>
        <v>0</v>
      </c>
      <c r="J145" s="336">
        <f>=$C145</f>
        <v>0</v>
      </c>
      <c r="K145" s="336">
        <f>=$C145</f>
        <v>0</v>
      </c>
      <c r="L145" s="336">
        <f>=$C145</f>
        <v>0</v>
      </c>
      <c r="M145" s="336">
        <f>=$C145</f>
        <v>0</v>
      </c>
      <c r="N145" s="336">
        <f>=$C145</f>
        <v>0</v>
      </c>
      <c r="O145" s="336">
        <f>=$C145</f>
        <v>0</v>
      </c>
      <c r="P145" s="336">
        <f>=$C145</f>
        <v>0</v>
      </c>
      <c r="Q145" s="336">
        <f>=$C145</f>
        <v>0</v>
      </c>
      <c r="R145" s="336">
        <f>=$C145</f>
        <v>0</v>
      </c>
      <c r="S145" s="336">
        <f>=$C145</f>
        <v>0</v>
      </c>
      <c r="T145" s="336">
        <f>=$C145</f>
        <v>0</v>
      </c>
      <c r="U145" s="336">
        <f>=$C145</f>
        <v>0</v>
      </c>
      <c r="V145" s="336">
        <f>=$C145</f>
        <v>0</v>
      </c>
      <c r="W145" s="336">
        <f>=$C145</f>
        <v>0</v>
      </c>
      <c r="X145" s="336">
        <f>=$C145</f>
        <v>0</v>
      </c>
      <c r="Y145" s="336">
        <f>=$C145</f>
        <v>0</v>
      </c>
      <c r="Z145" s="336">
        <f>=$C145</f>
        <v>0</v>
      </c>
    </row>
    <row r="146" spans="1:26" ht="12" customHeight="true">
      <c r="A146" s="314" t="s"/>
      <c r="B146" s="334" t="s">
        <v>684</v>
      </c>
      <c r="C146" s="337" t="s"/>
      <c r="D146" s="306">
        <f>=SUM(E146:Z146)</f>
        <v>0</v>
      </c>
      <c r="E146" s="306">
        <f>=E142*E145</f>
        <v>0</v>
      </c>
      <c r="F146" s="306">
        <f>=F142*F145</f>
        <v>0</v>
      </c>
      <c r="G146" s="306">
        <f>=G142*G145</f>
        <v>0</v>
      </c>
      <c r="H146" s="306">
        <f>=H142*H145</f>
        <v>0</v>
      </c>
      <c r="I146" s="306">
        <f>=I142*I145</f>
        <v>0</v>
      </c>
      <c r="J146" s="306">
        <f>=J142*J145</f>
        <v>0</v>
      </c>
      <c r="K146" s="306">
        <f>=K142*K145</f>
        <v>0</v>
      </c>
      <c r="L146" s="306">
        <f>=L142*L145</f>
        <v>0</v>
      </c>
      <c r="M146" s="306">
        <f>=M142*M145</f>
        <v>0</v>
      </c>
      <c r="N146" s="306">
        <f>=N142*N145</f>
        <v>0</v>
      </c>
      <c r="O146" s="306">
        <f>=O142*O145</f>
        <v>0</v>
      </c>
      <c r="P146" s="306">
        <f>=P142*P145</f>
        <v>0</v>
      </c>
      <c r="Q146" s="306">
        <f>=Q142*Q145</f>
        <v>0</v>
      </c>
      <c r="R146" s="306">
        <f>=R142*R145</f>
        <v>0</v>
      </c>
      <c r="S146" s="306">
        <f>=S142*S145</f>
        <v>0</v>
      </c>
      <c r="T146" s="306">
        <f>=T142*T145</f>
        <v>0</v>
      </c>
      <c r="U146" s="306">
        <f>=U142*U145</f>
        <v>0</v>
      </c>
      <c r="V146" s="306">
        <f>=V142*V145</f>
        <v>0</v>
      </c>
      <c r="W146" s="306">
        <f>=W142*W145</f>
        <v>0</v>
      </c>
      <c r="X146" s="306">
        <f>=X142*X145</f>
        <v>0</v>
      </c>
      <c r="Y146" s="306">
        <f>=Y142*Y145</f>
        <v>0</v>
      </c>
      <c r="Z146" s="306">
        <f>=Z142*Z145</f>
        <v>0</v>
      </c>
    </row>
    <row r="147" spans="1:26" ht="12" customHeight="true">
      <c r="A147" s="314">
        <v>13</v>
      </c>
      <c r="B147" s="342" t="s"/>
      <c r="C147" s="342" t="s"/>
      <c r="D147" s="316" t="s">
        <v>672</v>
      </c>
      <c r="E147" s="300" t="s"/>
      <c r="F147" s="300" t="s"/>
      <c r="G147" s="300" t="s"/>
      <c r="H147" s="300" t="s"/>
      <c r="I147" s="300" t="s"/>
      <c r="J147" s="300" t="s"/>
      <c r="K147" s="300" t="s"/>
      <c r="L147" s="300" t="s"/>
      <c r="M147" s="300" t="s"/>
      <c r="N147" s="300" t="s"/>
      <c r="O147" s="300" t="s"/>
      <c r="P147" s="300" t="s"/>
      <c r="Q147" s="300" t="s"/>
      <c r="R147" s="300" t="s"/>
      <c r="S147" s="300" t="s"/>
      <c r="T147" s="300" t="s"/>
      <c r="U147" s="300" t="s"/>
      <c r="V147" s="300" t="s"/>
      <c r="W147" s="300" t="s"/>
      <c r="X147" s="300" t="s"/>
      <c r="Y147" s="300" t="s"/>
      <c r="Z147" s="300" t="s"/>
    </row>
    <row r="148" spans="1:26" ht="12" customHeight="true">
      <c r="A148" s="314" t="s"/>
      <c r="B148" s="318" t="s">
        <v>688</v>
      </c>
      <c r="C148" s="319" t="s"/>
      <c r="D148" s="320" t="s">
        <v>674</v>
      </c>
      <c r="E148" s="321" t="s"/>
      <c r="F148" s="321">
        <f>=E148</f>
        <v>0</v>
      </c>
      <c r="G148" s="331" t="s"/>
      <c r="H148" s="321">
        <f>=G148</f>
        <v>0</v>
      </c>
      <c r="I148" s="321">
        <f>=H148</f>
        <v>0</v>
      </c>
      <c r="J148" s="321">
        <f>=I148</f>
        <v>0</v>
      </c>
      <c r="K148" s="321">
        <f>=J148</f>
        <v>0</v>
      </c>
      <c r="L148" s="321">
        <f>=K148</f>
        <v>0</v>
      </c>
      <c r="M148" s="321">
        <f>=L148</f>
        <v>0</v>
      </c>
      <c r="N148" s="321">
        <f>=M148</f>
        <v>0</v>
      </c>
      <c r="O148" s="321">
        <f>=N148</f>
        <v>0</v>
      </c>
      <c r="P148" s="321">
        <f>=O148</f>
        <v>0</v>
      </c>
      <c r="Q148" s="321">
        <f>=P148</f>
        <v>0</v>
      </c>
      <c r="R148" s="321">
        <f>=Q148</f>
        <v>0</v>
      </c>
      <c r="S148" s="321">
        <f>=R148</f>
        <v>0</v>
      </c>
      <c r="T148" s="321">
        <f>=S148</f>
        <v>0</v>
      </c>
      <c r="U148" s="321">
        <f>=T148</f>
        <v>0</v>
      </c>
      <c r="V148" s="321">
        <f>=U148</f>
        <v>0</v>
      </c>
      <c r="W148" s="321">
        <f>=V148</f>
        <v>0</v>
      </c>
      <c r="X148" s="321">
        <f>=W148</f>
        <v>0</v>
      </c>
      <c r="Y148" s="321">
        <f>=X148</f>
        <v>0</v>
      </c>
      <c r="Z148" s="321">
        <f>=Y148</f>
        <v>0</v>
      </c>
    </row>
    <row r="149" spans="1:26" ht="12" customHeight="true">
      <c r="A149" s="314" t="s"/>
      <c r="B149" s="323" t="s">
        <v>534</v>
      </c>
      <c r="C149" s="324">
        <f>=IF($D148="美元",辅助表1评估项目基础数据表!$C$17,IF($D148="其他外币",辅助表1评估项目基础数据表!$C$18,1))</f>
        <v>1</v>
      </c>
      <c r="D149" s="300" t="s"/>
      <c r="E149" s="325">
        <f>=$C149</f>
        <v>1</v>
      </c>
      <c r="F149" s="325">
        <f>=$C149</f>
        <v>1</v>
      </c>
      <c r="G149" s="325">
        <f>=$C149</f>
        <v>1</v>
      </c>
      <c r="H149" s="325">
        <f>=$C149</f>
        <v>1</v>
      </c>
      <c r="I149" s="325">
        <f>=$C149</f>
        <v>1</v>
      </c>
      <c r="J149" s="325">
        <f>=$C149</f>
        <v>1</v>
      </c>
      <c r="K149" s="325">
        <f>=$C149</f>
        <v>1</v>
      </c>
      <c r="L149" s="325">
        <f>=$C149</f>
        <v>1</v>
      </c>
      <c r="M149" s="325">
        <f>=$C149</f>
        <v>1</v>
      </c>
      <c r="N149" s="325">
        <f>=$C149</f>
        <v>1</v>
      </c>
      <c r="O149" s="325">
        <f>=$C149</f>
        <v>1</v>
      </c>
      <c r="P149" s="325">
        <f>=$C149</f>
        <v>1</v>
      </c>
      <c r="Q149" s="325">
        <f>=$C149</f>
        <v>1</v>
      </c>
      <c r="R149" s="325">
        <f>=$C149</f>
        <v>1</v>
      </c>
      <c r="S149" s="325">
        <f>=$C149</f>
        <v>1</v>
      </c>
      <c r="T149" s="325">
        <f>=$C149</f>
        <v>1</v>
      </c>
      <c r="U149" s="325">
        <f>=$C149</f>
        <v>1</v>
      </c>
      <c r="V149" s="325">
        <f>=$C149</f>
        <v>1</v>
      </c>
      <c r="W149" s="325">
        <f>=$C149</f>
        <v>1</v>
      </c>
      <c r="X149" s="325">
        <f>=$C149</f>
        <v>1</v>
      </c>
      <c r="Y149" s="325">
        <f>=$C149</f>
        <v>1</v>
      </c>
      <c r="Z149" s="325">
        <f>=$C149</f>
        <v>1</v>
      </c>
    </row>
    <row r="150" spans="1:26" ht="12" customHeight="true">
      <c r="A150" s="314" t="s"/>
      <c r="B150" s="326" t="s">
        <v>676</v>
      </c>
      <c r="C150" s="327" t="s"/>
      <c r="D150" s="310" t="s"/>
      <c r="E150" s="328">
        <f>=E148*E149</f>
        <v>0</v>
      </c>
      <c r="F150" s="328">
        <f>=F148*F149</f>
        <v>0</v>
      </c>
      <c r="G150" s="328">
        <f>=G148*G149</f>
        <v>0</v>
      </c>
      <c r="H150" s="328">
        <f>=H148*H149</f>
        <v>0</v>
      </c>
      <c r="I150" s="328">
        <f>=I148*I149</f>
        <v>0</v>
      </c>
      <c r="J150" s="328">
        <f>=J148*J149</f>
        <v>0</v>
      </c>
      <c r="K150" s="328">
        <f>=K148*K149</f>
        <v>0</v>
      </c>
      <c r="L150" s="328">
        <f>=L148*L149</f>
        <v>0</v>
      </c>
      <c r="M150" s="328">
        <f>=M148*M149</f>
        <v>0</v>
      </c>
      <c r="N150" s="328">
        <f>=N148*N149</f>
        <v>0</v>
      </c>
      <c r="O150" s="328">
        <f>=O148*O149</f>
        <v>0</v>
      </c>
      <c r="P150" s="328">
        <f>=P148*P149</f>
        <v>0</v>
      </c>
      <c r="Q150" s="328">
        <f>=Q148*Q149</f>
        <v>0</v>
      </c>
      <c r="R150" s="328">
        <f>=R148*R149</f>
        <v>0</v>
      </c>
      <c r="S150" s="328">
        <f>=S148*S149</f>
        <v>0</v>
      </c>
      <c r="T150" s="328">
        <f>=T148*T149</f>
        <v>0</v>
      </c>
      <c r="U150" s="328">
        <f>=U148*U149</f>
        <v>0</v>
      </c>
      <c r="V150" s="328">
        <f>=V148*V149</f>
        <v>0</v>
      </c>
      <c r="W150" s="328">
        <f>=W148*W149</f>
        <v>0</v>
      </c>
      <c r="X150" s="328">
        <f>=X148*X149</f>
        <v>0</v>
      </c>
      <c r="Y150" s="328">
        <f>=Y148*Y149</f>
        <v>0</v>
      </c>
      <c r="Z150" s="328">
        <f>=Z148*Z149</f>
        <v>0</v>
      </c>
    </row>
    <row r="151" spans="1:26" ht="12" customHeight="true">
      <c r="A151" s="314" t="s"/>
      <c r="B151" s="333" t="s">
        <v>677</v>
      </c>
      <c r="C151" s="330" t="s"/>
      <c r="D151" s="306">
        <f>=SUM(E151:Z151)</f>
        <v>0</v>
      </c>
      <c r="E151" s="321" t="s"/>
      <c r="F151" s="321">
        <f>=E151</f>
        <v>0</v>
      </c>
      <c r="G151" s="331" t="s"/>
      <c r="H151" s="331" t="s"/>
      <c r="I151" s="331" t="s"/>
      <c r="J151" s="331" t="s"/>
      <c r="K151" s="331" t="s"/>
      <c r="L151" s="331" t="s"/>
      <c r="M151" s="331" t="s"/>
      <c r="N151" s="331" t="s"/>
      <c r="O151" s="331" t="s"/>
      <c r="P151" s="331" t="s"/>
      <c r="Q151" s="331" t="s"/>
      <c r="R151" s="331" t="s"/>
      <c r="S151" s="331" t="s"/>
      <c r="T151" s="331">
        <f>=S151</f>
        <v>0</v>
      </c>
      <c r="U151" s="331">
        <f>=T151</f>
        <v>0</v>
      </c>
      <c r="V151" s="331">
        <f>=U151</f>
        <v>0</v>
      </c>
      <c r="W151" s="331">
        <f>=V151</f>
        <v>0</v>
      </c>
      <c r="X151" s="331">
        <f>=W151</f>
        <v>0</v>
      </c>
      <c r="Y151" s="331">
        <f>=X151</f>
        <v>0</v>
      </c>
      <c r="Z151" s="331">
        <f>=Y151</f>
        <v>0</v>
      </c>
    </row>
    <row r="152" spans="1:26" ht="12" customHeight="true">
      <c r="A152" s="314" t="s"/>
      <c r="B152" s="333" t="s">
        <v>680</v>
      </c>
      <c r="C152" s="333" t="s"/>
      <c r="D152" s="306">
        <f>=SUM(E152:Z152)</f>
        <v>0</v>
      </c>
      <c r="E152" s="306">
        <f>=E150*E151</f>
        <v>0</v>
      </c>
      <c r="F152" s="306">
        <f>=F150*F151</f>
        <v>0</v>
      </c>
      <c r="G152" s="306">
        <f>=G150*G151</f>
        <v>0</v>
      </c>
      <c r="H152" s="306">
        <f>=H150*H151</f>
        <v>0</v>
      </c>
      <c r="I152" s="306">
        <f>=I150*I151</f>
        <v>0</v>
      </c>
      <c r="J152" s="306">
        <f>=J150*J151</f>
        <v>0</v>
      </c>
      <c r="K152" s="306">
        <f>=K150*K151</f>
        <v>0</v>
      </c>
      <c r="L152" s="306">
        <f>=L150*L151</f>
        <v>0</v>
      </c>
      <c r="M152" s="306">
        <f>=M150*M151</f>
        <v>0</v>
      </c>
      <c r="N152" s="306">
        <f>=N150*N151</f>
        <v>0</v>
      </c>
      <c r="O152" s="306">
        <f>=O150*O151</f>
        <v>0</v>
      </c>
      <c r="P152" s="306">
        <f>=P150*P151</f>
        <v>0</v>
      </c>
      <c r="Q152" s="306">
        <f>=Q150*Q151</f>
        <v>0</v>
      </c>
      <c r="R152" s="306">
        <f>=R150*R151</f>
        <v>0</v>
      </c>
      <c r="S152" s="306">
        <f>=S150*S151</f>
        <v>0</v>
      </c>
      <c r="T152" s="306">
        <f>=T150*T151</f>
        <v>0</v>
      </c>
      <c r="U152" s="306">
        <f>=U150*U151</f>
        <v>0</v>
      </c>
      <c r="V152" s="306">
        <f>=V150*V151</f>
        <v>0</v>
      </c>
      <c r="W152" s="306">
        <f>=W150*W151</f>
        <v>0</v>
      </c>
      <c r="X152" s="306">
        <f>=X150*X151</f>
        <v>0</v>
      </c>
      <c r="Y152" s="306">
        <f>=Y150*Y151</f>
        <v>0</v>
      </c>
      <c r="Z152" s="306">
        <f>=Z150*Z151</f>
        <v>0</v>
      </c>
    </row>
    <row r="153" spans="1:26" ht="12" customHeight="true">
      <c r="A153" s="314" t="s"/>
      <c r="B153" s="334" t="s">
        <v>682</v>
      </c>
      <c r="C153" s="335" t="s"/>
      <c r="D153" s="310" t="s"/>
      <c r="E153" s="336">
        <f>=$C153</f>
        <v>0</v>
      </c>
      <c r="F153" s="336">
        <f>=$C153</f>
        <v>0</v>
      </c>
      <c r="G153" s="336">
        <f>=$C153</f>
        <v>0</v>
      </c>
      <c r="H153" s="336">
        <f>=$C153</f>
        <v>0</v>
      </c>
      <c r="I153" s="336">
        <f>=$C153</f>
        <v>0</v>
      </c>
      <c r="J153" s="336">
        <f>=$C153</f>
        <v>0</v>
      </c>
      <c r="K153" s="336">
        <f>=$C153</f>
        <v>0</v>
      </c>
      <c r="L153" s="336">
        <f>=$C153</f>
        <v>0</v>
      </c>
      <c r="M153" s="336">
        <f>=$C153</f>
        <v>0</v>
      </c>
      <c r="N153" s="336">
        <f>=$C153</f>
        <v>0</v>
      </c>
      <c r="O153" s="336">
        <f>=$C153</f>
        <v>0</v>
      </c>
      <c r="P153" s="336">
        <f>=$C153</f>
        <v>0</v>
      </c>
      <c r="Q153" s="336">
        <f>=$C153</f>
        <v>0</v>
      </c>
      <c r="R153" s="336">
        <f>=$C153</f>
        <v>0</v>
      </c>
      <c r="S153" s="336">
        <f>=$C153</f>
        <v>0</v>
      </c>
      <c r="T153" s="336">
        <f>=$C153</f>
        <v>0</v>
      </c>
      <c r="U153" s="336">
        <f>=$C153</f>
        <v>0</v>
      </c>
      <c r="V153" s="336">
        <f>=$C153</f>
        <v>0</v>
      </c>
      <c r="W153" s="336">
        <f>=$C153</f>
        <v>0</v>
      </c>
      <c r="X153" s="336">
        <f>=$C153</f>
        <v>0</v>
      </c>
      <c r="Y153" s="336">
        <f>=$C153</f>
        <v>0</v>
      </c>
      <c r="Z153" s="336">
        <f>=$C153</f>
        <v>0</v>
      </c>
    </row>
    <row r="154" spans="1:26" ht="12" customHeight="true">
      <c r="A154" s="314" t="s"/>
      <c r="B154" s="334" t="s">
        <v>654</v>
      </c>
      <c r="C154" s="310" t="s"/>
      <c r="D154" s="306">
        <f>=SUM(E154:Z154)</f>
        <v>0</v>
      </c>
      <c r="E154" s="306">
        <f>=E152*E153/(1+E153)</f>
        <v>0</v>
      </c>
      <c r="F154" s="306">
        <f>=F152*F153/(1+F153)</f>
        <v>0</v>
      </c>
      <c r="G154" s="306">
        <f>=G152*G153/(1+G153)</f>
        <v>0</v>
      </c>
      <c r="H154" s="306">
        <f>=H152*H153/(1+H153)</f>
        <v>0</v>
      </c>
      <c r="I154" s="306">
        <f>=I152*I153/(1+I153)</f>
        <v>0</v>
      </c>
      <c r="J154" s="306">
        <f>=J152*J153/(1+J153)</f>
        <v>0</v>
      </c>
      <c r="K154" s="306">
        <f>=K152*K153/(1+K153)</f>
        <v>0</v>
      </c>
      <c r="L154" s="306">
        <f>=L152*L153/(1+L153)</f>
        <v>0</v>
      </c>
      <c r="M154" s="306">
        <f>=M152*M153/(1+M153)</f>
        <v>0</v>
      </c>
      <c r="N154" s="306">
        <f>=N152*N153/(1+N153)</f>
        <v>0</v>
      </c>
      <c r="O154" s="306">
        <f>=O152*O153/(1+O153)</f>
        <v>0</v>
      </c>
      <c r="P154" s="306">
        <f>=P152*P153/(1+P153)</f>
        <v>0</v>
      </c>
      <c r="Q154" s="306">
        <f>=Q152*Q153/(1+Q153)</f>
        <v>0</v>
      </c>
      <c r="R154" s="306">
        <f>=R152*R153/(1+R153)</f>
        <v>0</v>
      </c>
      <c r="S154" s="306">
        <f>=S152*S153/(1+S153)</f>
        <v>0</v>
      </c>
      <c r="T154" s="306">
        <f>=T152*T153/(1+T153)</f>
        <v>0</v>
      </c>
      <c r="U154" s="306">
        <f>=U152*U153/(1+U153)</f>
        <v>0</v>
      </c>
      <c r="V154" s="306">
        <f>=V152*V153/(1+V153)</f>
        <v>0</v>
      </c>
      <c r="W154" s="306">
        <f>=W152*W153/(1+W153)</f>
        <v>0</v>
      </c>
      <c r="X154" s="306">
        <f>=X152*X153/(1+X153)</f>
        <v>0</v>
      </c>
      <c r="Y154" s="306">
        <f>=Y152*Y153/(1+Y153)</f>
        <v>0</v>
      </c>
      <c r="Z154" s="306">
        <f>=Z152*Z153/(1+Z153)</f>
        <v>0</v>
      </c>
    </row>
    <row r="155" spans="1:26" ht="12" customHeight="true">
      <c r="A155" s="314" t="s"/>
      <c r="B155" s="334" t="s">
        <v>683</v>
      </c>
      <c r="C155" s="310" t="s"/>
      <c r="D155" s="310" t="s"/>
      <c r="E155" s="336">
        <f>=$C155</f>
        <v>0</v>
      </c>
      <c r="F155" s="336">
        <f>=$C155</f>
        <v>0</v>
      </c>
      <c r="G155" s="336">
        <f>=$C155</f>
        <v>0</v>
      </c>
      <c r="H155" s="336">
        <f>=$C155</f>
        <v>0</v>
      </c>
      <c r="I155" s="336">
        <f>=$C155</f>
        <v>0</v>
      </c>
      <c r="J155" s="336">
        <f>=$C155</f>
        <v>0</v>
      </c>
      <c r="K155" s="336">
        <f>=$C155</f>
        <v>0</v>
      </c>
      <c r="L155" s="336">
        <f>=$C155</f>
        <v>0</v>
      </c>
      <c r="M155" s="336">
        <f>=$C155</f>
        <v>0</v>
      </c>
      <c r="N155" s="336">
        <f>=$C155</f>
        <v>0</v>
      </c>
      <c r="O155" s="336">
        <f>=$C155</f>
        <v>0</v>
      </c>
      <c r="P155" s="336">
        <f>=$C155</f>
        <v>0</v>
      </c>
      <c r="Q155" s="336">
        <f>=$C155</f>
        <v>0</v>
      </c>
      <c r="R155" s="336">
        <f>=$C155</f>
        <v>0</v>
      </c>
      <c r="S155" s="336">
        <f>=$C155</f>
        <v>0</v>
      </c>
      <c r="T155" s="336">
        <f>=$C155</f>
        <v>0</v>
      </c>
      <c r="U155" s="336">
        <f>=$C155</f>
        <v>0</v>
      </c>
      <c r="V155" s="336">
        <f>=$C155</f>
        <v>0</v>
      </c>
      <c r="W155" s="336">
        <f>=$C155</f>
        <v>0</v>
      </c>
      <c r="X155" s="336">
        <f>=$C155</f>
        <v>0</v>
      </c>
      <c r="Y155" s="336">
        <f>=$C155</f>
        <v>0</v>
      </c>
      <c r="Z155" s="336">
        <f>=$C155</f>
        <v>0</v>
      </c>
    </row>
    <row r="156" spans="1:26" ht="12" customHeight="true">
      <c r="A156" s="314" t="s"/>
      <c r="B156" s="334" t="s">
        <v>684</v>
      </c>
      <c r="C156" s="337" t="s"/>
      <c r="D156" s="306">
        <f>=SUM(E156:Z156)</f>
        <v>0</v>
      </c>
      <c r="E156" s="306">
        <f>=E152*E155</f>
        <v>0</v>
      </c>
      <c r="F156" s="306">
        <f>=F152*F155</f>
        <v>0</v>
      </c>
      <c r="G156" s="306">
        <f>=G152*G155</f>
        <v>0</v>
      </c>
      <c r="H156" s="306">
        <f>=H152*H155</f>
        <v>0</v>
      </c>
      <c r="I156" s="306">
        <f>=I152*I155</f>
        <v>0</v>
      </c>
      <c r="J156" s="306">
        <f>=J152*J155</f>
        <v>0</v>
      </c>
      <c r="K156" s="306">
        <f>=K152*K155</f>
        <v>0</v>
      </c>
      <c r="L156" s="306">
        <f>=L152*L155</f>
        <v>0</v>
      </c>
      <c r="M156" s="306">
        <f>=M152*M155</f>
        <v>0</v>
      </c>
      <c r="N156" s="306">
        <f>=N152*N155</f>
        <v>0</v>
      </c>
      <c r="O156" s="306">
        <f>=O152*O155</f>
        <v>0</v>
      </c>
      <c r="P156" s="306">
        <f>=P152*P155</f>
        <v>0</v>
      </c>
      <c r="Q156" s="306">
        <f>=Q152*Q155</f>
        <v>0</v>
      </c>
      <c r="R156" s="306">
        <f>=R152*R155</f>
        <v>0</v>
      </c>
      <c r="S156" s="306">
        <f>=S152*S155</f>
        <v>0</v>
      </c>
      <c r="T156" s="306">
        <f>=T152*T155</f>
        <v>0</v>
      </c>
      <c r="U156" s="306">
        <f>=U152*U155</f>
        <v>0</v>
      </c>
      <c r="V156" s="306">
        <f>=V152*V155</f>
        <v>0</v>
      </c>
      <c r="W156" s="306">
        <f>=W152*W155</f>
        <v>0</v>
      </c>
      <c r="X156" s="306">
        <f>=X152*X155</f>
        <v>0</v>
      </c>
      <c r="Y156" s="306">
        <f>=Y152*Y155</f>
        <v>0</v>
      </c>
      <c r="Z156" s="306">
        <f>=Z152*Z155</f>
        <v>0</v>
      </c>
    </row>
    <row r="157" spans="1:26" ht="12" customHeight="true">
      <c r="A157" s="314">
        <v>14</v>
      </c>
      <c r="B157" s="342" t="s"/>
      <c r="C157" s="342" t="s"/>
      <c r="D157" s="316" t="s">
        <v>672</v>
      </c>
      <c r="E157" s="300" t="s"/>
      <c r="F157" s="300" t="s"/>
      <c r="G157" s="300" t="s"/>
      <c r="H157" s="300" t="s"/>
      <c r="I157" s="300" t="s"/>
      <c r="J157" s="300" t="s"/>
      <c r="K157" s="300" t="s"/>
      <c r="L157" s="300" t="s"/>
      <c r="M157" s="300" t="s"/>
      <c r="N157" s="300" t="s"/>
      <c r="O157" s="300" t="s"/>
      <c r="P157" s="300" t="s"/>
      <c r="Q157" s="300" t="s"/>
      <c r="R157" s="300" t="s"/>
      <c r="S157" s="300" t="s"/>
      <c r="T157" s="300" t="s"/>
      <c r="U157" s="300" t="s"/>
      <c r="V157" s="300" t="s"/>
      <c r="W157" s="300" t="s"/>
      <c r="X157" s="300" t="s"/>
      <c r="Y157" s="300" t="s"/>
      <c r="Z157" s="300" t="s"/>
    </row>
    <row r="158" spans="1:26" ht="12" customHeight="true">
      <c r="A158" s="314" t="s"/>
      <c r="B158" s="318" t="s">
        <v>688</v>
      </c>
      <c r="C158" s="319" t="s"/>
      <c r="D158" s="320" t="s">
        <v>674</v>
      </c>
      <c r="E158" s="321" t="s"/>
      <c r="F158" s="321">
        <f>=E158</f>
        <v>0</v>
      </c>
      <c r="G158" s="331" t="s"/>
      <c r="H158" s="321">
        <f>=G158</f>
        <v>0</v>
      </c>
      <c r="I158" s="321">
        <f>=H158</f>
        <v>0</v>
      </c>
      <c r="J158" s="321">
        <f>=I158</f>
        <v>0</v>
      </c>
      <c r="K158" s="321">
        <f>=J158</f>
        <v>0</v>
      </c>
      <c r="L158" s="321">
        <f>=K158</f>
        <v>0</v>
      </c>
      <c r="M158" s="321">
        <f>=L158</f>
        <v>0</v>
      </c>
      <c r="N158" s="321">
        <f>=M158</f>
        <v>0</v>
      </c>
      <c r="O158" s="321">
        <f>=N158</f>
        <v>0</v>
      </c>
      <c r="P158" s="321">
        <f>=O158</f>
        <v>0</v>
      </c>
      <c r="Q158" s="321">
        <f>=P158</f>
        <v>0</v>
      </c>
      <c r="R158" s="321">
        <f>=Q158</f>
        <v>0</v>
      </c>
      <c r="S158" s="321">
        <f>=R158</f>
        <v>0</v>
      </c>
      <c r="T158" s="321">
        <f>=S158</f>
        <v>0</v>
      </c>
      <c r="U158" s="321">
        <f>=T158</f>
        <v>0</v>
      </c>
      <c r="V158" s="321">
        <f>=U158</f>
        <v>0</v>
      </c>
      <c r="W158" s="321">
        <f>=V158</f>
        <v>0</v>
      </c>
      <c r="X158" s="321">
        <f>=W158</f>
        <v>0</v>
      </c>
      <c r="Y158" s="321">
        <f>=X158</f>
        <v>0</v>
      </c>
      <c r="Z158" s="321">
        <f>=Y158</f>
        <v>0</v>
      </c>
    </row>
    <row r="159" spans="1:26" ht="12" customHeight="true">
      <c r="A159" s="314" t="s"/>
      <c r="B159" s="323" t="s">
        <v>534</v>
      </c>
      <c r="C159" s="324">
        <f>=IF($D158="美元",辅助表1评估项目基础数据表!$C$17,IF($D158="其他外币",辅助表1评估项目基础数据表!$C$18,1))</f>
        <v>1</v>
      </c>
      <c r="D159" s="300" t="s"/>
      <c r="E159" s="325">
        <f>=$C159</f>
        <v>1</v>
      </c>
      <c r="F159" s="325">
        <f>=$C159</f>
        <v>1</v>
      </c>
      <c r="G159" s="325">
        <f>=$C159</f>
        <v>1</v>
      </c>
      <c r="H159" s="325">
        <f>=$C159</f>
        <v>1</v>
      </c>
      <c r="I159" s="325">
        <f>=$C159</f>
        <v>1</v>
      </c>
      <c r="J159" s="325">
        <f>=$C159</f>
        <v>1</v>
      </c>
      <c r="K159" s="325">
        <f>=$C159</f>
        <v>1</v>
      </c>
      <c r="L159" s="325">
        <f>=$C159</f>
        <v>1</v>
      </c>
      <c r="M159" s="325">
        <f>=$C159</f>
        <v>1</v>
      </c>
      <c r="N159" s="325">
        <f>=$C159</f>
        <v>1</v>
      </c>
      <c r="O159" s="325">
        <f>=$C159</f>
        <v>1</v>
      </c>
      <c r="P159" s="325">
        <f>=$C159</f>
        <v>1</v>
      </c>
      <c r="Q159" s="325">
        <f>=$C159</f>
        <v>1</v>
      </c>
      <c r="R159" s="325">
        <f>=$C159</f>
        <v>1</v>
      </c>
      <c r="S159" s="325">
        <f>=$C159</f>
        <v>1</v>
      </c>
      <c r="T159" s="325">
        <f>=$C159</f>
        <v>1</v>
      </c>
      <c r="U159" s="325">
        <f>=$C159</f>
        <v>1</v>
      </c>
      <c r="V159" s="325">
        <f>=$C159</f>
        <v>1</v>
      </c>
      <c r="W159" s="325">
        <f>=$C159</f>
        <v>1</v>
      </c>
      <c r="X159" s="325">
        <f>=$C159</f>
        <v>1</v>
      </c>
      <c r="Y159" s="325">
        <f>=$C159</f>
        <v>1</v>
      </c>
      <c r="Z159" s="325">
        <f>=$C159</f>
        <v>1</v>
      </c>
    </row>
    <row r="160" spans="1:26" ht="12" customHeight="true">
      <c r="A160" s="314" t="s"/>
      <c r="B160" s="326" t="s">
        <v>676</v>
      </c>
      <c r="C160" s="327" t="s"/>
      <c r="D160" s="310" t="s"/>
      <c r="E160" s="328">
        <f>=E158*E159</f>
        <v>0</v>
      </c>
      <c r="F160" s="328">
        <f>=F158*F159</f>
        <v>0</v>
      </c>
      <c r="G160" s="328">
        <f>=G158*G159</f>
        <v>0</v>
      </c>
      <c r="H160" s="328">
        <f>=H158*H159</f>
        <v>0</v>
      </c>
      <c r="I160" s="328">
        <f>=I158*I159</f>
        <v>0</v>
      </c>
      <c r="J160" s="328">
        <f>=J158*J159</f>
        <v>0</v>
      </c>
      <c r="K160" s="328">
        <f>=K158*K159</f>
        <v>0</v>
      </c>
      <c r="L160" s="328">
        <f>=L158*L159</f>
        <v>0</v>
      </c>
      <c r="M160" s="328">
        <f>=M158*M159</f>
        <v>0</v>
      </c>
      <c r="N160" s="328">
        <f>=N158*N159</f>
        <v>0</v>
      </c>
      <c r="O160" s="328">
        <f>=O158*O159</f>
        <v>0</v>
      </c>
      <c r="P160" s="328">
        <f>=P158*P159</f>
        <v>0</v>
      </c>
      <c r="Q160" s="328">
        <f>=Q158*Q159</f>
        <v>0</v>
      </c>
      <c r="R160" s="328">
        <f>=R158*R159</f>
        <v>0</v>
      </c>
      <c r="S160" s="328">
        <f>=S158*S159</f>
        <v>0</v>
      </c>
      <c r="T160" s="328">
        <f>=T158*T159</f>
        <v>0</v>
      </c>
      <c r="U160" s="328">
        <f>=U158*U159</f>
        <v>0</v>
      </c>
      <c r="V160" s="328">
        <f>=V158*V159</f>
        <v>0</v>
      </c>
      <c r="W160" s="328">
        <f>=W158*W159</f>
        <v>0</v>
      </c>
      <c r="X160" s="328">
        <f>=X158*X159</f>
        <v>0</v>
      </c>
      <c r="Y160" s="328">
        <f>=Y158*Y159</f>
        <v>0</v>
      </c>
      <c r="Z160" s="328">
        <f>=Z158*Z159</f>
        <v>0</v>
      </c>
    </row>
    <row r="161" spans="1:26" ht="12" customHeight="true">
      <c r="A161" s="314" t="s"/>
      <c r="B161" s="333" t="s">
        <v>677</v>
      </c>
      <c r="C161" s="330" t="s"/>
      <c r="D161" s="306">
        <f>=SUM(E161:Z161)</f>
        <v>0</v>
      </c>
      <c r="E161" s="321" t="s"/>
      <c r="F161" s="321">
        <f>=E161</f>
        <v>0</v>
      </c>
      <c r="G161" s="331" t="s"/>
      <c r="H161" s="331" t="s"/>
      <c r="I161" s="331" t="s"/>
      <c r="J161" s="331" t="s"/>
      <c r="K161" s="331" t="s"/>
      <c r="L161" s="331" t="s"/>
      <c r="M161" s="331" t="s"/>
      <c r="N161" s="331" t="s"/>
      <c r="O161" s="331" t="s"/>
      <c r="P161" s="331" t="s"/>
      <c r="Q161" s="331" t="s"/>
      <c r="R161" s="331" t="s"/>
      <c r="S161" s="331" t="s"/>
      <c r="T161" s="331">
        <f>=S161</f>
        <v>0</v>
      </c>
      <c r="U161" s="331">
        <f>=T161</f>
        <v>0</v>
      </c>
      <c r="V161" s="331">
        <f>=U161</f>
        <v>0</v>
      </c>
      <c r="W161" s="331">
        <f>=V161</f>
        <v>0</v>
      </c>
      <c r="X161" s="331">
        <f>=W161</f>
        <v>0</v>
      </c>
      <c r="Y161" s="331">
        <f>=X161</f>
        <v>0</v>
      </c>
      <c r="Z161" s="331">
        <f>=Y161</f>
        <v>0</v>
      </c>
    </row>
    <row r="162" spans="1:26" ht="12" customHeight="true">
      <c r="A162" s="314" t="s"/>
      <c r="B162" s="333" t="s">
        <v>680</v>
      </c>
      <c r="C162" s="333" t="s"/>
      <c r="D162" s="306">
        <f>=SUM(E162:Z162)</f>
        <v>0</v>
      </c>
      <c r="E162" s="306">
        <f>=E160*E161</f>
        <v>0</v>
      </c>
      <c r="F162" s="306">
        <f>=F160*F161</f>
        <v>0</v>
      </c>
      <c r="G162" s="306">
        <f>=G160*G161</f>
        <v>0</v>
      </c>
      <c r="H162" s="306">
        <f>=H160*H161</f>
        <v>0</v>
      </c>
      <c r="I162" s="306">
        <f>=I160*I161</f>
        <v>0</v>
      </c>
      <c r="J162" s="306">
        <f>=J160*J161</f>
        <v>0</v>
      </c>
      <c r="K162" s="306">
        <f>=K160*K161</f>
        <v>0</v>
      </c>
      <c r="L162" s="306">
        <f>=L160*L161</f>
        <v>0</v>
      </c>
      <c r="M162" s="306">
        <f>=M160*M161</f>
        <v>0</v>
      </c>
      <c r="N162" s="306">
        <f>=N160*N161</f>
        <v>0</v>
      </c>
      <c r="O162" s="306">
        <f>=O160*O161</f>
        <v>0</v>
      </c>
      <c r="P162" s="306">
        <f>=P160*P161</f>
        <v>0</v>
      </c>
      <c r="Q162" s="306">
        <f>=Q160*Q161</f>
        <v>0</v>
      </c>
      <c r="R162" s="306">
        <f>=R160*R161</f>
        <v>0</v>
      </c>
      <c r="S162" s="306">
        <f>=S160*S161</f>
        <v>0</v>
      </c>
      <c r="T162" s="306">
        <f>=T160*T161</f>
        <v>0</v>
      </c>
      <c r="U162" s="306">
        <f>=U160*U161</f>
        <v>0</v>
      </c>
      <c r="V162" s="306">
        <f>=V160*V161</f>
        <v>0</v>
      </c>
      <c r="W162" s="306">
        <f>=W160*W161</f>
        <v>0</v>
      </c>
      <c r="X162" s="306">
        <f>=X160*X161</f>
        <v>0</v>
      </c>
      <c r="Y162" s="306">
        <f>=Y160*Y161</f>
        <v>0</v>
      </c>
      <c r="Z162" s="306">
        <f>=Z160*Z161</f>
        <v>0</v>
      </c>
    </row>
    <row r="163" spans="1:26" ht="12" customHeight="true">
      <c r="A163" s="314" t="s"/>
      <c r="B163" s="334" t="s">
        <v>682</v>
      </c>
      <c r="C163" s="335" t="s"/>
      <c r="D163" s="310" t="s"/>
      <c r="E163" s="336">
        <f>=$C163</f>
        <v>0</v>
      </c>
      <c r="F163" s="336">
        <f>=$C163</f>
        <v>0</v>
      </c>
      <c r="G163" s="336">
        <f>=$C163</f>
        <v>0</v>
      </c>
      <c r="H163" s="336">
        <f>=$C163</f>
        <v>0</v>
      </c>
      <c r="I163" s="336">
        <f>=$C163</f>
        <v>0</v>
      </c>
      <c r="J163" s="336">
        <f>=$C163</f>
        <v>0</v>
      </c>
      <c r="K163" s="336">
        <f>=$C163</f>
        <v>0</v>
      </c>
      <c r="L163" s="336">
        <f>=$C163</f>
        <v>0</v>
      </c>
      <c r="M163" s="336">
        <f>=$C163</f>
        <v>0</v>
      </c>
      <c r="N163" s="336">
        <f>=$C163</f>
        <v>0</v>
      </c>
      <c r="O163" s="336">
        <f>=$C163</f>
        <v>0</v>
      </c>
      <c r="P163" s="336">
        <f>=$C163</f>
        <v>0</v>
      </c>
      <c r="Q163" s="336">
        <f>=$C163</f>
        <v>0</v>
      </c>
      <c r="R163" s="336">
        <f>=$C163</f>
        <v>0</v>
      </c>
      <c r="S163" s="336">
        <f>=$C163</f>
        <v>0</v>
      </c>
      <c r="T163" s="336">
        <f>=$C163</f>
        <v>0</v>
      </c>
      <c r="U163" s="336">
        <f>=$C163</f>
        <v>0</v>
      </c>
      <c r="V163" s="336">
        <f>=$C163</f>
        <v>0</v>
      </c>
      <c r="W163" s="336">
        <f>=$C163</f>
        <v>0</v>
      </c>
      <c r="X163" s="336">
        <f>=$C163</f>
        <v>0</v>
      </c>
      <c r="Y163" s="336">
        <f>=$C163</f>
        <v>0</v>
      </c>
      <c r="Z163" s="336">
        <f>=$C163</f>
        <v>0</v>
      </c>
    </row>
    <row r="164" spans="1:26" ht="12" customHeight="true">
      <c r="A164" s="314" t="s"/>
      <c r="B164" s="334" t="s">
        <v>654</v>
      </c>
      <c r="C164" s="310" t="s"/>
      <c r="D164" s="306">
        <f>=SUM(E164:Z164)</f>
        <v>0</v>
      </c>
      <c r="E164" s="306">
        <f>=E162*E163/(1+E163)</f>
        <v>0</v>
      </c>
      <c r="F164" s="306">
        <f>=F162*F163/(1+F163)</f>
        <v>0</v>
      </c>
      <c r="G164" s="306">
        <f>=G162*G163/(1+G163)</f>
        <v>0</v>
      </c>
      <c r="H164" s="306">
        <f>=H162*H163/(1+H163)</f>
        <v>0</v>
      </c>
      <c r="I164" s="306">
        <f>=I162*I163/(1+I163)</f>
        <v>0</v>
      </c>
      <c r="J164" s="306">
        <f>=J162*J163/(1+J163)</f>
        <v>0</v>
      </c>
      <c r="K164" s="306">
        <f>=K162*K163/(1+K163)</f>
        <v>0</v>
      </c>
      <c r="L164" s="306">
        <f>=L162*L163/(1+L163)</f>
        <v>0</v>
      </c>
      <c r="M164" s="306">
        <f>=M162*M163/(1+M163)</f>
        <v>0</v>
      </c>
      <c r="N164" s="306">
        <f>=N162*N163/(1+N163)</f>
        <v>0</v>
      </c>
      <c r="O164" s="306">
        <f>=O162*O163/(1+O163)</f>
        <v>0</v>
      </c>
      <c r="P164" s="306">
        <f>=P162*P163/(1+P163)</f>
        <v>0</v>
      </c>
      <c r="Q164" s="306">
        <f>=Q162*Q163/(1+Q163)</f>
        <v>0</v>
      </c>
      <c r="R164" s="306">
        <f>=R162*R163/(1+R163)</f>
        <v>0</v>
      </c>
      <c r="S164" s="306">
        <f>=S162*S163/(1+S163)</f>
        <v>0</v>
      </c>
      <c r="T164" s="306">
        <f>=T162*T163/(1+T163)</f>
        <v>0</v>
      </c>
      <c r="U164" s="306">
        <f>=U162*U163/(1+U163)</f>
        <v>0</v>
      </c>
      <c r="V164" s="306">
        <f>=V162*V163/(1+V163)</f>
        <v>0</v>
      </c>
      <c r="W164" s="306">
        <f>=W162*W163/(1+W163)</f>
        <v>0</v>
      </c>
      <c r="X164" s="306">
        <f>=X162*X163/(1+X163)</f>
        <v>0</v>
      </c>
      <c r="Y164" s="306">
        <f>=Y162*Y163/(1+Y163)</f>
        <v>0</v>
      </c>
      <c r="Z164" s="306">
        <f>=Z162*Z163/(1+Z163)</f>
        <v>0</v>
      </c>
    </row>
    <row r="165" spans="1:26" ht="12" customHeight="true">
      <c r="A165" s="314" t="s"/>
      <c r="B165" s="334" t="s">
        <v>683</v>
      </c>
      <c r="C165" s="310" t="s"/>
      <c r="D165" s="310" t="s"/>
      <c r="E165" s="336">
        <f>=$C165</f>
        <v>0</v>
      </c>
      <c r="F165" s="336">
        <f>=$C165</f>
        <v>0</v>
      </c>
      <c r="G165" s="336">
        <f>=$C165</f>
        <v>0</v>
      </c>
      <c r="H165" s="336">
        <f>=$C165</f>
        <v>0</v>
      </c>
      <c r="I165" s="336">
        <f>=$C165</f>
        <v>0</v>
      </c>
      <c r="J165" s="336">
        <f>=$C165</f>
        <v>0</v>
      </c>
      <c r="K165" s="336">
        <f>=$C165</f>
        <v>0</v>
      </c>
      <c r="L165" s="336">
        <f>=$C165</f>
        <v>0</v>
      </c>
      <c r="M165" s="336">
        <f>=$C165</f>
        <v>0</v>
      </c>
      <c r="N165" s="336">
        <f>=$C165</f>
        <v>0</v>
      </c>
      <c r="O165" s="336">
        <f>=$C165</f>
        <v>0</v>
      </c>
      <c r="P165" s="336">
        <f>=$C165</f>
        <v>0</v>
      </c>
      <c r="Q165" s="336">
        <f>=$C165</f>
        <v>0</v>
      </c>
      <c r="R165" s="336">
        <f>=$C165</f>
        <v>0</v>
      </c>
      <c r="S165" s="336">
        <f>=$C165</f>
        <v>0</v>
      </c>
      <c r="T165" s="336">
        <f>=$C165</f>
        <v>0</v>
      </c>
      <c r="U165" s="336">
        <f>=$C165</f>
        <v>0</v>
      </c>
      <c r="V165" s="336">
        <f>=$C165</f>
        <v>0</v>
      </c>
      <c r="W165" s="336">
        <f>=$C165</f>
        <v>0</v>
      </c>
      <c r="X165" s="336">
        <f>=$C165</f>
        <v>0</v>
      </c>
      <c r="Y165" s="336">
        <f>=$C165</f>
        <v>0</v>
      </c>
      <c r="Z165" s="336">
        <f>=$C165</f>
        <v>0</v>
      </c>
    </row>
    <row r="166" spans="1:26" ht="12" customHeight="true">
      <c r="A166" s="314" t="s"/>
      <c r="B166" s="334" t="s">
        <v>684</v>
      </c>
      <c r="C166" s="337" t="s"/>
      <c r="D166" s="306">
        <f>=SUM(E166:Z166)</f>
        <v>0</v>
      </c>
      <c r="E166" s="306">
        <f>=E162*E165</f>
        <v>0</v>
      </c>
      <c r="F166" s="306">
        <f>=F162*F165</f>
        <v>0</v>
      </c>
      <c r="G166" s="306">
        <f>=G162*G165</f>
        <v>0</v>
      </c>
      <c r="H166" s="306">
        <f>=H162*H165</f>
        <v>0</v>
      </c>
      <c r="I166" s="306">
        <f>=I162*I165</f>
        <v>0</v>
      </c>
      <c r="J166" s="306">
        <f>=J162*J165</f>
        <v>0</v>
      </c>
      <c r="K166" s="306">
        <f>=K162*K165</f>
        <v>0</v>
      </c>
      <c r="L166" s="306">
        <f>=L162*L165</f>
        <v>0</v>
      </c>
      <c r="M166" s="306">
        <f>=M162*M165</f>
        <v>0</v>
      </c>
      <c r="N166" s="306">
        <f>=N162*N165</f>
        <v>0</v>
      </c>
      <c r="O166" s="306">
        <f>=O162*O165</f>
        <v>0</v>
      </c>
      <c r="P166" s="306">
        <f>=P162*P165</f>
        <v>0</v>
      </c>
      <c r="Q166" s="306">
        <f>=Q162*Q165</f>
        <v>0</v>
      </c>
      <c r="R166" s="306">
        <f>=R162*R165</f>
        <v>0</v>
      </c>
      <c r="S166" s="306">
        <f>=S162*S165</f>
        <v>0</v>
      </c>
      <c r="T166" s="306">
        <f>=T162*T165</f>
        <v>0</v>
      </c>
      <c r="U166" s="306">
        <f>=U162*U165</f>
        <v>0</v>
      </c>
      <c r="V166" s="306">
        <f>=V162*V165</f>
        <v>0</v>
      </c>
      <c r="W166" s="306">
        <f>=W162*W165</f>
        <v>0</v>
      </c>
      <c r="X166" s="306">
        <f>=X162*X165</f>
        <v>0</v>
      </c>
      <c r="Y166" s="306">
        <f>=Y162*Y165</f>
        <v>0</v>
      </c>
      <c r="Z166" s="306">
        <f>=Z162*Z165</f>
        <v>0</v>
      </c>
    </row>
    <row r="167" spans="1:26" ht="12" customHeight="true">
      <c r="A167" s="314">
        <v>15</v>
      </c>
      <c r="B167" s="342" t="s"/>
      <c r="C167" s="342" t="s"/>
      <c r="D167" s="316" t="s">
        <v>672</v>
      </c>
      <c r="E167" s="300" t="s"/>
      <c r="F167" s="300" t="s"/>
      <c r="G167" s="300" t="s"/>
      <c r="H167" s="300" t="s"/>
      <c r="I167" s="300" t="s"/>
      <c r="J167" s="300" t="s"/>
      <c r="K167" s="300" t="s"/>
      <c r="L167" s="300" t="s"/>
      <c r="M167" s="300" t="s"/>
      <c r="N167" s="300" t="s"/>
      <c r="O167" s="300" t="s"/>
      <c r="P167" s="300" t="s"/>
      <c r="Q167" s="300" t="s"/>
      <c r="R167" s="300" t="s"/>
      <c r="S167" s="300" t="s"/>
      <c r="T167" s="300" t="s"/>
      <c r="U167" s="300" t="s"/>
      <c r="V167" s="300" t="s"/>
      <c r="W167" s="300" t="s"/>
      <c r="X167" s="300" t="s"/>
      <c r="Y167" s="300" t="s"/>
      <c r="Z167" s="300" t="s"/>
    </row>
    <row r="168" spans="1:26" ht="12" customHeight="true">
      <c r="A168" s="314" t="s"/>
      <c r="B168" s="318" t="s">
        <v>688</v>
      </c>
      <c r="C168" s="319" t="s"/>
      <c r="D168" s="320" t="s">
        <v>674</v>
      </c>
      <c r="E168" s="321" t="s"/>
      <c r="F168" s="321">
        <f>=E168</f>
        <v>0</v>
      </c>
      <c r="G168" s="331" t="s"/>
      <c r="H168" s="321">
        <f>=G168</f>
        <v>0</v>
      </c>
      <c r="I168" s="321">
        <f>=H168</f>
        <v>0</v>
      </c>
      <c r="J168" s="321">
        <f>=I168</f>
        <v>0</v>
      </c>
      <c r="K168" s="321">
        <f>=J168</f>
        <v>0</v>
      </c>
      <c r="L168" s="321">
        <f>=K168</f>
        <v>0</v>
      </c>
      <c r="M168" s="321">
        <f>=L168</f>
        <v>0</v>
      </c>
      <c r="N168" s="321">
        <f>=M168</f>
        <v>0</v>
      </c>
      <c r="O168" s="321">
        <f>=N168</f>
        <v>0</v>
      </c>
      <c r="P168" s="321">
        <f>=O168</f>
        <v>0</v>
      </c>
      <c r="Q168" s="321">
        <f>=P168</f>
        <v>0</v>
      </c>
      <c r="R168" s="321">
        <f>=Q168</f>
        <v>0</v>
      </c>
      <c r="S168" s="321">
        <f>=R168</f>
        <v>0</v>
      </c>
      <c r="T168" s="321">
        <f>=S168</f>
        <v>0</v>
      </c>
      <c r="U168" s="321">
        <f>=T168</f>
        <v>0</v>
      </c>
      <c r="V168" s="321">
        <f>=U168</f>
        <v>0</v>
      </c>
      <c r="W168" s="321">
        <f>=V168</f>
        <v>0</v>
      </c>
      <c r="X168" s="321">
        <f>=W168</f>
        <v>0</v>
      </c>
      <c r="Y168" s="321">
        <f>=X168</f>
        <v>0</v>
      </c>
      <c r="Z168" s="321">
        <f>=Y168</f>
        <v>0</v>
      </c>
    </row>
    <row r="169" spans="1:26" ht="12" customHeight="true">
      <c r="A169" s="314" t="s"/>
      <c r="B169" s="323" t="s">
        <v>534</v>
      </c>
      <c r="C169" s="324">
        <f>=IF($D168="美元",辅助表1评估项目基础数据表!$C$17,IF($D168="其他外币",辅助表1评估项目基础数据表!$C$18,1))</f>
        <v>1</v>
      </c>
      <c r="D169" s="300" t="s"/>
      <c r="E169" s="325">
        <f>=$C169</f>
        <v>1</v>
      </c>
      <c r="F169" s="325">
        <f>=$C169</f>
        <v>1</v>
      </c>
      <c r="G169" s="325">
        <f>=$C169</f>
        <v>1</v>
      </c>
      <c r="H169" s="325">
        <f>=$C169</f>
        <v>1</v>
      </c>
      <c r="I169" s="325">
        <f>=$C169</f>
        <v>1</v>
      </c>
      <c r="J169" s="325">
        <f>=$C169</f>
        <v>1</v>
      </c>
      <c r="K169" s="325">
        <f>=$C169</f>
        <v>1</v>
      </c>
      <c r="L169" s="325">
        <f>=$C169</f>
        <v>1</v>
      </c>
      <c r="M169" s="325">
        <f>=$C169</f>
        <v>1</v>
      </c>
      <c r="N169" s="325">
        <f>=$C169</f>
        <v>1</v>
      </c>
      <c r="O169" s="325">
        <f>=$C169</f>
        <v>1</v>
      </c>
      <c r="P169" s="325">
        <f>=$C169</f>
        <v>1</v>
      </c>
      <c r="Q169" s="325">
        <f>=$C169</f>
        <v>1</v>
      </c>
      <c r="R169" s="325">
        <f>=$C169</f>
        <v>1</v>
      </c>
      <c r="S169" s="325">
        <f>=$C169</f>
        <v>1</v>
      </c>
      <c r="T169" s="325">
        <f>=$C169</f>
        <v>1</v>
      </c>
      <c r="U169" s="325">
        <f>=$C169</f>
        <v>1</v>
      </c>
      <c r="V169" s="325">
        <f>=$C169</f>
        <v>1</v>
      </c>
      <c r="W169" s="325">
        <f>=$C169</f>
        <v>1</v>
      </c>
      <c r="X169" s="325">
        <f>=$C169</f>
        <v>1</v>
      </c>
      <c r="Y169" s="325">
        <f>=$C169</f>
        <v>1</v>
      </c>
      <c r="Z169" s="325">
        <f>=$C169</f>
        <v>1</v>
      </c>
    </row>
    <row r="170" spans="1:26" ht="12" customHeight="true">
      <c r="A170" s="314" t="s"/>
      <c r="B170" s="326" t="s">
        <v>676</v>
      </c>
      <c r="C170" s="327" t="s"/>
      <c r="D170" s="310" t="s"/>
      <c r="E170" s="328">
        <f>=E168*E169</f>
        <v>0</v>
      </c>
      <c r="F170" s="328">
        <f>=F168*F169</f>
        <v>0</v>
      </c>
      <c r="G170" s="328">
        <f>=G168*G169</f>
        <v>0</v>
      </c>
      <c r="H170" s="328">
        <f>=H168*H169</f>
        <v>0</v>
      </c>
      <c r="I170" s="328">
        <f>=I168*I169</f>
        <v>0</v>
      </c>
      <c r="J170" s="328">
        <f>=J168*J169</f>
        <v>0</v>
      </c>
      <c r="K170" s="328">
        <f>=K168*K169</f>
        <v>0</v>
      </c>
      <c r="L170" s="328">
        <f>=L168*L169</f>
        <v>0</v>
      </c>
      <c r="M170" s="328">
        <f>=M168*M169</f>
        <v>0</v>
      </c>
      <c r="N170" s="328">
        <f>=N168*N169</f>
        <v>0</v>
      </c>
      <c r="O170" s="328">
        <f>=O168*O169</f>
        <v>0</v>
      </c>
      <c r="P170" s="328">
        <f>=P168*P169</f>
        <v>0</v>
      </c>
      <c r="Q170" s="328">
        <f>=Q168*Q169</f>
        <v>0</v>
      </c>
      <c r="R170" s="328">
        <f>=R168*R169</f>
        <v>0</v>
      </c>
      <c r="S170" s="328">
        <f>=S168*S169</f>
        <v>0</v>
      </c>
      <c r="T170" s="328">
        <f>=T168*T169</f>
        <v>0</v>
      </c>
      <c r="U170" s="328">
        <f>=U168*U169</f>
        <v>0</v>
      </c>
      <c r="V170" s="328">
        <f>=V168*V169</f>
        <v>0</v>
      </c>
      <c r="W170" s="328">
        <f>=W168*W169</f>
        <v>0</v>
      </c>
      <c r="X170" s="328">
        <f>=X168*X169</f>
        <v>0</v>
      </c>
      <c r="Y170" s="328">
        <f>=Y168*Y169</f>
        <v>0</v>
      </c>
      <c r="Z170" s="328">
        <f>=Z168*Z169</f>
        <v>0</v>
      </c>
    </row>
    <row r="171" spans="1:26" ht="12" customHeight="true">
      <c r="A171" s="314" t="s"/>
      <c r="B171" s="333" t="s">
        <v>677</v>
      </c>
      <c r="C171" s="330" t="s"/>
      <c r="D171" s="306">
        <f>=SUM(E171:Z171)</f>
        <v>0</v>
      </c>
      <c r="E171" s="321" t="s"/>
      <c r="F171" s="321">
        <f>=E171</f>
        <v>0</v>
      </c>
      <c r="G171" s="331" t="s"/>
      <c r="H171" s="331" t="s"/>
      <c r="I171" s="331" t="s"/>
      <c r="J171" s="331" t="s"/>
      <c r="K171" s="331" t="s"/>
      <c r="L171" s="331" t="s"/>
      <c r="M171" s="331" t="s"/>
      <c r="N171" s="331" t="s"/>
      <c r="O171" s="331" t="s"/>
      <c r="P171" s="331" t="s"/>
      <c r="Q171" s="331" t="s"/>
      <c r="R171" s="331" t="s"/>
      <c r="S171" s="331" t="s"/>
      <c r="T171" s="331">
        <f>=S171</f>
        <v>0</v>
      </c>
      <c r="U171" s="331">
        <f>=T171</f>
        <v>0</v>
      </c>
      <c r="V171" s="331">
        <f>=U171</f>
        <v>0</v>
      </c>
      <c r="W171" s="331">
        <f>=V171</f>
        <v>0</v>
      </c>
      <c r="X171" s="331">
        <f>=W171</f>
        <v>0</v>
      </c>
      <c r="Y171" s="331">
        <f>=X171</f>
        <v>0</v>
      </c>
      <c r="Z171" s="331">
        <f>=Y171</f>
        <v>0</v>
      </c>
    </row>
    <row r="172" spans="1:26" ht="12" customHeight="true">
      <c r="A172" s="314" t="s"/>
      <c r="B172" s="333" t="s">
        <v>680</v>
      </c>
      <c r="C172" s="333" t="s"/>
      <c r="D172" s="306">
        <f>=SUM(E172:Z172)</f>
        <v>0</v>
      </c>
      <c r="E172" s="306">
        <f>=E170*E171</f>
        <v>0</v>
      </c>
      <c r="F172" s="306">
        <f>=F170*F171</f>
        <v>0</v>
      </c>
      <c r="G172" s="306">
        <f>=G170*G171</f>
        <v>0</v>
      </c>
      <c r="H172" s="306">
        <f>=H170*H171</f>
        <v>0</v>
      </c>
      <c r="I172" s="306">
        <f>=I170*I171</f>
        <v>0</v>
      </c>
      <c r="J172" s="306">
        <f>=J170*J171</f>
        <v>0</v>
      </c>
      <c r="K172" s="306">
        <f>=K170*K171</f>
        <v>0</v>
      </c>
      <c r="L172" s="306">
        <f>=L170*L171</f>
        <v>0</v>
      </c>
      <c r="M172" s="306">
        <f>=M170*M171</f>
        <v>0</v>
      </c>
      <c r="N172" s="306">
        <f>=N170*N171</f>
        <v>0</v>
      </c>
      <c r="O172" s="306">
        <f>=O170*O171</f>
        <v>0</v>
      </c>
      <c r="P172" s="306">
        <f>=P170*P171</f>
        <v>0</v>
      </c>
      <c r="Q172" s="306">
        <f>=Q170*Q171</f>
        <v>0</v>
      </c>
      <c r="R172" s="306">
        <f>=R170*R171</f>
        <v>0</v>
      </c>
      <c r="S172" s="306">
        <f>=S170*S171</f>
        <v>0</v>
      </c>
      <c r="T172" s="306">
        <f>=T170*T171</f>
        <v>0</v>
      </c>
      <c r="U172" s="306">
        <f>=U170*U171</f>
        <v>0</v>
      </c>
      <c r="V172" s="306">
        <f>=V170*V171</f>
        <v>0</v>
      </c>
      <c r="W172" s="306">
        <f>=W170*W171</f>
        <v>0</v>
      </c>
      <c r="X172" s="306">
        <f>=X170*X171</f>
        <v>0</v>
      </c>
      <c r="Y172" s="306">
        <f>=Y170*Y171</f>
        <v>0</v>
      </c>
      <c r="Z172" s="306">
        <f>=Z170*Z171</f>
        <v>0</v>
      </c>
    </row>
    <row r="173" spans="1:26" ht="12" customHeight="true">
      <c r="A173" s="314" t="s"/>
      <c r="B173" s="334" t="s">
        <v>682</v>
      </c>
      <c r="C173" s="335" t="s"/>
      <c r="D173" s="310" t="s"/>
      <c r="E173" s="336">
        <f>=$C173</f>
        <v>0</v>
      </c>
      <c r="F173" s="336">
        <f>=$C173</f>
        <v>0</v>
      </c>
      <c r="G173" s="336">
        <f>=$C173</f>
        <v>0</v>
      </c>
      <c r="H173" s="336">
        <f>=$C173</f>
        <v>0</v>
      </c>
      <c r="I173" s="336">
        <f>=$C173</f>
        <v>0</v>
      </c>
      <c r="J173" s="336">
        <f>=$C173</f>
        <v>0</v>
      </c>
      <c r="K173" s="336">
        <f>=$C173</f>
        <v>0</v>
      </c>
      <c r="L173" s="336">
        <f>=$C173</f>
        <v>0</v>
      </c>
      <c r="M173" s="336">
        <f>=$C173</f>
        <v>0</v>
      </c>
      <c r="N173" s="336">
        <f>=$C173</f>
        <v>0</v>
      </c>
      <c r="O173" s="336">
        <f>=$C173</f>
        <v>0</v>
      </c>
      <c r="P173" s="336">
        <f>=$C173</f>
        <v>0</v>
      </c>
      <c r="Q173" s="336">
        <f>=$C173</f>
        <v>0</v>
      </c>
      <c r="R173" s="336">
        <f>=$C173</f>
        <v>0</v>
      </c>
      <c r="S173" s="336">
        <f>=$C173</f>
        <v>0</v>
      </c>
      <c r="T173" s="336">
        <f>=$C173</f>
        <v>0</v>
      </c>
      <c r="U173" s="336">
        <f>=$C173</f>
        <v>0</v>
      </c>
      <c r="V173" s="336">
        <f>=$C173</f>
        <v>0</v>
      </c>
      <c r="W173" s="336">
        <f>=$C173</f>
        <v>0</v>
      </c>
      <c r="X173" s="336">
        <f>=$C173</f>
        <v>0</v>
      </c>
      <c r="Y173" s="336">
        <f>=$C173</f>
        <v>0</v>
      </c>
      <c r="Z173" s="336">
        <f>=$C173</f>
        <v>0</v>
      </c>
    </row>
    <row r="174" spans="1:26" ht="12" customHeight="true">
      <c r="A174" s="314" t="s"/>
      <c r="B174" s="334" t="s">
        <v>654</v>
      </c>
      <c r="C174" s="310" t="s"/>
      <c r="D174" s="306">
        <f>=SUM(E174:Z174)</f>
        <v>0</v>
      </c>
      <c r="E174" s="306">
        <f>=E172*E173/(1+E173)</f>
        <v>0</v>
      </c>
      <c r="F174" s="306">
        <f>=F172*F173/(1+F173)</f>
        <v>0</v>
      </c>
      <c r="G174" s="306">
        <f>=G172*G173/(1+G173)</f>
        <v>0</v>
      </c>
      <c r="H174" s="306">
        <f>=H172*H173/(1+H173)</f>
        <v>0</v>
      </c>
      <c r="I174" s="306">
        <f>=I172*I173/(1+I173)</f>
        <v>0</v>
      </c>
      <c r="J174" s="306">
        <f>=J172*J173/(1+J173)</f>
        <v>0</v>
      </c>
      <c r="K174" s="306">
        <f>=K172*K173/(1+K173)</f>
        <v>0</v>
      </c>
      <c r="L174" s="306">
        <f>=L172*L173/(1+L173)</f>
        <v>0</v>
      </c>
      <c r="M174" s="306">
        <f>=M172*M173/(1+M173)</f>
        <v>0</v>
      </c>
      <c r="N174" s="306">
        <f>=N172*N173/(1+N173)</f>
        <v>0</v>
      </c>
      <c r="O174" s="306">
        <f>=O172*O173/(1+O173)</f>
        <v>0</v>
      </c>
      <c r="P174" s="306">
        <f>=P172*P173/(1+P173)</f>
        <v>0</v>
      </c>
      <c r="Q174" s="306">
        <f>=Q172*Q173/(1+Q173)</f>
        <v>0</v>
      </c>
      <c r="R174" s="306">
        <f>=R172*R173/(1+R173)</f>
        <v>0</v>
      </c>
      <c r="S174" s="306">
        <f>=S172*S173/(1+S173)</f>
        <v>0</v>
      </c>
      <c r="T174" s="306">
        <f>=T172*T173/(1+T173)</f>
        <v>0</v>
      </c>
      <c r="U174" s="306">
        <f>=U172*U173/(1+U173)</f>
        <v>0</v>
      </c>
      <c r="V174" s="306">
        <f>=V172*V173/(1+V173)</f>
        <v>0</v>
      </c>
      <c r="W174" s="306">
        <f>=W172*W173/(1+W173)</f>
        <v>0</v>
      </c>
      <c r="X174" s="306">
        <f>=X172*X173/(1+X173)</f>
        <v>0</v>
      </c>
      <c r="Y174" s="306">
        <f>=Y172*Y173/(1+Y173)</f>
        <v>0</v>
      </c>
      <c r="Z174" s="306">
        <f>=Z172*Z173/(1+Z173)</f>
        <v>0</v>
      </c>
    </row>
    <row r="175" spans="1:26" ht="12" customHeight="true">
      <c r="A175" s="314" t="s"/>
      <c r="B175" s="334" t="s">
        <v>683</v>
      </c>
      <c r="C175" s="310" t="s"/>
      <c r="D175" s="310" t="s"/>
      <c r="E175" s="336">
        <f>=$C175</f>
        <v>0</v>
      </c>
      <c r="F175" s="336">
        <f>=$C175</f>
        <v>0</v>
      </c>
      <c r="G175" s="336">
        <f>=$C175</f>
        <v>0</v>
      </c>
      <c r="H175" s="336">
        <f>=$C175</f>
        <v>0</v>
      </c>
      <c r="I175" s="336">
        <f>=$C175</f>
        <v>0</v>
      </c>
      <c r="J175" s="336">
        <f>=$C175</f>
        <v>0</v>
      </c>
      <c r="K175" s="336">
        <f>=$C175</f>
        <v>0</v>
      </c>
      <c r="L175" s="336">
        <f>=$C175</f>
        <v>0</v>
      </c>
      <c r="M175" s="336">
        <f>=$C175</f>
        <v>0</v>
      </c>
      <c r="N175" s="336">
        <f>=$C175</f>
        <v>0</v>
      </c>
      <c r="O175" s="336">
        <f>=$C175</f>
        <v>0</v>
      </c>
      <c r="P175" s="336">
        <f>=$C175</f>
        <v>0</v>
      </c>
      <c r="Q175" s="336">
        <f>=$C175</f>
        <v>0</v>
      </c>
      <c r="R175" s="336">
        <f>=$C175</f>
        <v>0</v>
      </c>
      <c r="S175" s="336">
        <f>=$C175</f>
        <v>0</v>
      </c>
      <c r="T175" s="336">
        <f>=$C175</f>
        <v>0</v>
      </c>
      <c r="U175" s="336">
        <f>=$C175</f>
        <v>0</v>
      </c>
      <c r="V175" s="336">
        <f>=$C175</f>
        <v>0</v>
      </c>
      <c r="W175" s="336">
        <f>=$C175</f>
        <v>0</v>
      </c>
      <c r="X175" s="336">
        <f>=$C175</f>
        <v>0</v>
      </c>
      <c r="Y175" s="336">
        <f>=$C175</f>
        <v>0</v>
      </c>
      <c r="Z175" s="336">
        <f>=$C175</f>
        <v>0</v>
      </c>
    </row>
    <row r="176" spans="1:26" ht="12" customHeight="true">
      <c r="A176" s="314" t="s"/>
      <c r="B176" s="334" t="s">
        <v>684</v>
      </c>
      <c r="C176" s="337" t="s"/>
      <c r="D176" s="306">
        <f>=SUM(E176:Z176)</f>
        <v>0</v>
      </c>
      <c r="E176" s="306">
        <f>=E172*E175</f>
        <v>0</v>
      </c>
      <c r="F176" s="306">
        <f>=F172*F175</f>
        <v>0</v>
      </c>
      <c r="G176" s="306">
        <f>=G172*G175</f>
        <v>0</v>
      </c>
      <c r="H176" s="306">
        <f>=H172*H175</f>
        <v>0</v>
      </c>
      <c r="I176" s="306">
        <f>=I172*I175</f>
        <v>0</v>
      </c>
      <c r="J176" s="306">
        <f>=J172*J175</f>
        <v>0</v>
      </c>
      <c r="K176" s="306">
        <f>=K172*K175</f>
        <v>0</v>
      </c>
      <c r="L176" s="306">
        <f>=L172*L175</f>
        <v>0</v>
      </c>
      <c r="M176" s="306">
        <f>=M172*M175</f>
        <v>0</v>
      </c>
      <c r="N176" s="306">
        <f>=N172*N175</f>
        <v>0</v>
      </c>
      <c r="O176" s="306">
        <f>=O172*O175</f>
        <v>0</v>
      </c>
      <c r="P176" s="306">
        <f>=P172*P175</f>
        <v>0</v>
      </c>
      <c r="Q176" s="306">
        <f>=Q172*Q175</f>
        <v>0</v>
      </c>
      <c r="R176" s="306">
        <f>=R172*R175</f>
        <v>0</v>
      </c>
      <c r="S176" s="306">
        <f>=S172*S175</f>
        <v>0</v>
      </c>
      <c r="T176" s="306">
        <f>=T172*T175</f>
        <v>0</v>
      </c>
      <c r="U176" s="306">
        <f>=U172*U175</f>
        <v>0</v>
      </c>
      <c r="V176" s="306">
        <f>=V172*V175</f>
        <v>0</v>
      </c>
      <c r="W176" s="306">
        <f>=W172*W175</f>
        <v>0</v>
      </c>
      <c r="X176" s="306">
        <f>=X172*X175</f>
        <v>0</v>
      </c>
      <c r="Y176" s="306">
        <f>=Y172*Y175</f>
        <v>0</v>
      </c>
      <c r="Z176" s="306">
        <f>=Z172*Z175</f>
        <v>0</v>
      </c>
    </row>
    <row r="177" spans="4:26" ht="12" customHeight="true">
      <c r="D177" s="346" t="s"/>
      <c r="E177" s="346" t="s"/>
      <c r="F177" s="346" t="s"/>
      <c r="G177" s="346" t="s"/>
      <c r="H177" s="346" t="s"/>
      <c r="I177" s="346" t="s"/>
      <c r="J177" s="346" t="s"/>
      <c r="K177" s="346" t="s"/>
      <c r="L177" s="346" t="s"/>
      <c r="M177" s="346" t="s"/>
      <c r="N177" s="346" t="s"/>
      <c r="O177" s="346" t="s"/>
      <c r="P177" s="346" t="s"/>
      <c r="Q177" s="346" t="s"/>
      <c r="R177" s="346" t="s"/>
      <c r="S177" s="346" t="s"/>
      <c r="T177" s="346" t="s"/>
      <c r="U177" s="346" t="s"/>
      <c r="V177" s="346" t="s"/>
      <c r="W177" s="346" t="s"/>
      <c r="X177" s="346" t="s"/>
      <c r="Y177" s="346" t="s"/>
      <c r="Z177" s="346" t="s"/>
    </row>
    <row r="178" spans="1:26" ht="12" customHeight="true">
      <c r="A178" s="188" t="s">
        <v>689</v>
      </c>
      <c r="D178" s="346" t="s"/>
      <c r="E178" s="346" t="s"/>
      <c r="F178" s="346" t="s"/>
      <c r="G178" s="346" t="s"/>
      <c r="H178" s="346" t="s"/>
      <c r="I178" s="346" t="s"/>
      <c r="J178" s="346" t="s"/>
      <c r="K178" s="346" t="s"/>
      <c r="L178" s="346" t="s"/>
      <c r="M178" s="346" t="s"/>
      <c r="N178" s="346" t="s"/>
      <c r="O178" s="346" t="s"/>
      <c r="P178" s="346" t="s"/>
      <c r="Q178" s="346" t="s"/>
      <c r="R178" s="346" t="s"/>
      <c r="S178" s="346" t="s"/>
      <c r="T178" s="346" t="s"/>
      <c r="U178" s="346" t="s"/>
      <c r="V178" s="346" t="s"/>
      <c r="W178" s="346" t="s"/>
      <c r="X178" s="346" t="s"/>
      <c r="Y178" s="346" t="s"/>
      <c r="Z178" s="346" t="s"/>
    </row>
    <row r="179" spans="1:26" ht="12" customHeight="true">
      <c r="A179" s="188" t="s">
        <v>690</v>
      </c>
      <c r="D179" s="346" t="s"/>
      <c r="E179" s="346" t="s"/>
      <c r="F179" s="346" t="s"/>
      <c r="G179" s="346" t="s"/>
      <c r="H179" s="346" t="s"/>
      <c r="I179" s="346" t="s"/>
      <c r="J179" s="346" t="s"/>
      <c r="K179" s="346" t="s"/>
      <c r="L179" s="346" t="s"/>
      <c r="M179" s="346" t="s"/>
      <c r="N179" s="346" t="s"/>
      <c r="O179" s="346" t="s"/>
      <c r="P179" s="346" t="s"/>
      <c r="Q179" s="346" t="s"/>
      <c r="R179" s="346" t="s"/>
      <c r="S179" s="346" t="s"/>
      <c r="T179" s="346" t="s"/>
      <c r="U179" s="346" t="s"/>
      <c r="V179" s="346" t="s"/>
      <c r="W179" s="346" t="s"/>
      <c r="X179" s="346" t="s"/>
      <c r="Y179" s="346" t="s"/>
      <c r="Z179" s="346" t="s"/>
    </row>
    <row r="180" spans="1:26" ht="12" customHeight="true">
      <c r="A180" s="188" t="s">
        <v>691</v>
      </c>
      <c r="D180" s="346" t="s"/>
      <c r="E180" s="346" t="s"/>
      <c r="F180" s="346" t="s"/>
      <c r="G180" s="346" t="s"/>
      <c r="H180" s="346" t="s"/>
      <c r="I180" s="346" t="s"/>
      <c r="J180" s="346" t="s"/>
      <c r="K180" s="346" t="s"/>
      <c r="L180" s="346" t="s"/>
      <c r="M180" s="346" t="s"/>
      <c r="N180" s="346" t="s"/>
      <c r="O180" s="346" t="s"/>
      <c r="P180" s="346" t="s"/>
      <c r="Q180" s="346" t="s"/>
      <c r="R180" s="346" t="s"/>
      <c r="S180" s="346" t="s"/>
      <c r="T180" s="346" t="s"/>
      <c r="U180" s="346" t="s"/>
      <c r="V180" s="346" t="s"/>
      <c r="W180" s="346" t="s"/>
      <c r="X180" s="346" t="s"/>
      <c r="Y180" s="346" t="s"/>
      <c r="Z180" s="346" t="s"/>
    </row>
    <row r="181" spans="4:26" ht="12" customHeight="true">
      <c r="D181" s="346" t="s"/>
      <c r="E181" s="346" t="s"/>
      <c r="F181" s="346" t="s"/>
      <c r="G181" s="346" t="s"/>
      <c r="H181" s="346" t="s"/>
      <c r="I181" s="346" t="s"/>
      <c r="J181" s="346" t="s"/>
      <c r="K181" s="346" t="s"/>
      <c r="L181" s="346" t="s"/>
      <c r="M181" s="346" t="s"/>
      <c r="N181" s="346" t="s"/>
      <c r="O181" s="346" t="s"/>
      <c r="P181" s="346" t="s"/>
      <c r="Q181" s="346" t="s"/>
      <c r="R181" s="346" t="s"/>
      <c r="S181" s="346" t="s"/>
      <c r="T181" s="346" t="s"/>
      <c r="U181" s="346" t="s"/>
      <c r="V181" s="346" t="s"/>
      <c r="W181" s="346" t="s"/>
      <c r="X181" s="346" t="s"/>
      <c r="Y181" s="346" t="s"/>
      <c r="Z181" s="346" t="s"/>
    </row>
    <row r="182" spans="4:26" ht="12" customHeight="true">
      <c r="D182" s="346" t="s"/>
      <c r="E182" s="346" t="s"/>
      <c r="F182" s="346" t="s"/>
      <c r="G182" s="346" t="s"/>
      <c r="H182" s="346" t="s"/>
      <c r="I182" s="346" t="s"/>
      <c r="J182" s="346" t="s"/>
      <c r="K182" s="346" t="s"/>
      <c r="L182" s="346" t="s"/>
      <c r="M182" s="346" t="s"/>
      <c r="N182" s="346" t="s"/>
      <c r="O182" s="346" t="s"/>
      <c r="P182" s="346" t="s"/>
      <c r="Q182" s="346" t="s"/>
      <c r="R182" s="346" t="s"/>
      <c r="S182" s="346" t="s"/>
      <c r="T182" s="346" t="s"/>
      <c r="U182" s="346" t="s"/>
      <c r="V182" s="346" t="s"/>
      <c r="W182" s="346" t="s"/>
      <c r="X182" s="346" t="s"/>
      <c r="Y182" s="346" t="s"/>
      <c r="Z182" s="346" t="s"/>
    </row>
  </sheetData>
  <sheetProtection/>
  <mergeCells count="8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30:C30"/>
    <mergeCell ref="B32:C32"/>
    <mergeCell ref="B37:C37"/>
    <mergeCell ref="B38:C38"/>
    <mergeCell ref="B40:C40"/>
    <mergeCell ref="B42:C42"/>
    <mergeCell ref="B47:C47"/>
    <mergeCell ref="B48:C48"/>
    <mergeCell ref="B50:C50"/>
    <mergeCell ref="B52:C52"/>
    <mergeCell ref="B57:C57"/>
    <mergeCell ref="B58:C58"/>
    <mergeCell ref="B60:C60"/>
    <mergeCell ref="B62:C62"/>
    <mergeCell ref="B67:C67"/>
    <mergeCell ref="B68:C68"/>
    <mergeCell ref="B70:C70"/>
    <mergeCell ref="B72:C72"/>
    <mergeCell ref="B77:C77"/>
    <mergeCell ref="B78:C78"/>
    <mergeCell ref="B80:C80"/>
    <mergeCell ref="B82:C82"/>
    <mergeCell ref="B87:C87"/>
    <mergeCell ref="B88:C88"/>
    <mergeCell ref="B90:C90"/>
    <mergeCell ref="B92:C92"/>
    <mergeCell ref="B97:C97"/>
    <mergeCell ref="B98:C98"/>
    <mergeCell ref="B100:C100"/>
    <mergeCell ref="B102:C102"/>
    <mergeCell ref="B107:C107"/>
    <mergeCell ref="B108:C108"/>
    <mergeCell ref="B110:C110"/>
    <mergeCell ref="B112:C112"/>
    <mergeCell ref="B117:C117"/>
    <mergeCell ref="B118:C118"/>
    <mergeCell ref="B120:C120"/>
    <mergeCell ref="B122:C122"/>
    <mergeCell ref="B127:C127"/>
    <mergeCell ref="B128:C128"/>
    <mergeCell ref="B130:C130"/>
    <mergeCell ref="B132:C132"/>
    <mergeCell ref="B137:C137"/>
    <mergeCell ref="B138:C138"/>
    <mergeCell ref="B140:C140"/>
    <mergeCell ref="B142:C142"/>
    <mergeCell ref="B147:C147"/>
    <mergeCell ref="B148:C148"/>
    <mergeCell ref="B150:C150"/>
    <mergeCell ref="B152:C152"/>
    <mergeCell ref="B157:C157"/>
    <mergeCell ref="B158:C158"/>
    <mergeCell ref="B160:C160"/>
    <mergeCell ref="B162:C162"/>
    <mergeCell ref="B167:C167"/>
    <mergeCell ref="B168:C168"/>
    <mergeCell ref="B170:C170"/>
    <mergeCell ref="B172:C172"/>
    <mergeCell ref="A3:A4"/>
    <mergeCell ref="D3:D4"/>
    <mergeCell ref="B3:C4"/>
  </mergeCells>
  <dataValidations>
    <dataValidation type="list" operator="between" allowBlank="true" showInputMessage="true" showErrorMessage="true" sqref="D28">
      <formula1>"本币,美元,其他外币"</formula1>
    </dataValidation>
    <dataValidation type="list" operator="between" allowBlank="true" showInputMessage="true" showErrorMessage="true" sqref="D38">
      <formula1>"本币,美元,其他外币"</formula1>
    </dataValidation>
    <dataValidation type="list" operator="between" allowBlank="true" showInputMessage="true" showErrorMessage="true" sqref="D48">
      <formula1>"本币,美元,其他外币"</formula1>
    </dataValidation>
    <dataValidation type="list" operator="between" allowBlank="true" showInputMessage="true" showErrorMessage="true" sqref="D58">
      <formula1>"本币,美元,其他外币"</formula1>
    </dataValidation>
    <dataValidation type="list" operator="between" allowBlank="true" showInputMessage="true" showErrorMessage="true" sqref="D68">
      <formula1>"本币,美元,其他外币"</formula1>
    </dataValidation>
    <dataValidation type="list" operator="between" allowBlank="true" showInputMessage="true" showErrorMessage="true" sqref="D78">
      <formula1>"本币,美元,其他外币"</formula1>
    </dataValidation>
    <dataValidation type="list" operator="between" allowBlank="true" showInputMessage="true" showErrorMessage="true" sqref="D88">
      <formula1>"本币,美元,其他外币"</formula1>
    </dataValidation>
    <dataValidation type="list" operator="between" allowBlank="true" showInputMessage="true" showErrorMessage="true" sqref="D98">
      <formula1>"本币,美元,其他外币"</formula1>
    </dataValidation>
    <dataValidation type="list" operator="between" allowBlank="true" showInputMessage="true" showErrorMessage="true" sqref="D108">
      <formula1>"本币,美元,其他外币"</formula1>
    </dataValidation>
    <dataValidation type="list" operator="between" allowBlank="true" showInputMessage="true" showErrorMessage="true" sqref="D118">
      <formula1>"本币,美元,其他外币"</formula1>
    </dataValidation>
    <dataValidation type="list" operator="between" allowBlank="true" showInputMessage="true" showErrorMessage="true" sqref="D128">
      <formula1>"本币,美元,其他外币"</formula1>
    </dataValidation>
    <dataValidation type="list" operator="between" allowBlank="true" showInputMessage="true" showErrorMessage="true" sqref="D138">
      <formula1>"本币,美元,其他外币"</formula1>
    </dataValidation>
    <dataValidation type="list" operator="between" allowBlank="true" showInputMessage="true" showErrorMessage="true" sqref="D148">
      <formula1>"本币,美元,其他外币"</formula1>
    </dataValidation>
    <dataValidation type="list" operator="between" allowBlank="true" showInputMessage="true" showErrorMessage="true" sqref="D158">
      <formula1>"本币,美元,其他外币"</formula1>
    </dataValidation>
    <dataValidation type="list" operator="between" allowBlank="true" showInputMessage="true" showErrorMessage="true" sqref="D168">
      <formula1>"本币,美元,其他外币"</formula1>
    </dataValidation>
  </dataValidations>
  <printOptions horizontalCentered="true"/>
  <pageMargins left="0.748031" right="0.748031" top="0.984252" bottom="0.984252" header="0.511811" footer="0.511811"/>
  <pageSetup paperSize="9" orientation="landscape" blackAndWhite="true"/>
  <headerFooter alignWithMargins="false"/>
  <legacyDrawing r:id="rId0"/>
</worksheet>
</file>

<file path=xl/worksheets/sheet17.xml><?xml version="1.0" encoding="utf-8"?>
<worksheet xmlns:r="http://schemas.openxmlformats.org/officeDocument/2006/relationships" xmlns="http://schemas.openxmlformats.org/spreadsheetml/2006/main">
  <sheetPr/>
  <dimension ref="AA29"/>
  <sheetViews>
    <sheetView showGridLines="false" showZeros="false" showOutlineSymbols="false" topLeftCell="A19" workbookViewId="0"/>
  </sheetViews>
  <sheetFormatPr defaultColWidth="9" defaultRowHeight="11.25"/>
  <cols>
    <col min="1" max="1" width="6.625" style="707"/>
    <col min="2" max="2" width="25.625" style="707"/>
    <col min="3" max="3" width="29.5" style="707"/>
    <col min="4" max="4" width="12.625" style="707"/>
    <col min="5" max="26" width="9" style="707"/>
  </cols>
  <sheetData>
    <row r="1" spans="1:6" ht="15" customHeight="true">
      <c r="A1" s="689" t="s">
        <v>3385</v>
      </c>
      <c r="B1" s="690" t="s"/>
      <c r="C1" s="690" t="s"/>
      <c r="D1" s="690" t="s"/>
      <c r="E1" s="691" t="s"/>
      <c r="F1" s="691" t="s"/>
    </row>
    <row r="2" spans="1:4" ht="15" customHeight="true">
      <c r="A2" s="692" t="s">
        <v>521</v>
      </c>
      <c r="B2" s="692" t="s"/>
      <c r="C2" s="692" t="s"/>
      <c r="D2" s="692" t="s"/>
    </row>
    <row r="3" spans="1:4" ht="15" customHeight="true">
      <c r="A3" s="250" t="s">
        <v>525</v>
      </c>
      <c r="B3" s="251" t="s">
        <v>572</v>
      </c>
      <c r="C3" s="251" t="s">
        <v>573</v>
      </c>
      <c r="D3" s="251" t="s">
        <v>574</v>
      </c>
    </row>
    <row r="4" spans="1:4" ht="15" customHeight="true">
      <c r="A4" s="251" t="s">
        <v>442</v>
      </c>
      <c r="B4" s="250" t="s">
        <v>538</v>
      </c>
      <c r="C4" s="250" t="s"/>
      <c r="D4" s="251" t="s"/>
    </row>
    <row r="5" spans="1:4" ht="15" customHeight="true">
      <c r="A5" s="240">
        <v>1</v>
      </c>
      <c r="B5" s="250" t="s">
        <v>539</v>
      </c>
      <c r="C5" s="254" t="s">
        <v>1508</v>
      </c>
      <c r="D5" s="254" t="s"/>
    </row>
    <row r="6" spans="1:4" ht="15" customHeight="true">
      <c r="A6" s="240">
        <v>2</v>
      </c>
      <c r="B6" s="250" t="s">
        <v>540</v>
      </c>
      <c r="C6" s="693">
        <v>6</v>
      </c>
      <c r="D6" s="251" t="s">
        <v>576</v>
      </c>
    </row>
    <row r="7" spans="1:5" ht="15" customHeight="true">
      <c r="A7" s="240">
        <v>3</v>
      </c>
      <c r="B7" s="262" t="s">
        <v>541</v>
      </c>
      <c r="C7" s="257">
        <f>=评估表3投资计划与资金筹措表!E15</f>
        <v>0</v>
      </c>
      <c r="D7" s="256" t="s">
        <v>577</v>
      </c>
      <c r="E7" s="188" t="s">
        <v>592</v>
      </c>
    </row>
    <row r="8" spans="1:5" ht="15" customHeight="true">
      <c r="A8" s="240">
        <v>4</v>
      </c>
      <c r="B8" s="262" t="s">
        <v>209</v>
      </c>
      <c r="C8" s="258">
        <f>=评估表1固定资产投资估算表!G43</f>
        <v>8767.59401589645</v>
      </c>
      <c r="D8" s="256" t="s">
        <v>577</v>
      </c>
      <c r="E8" s="188" t="s">
        <v>447</v>
      </c>
    </row>
    <row r="9" spans="1:5" ht="15" customHeight="true">
      <c r="A9" s="240">
        <v>5</v>
      </c>
      <c r="B9" s="262" t="s">
        <v>542</v>
      </c>
      <c r="C9" s="258">
        <f>=辅助表6.2全部经济评价参数一览表!C9</f>
        <v>1178.98507001364</v>
      </c>
      <c r="D9" s="256" t="s">
        <v>577</v>
      </c>
      <c r="E9" s="188" t="s">
        <v>1509</v>
      </c>
    </row>
    <row r="10" spans="1:5" ht="15" customHeight="true">
      <c r="A10" s="240">
        <v>6</v>
      </c>
      <c r="B10" s="262" t="s">
        <v>543</v>
      </c>
      <c r="C10" s="258">
        <f>=辅助表6.2全部经济评价参数一览表!C10</f>
        <v>901.111488914977</v>
      </c>
      <c r="D10" s="256" t="s">
        <v>577</v>
      </c>
      <c r="E10" s="188" t="s">
        <v>1509</v>
      </c>
    </row>
    <row r="11" spans="1:5" ht="15" customHeight="true">
      <c r="A11" s="240">
        <v>7</v>
      </c>
      <c r="B11" s="262" t="s">
        <v>544</v>
      </c>
      <c r="C11" s="258">
        <f>=辅助表6.2全部经济评价参数一览表!C11</f>
        <v>127.229500936245</v>
      </c>
      <c r="D11" s="256" t="s">
        <v>577</v>
      </c>
      <c r="E11" s="188" t="s">
        <v>1509</v>
      </c>
    </row>
    <row r="12" spans="1:5" ht="15" customHeight="true">
      <c r="A12" s="240">
        <v>8</v>
      </c>
      <c r="B12" s="262" t="s">
        <v>545</v>
      </c>
      <c r="C12" s="258">
        <f>=辅助表6.2全部经济评价参数一览表!C12</f>
        <v>50.597195234291</v>
      </c>
      <c r="D12" s="256" t="s">
        <v>577</v>
      </c>
      <c r="E12" s="188" t="s">
        <v>1509</v>
      </c>
    </row>
    <row r="13" spans="1:5" ht="15" customHeight="true">
      <c r="A13" s="240">
        <v>9</v>
      </c>
      <c r="B13" s="262" t="s">
        <v>546</v>
      </c>
      <c r="C13" s="258">
        <f>=辅助表6.2全部经济评价参数一览表!C13</f>
        <v>227.276385864372</v>
      </c>
      <c r="D13" s="256" t="s">
        <v>577</v>
      </c>
      <c r="E13" s="188" t="s">
        <v>1509</v>
      </c>
    </row>
    <row r="14" spans="1:5" ht="15" customHeight="true">
      <c r="A14" s="240">
        <v>10</v>
      </c>
      <c r="B14" s="262" t="s">
        <v>547</v>
      </c>
      <c r="C14" s="258">
        <f>=C12+C13</f>
        <v>277.873581098663</v>
      </c>
      <c r="D14" s="256" t="s">
        <v>577</v>
      </c>
      <c r="E14" s="188" t="s">
        <v>583</v>
      </c>
    </row>
    <row r="15" spans="1:5" ht="15" customHeight="true">
      <c r="A15" s="240">
        <v>11</v>
      </c>
      <c r="B15" s="262" t="s">
        <v>548</v>
      </c>
      <c r="C15" s="258">
        <f>=辅助表6.2全部经济评价参数一览表!C15</f>
        <v>109.650324914062</v>
      </c>
      <c r="D15" s="256" t="s">
        <v>577</v>
      </c>
      <c r="E15" s="188" t="s">
        <v>1509</v>
      </c>
    </row>
    <row r="16" spans="1:5" ht="15" customHeight="true">
      <c r="A16" s="251" t="s">
        <v>460</v>
      </c>
      <c r="B16" s="262" t="s">
        <v>550</v>
      </c>
      <c r="C16" s="262" t="s"/>
      <c r="D16" s="256" t="s"/>
      <c r="E16" s="188" t="s"/>
    </row>
    <row r="17" spans="1:5" ht="15" customHeight="true">
      <c r="A17" s="240">
        <v>1</v>
      </c>
      <c r="B17" s="262" t="s">
        <v>551</v>
      </c>
      <c r="C17" s="694">
        <f>=辅助表1评估项目基础数据表!$F$15</f>
        <v>0.05</v>
      </c>
      <c r="D17" s="695" t="s"/>
      <c r="E17" s="188" t="s">
        <v>585</v>
      </c>
    </row>
    <row r="18" spans="1:5" ht="15" customHeight="true">
      <c r="A18" s="240">
        <v>2</v>
      </c>
      <c r="B18" s="262" t="s">
        <v>552</v>
      </c>
      <c r="C18" s="259">
        <f>=评估表7项目现金流量表!C31</f>
        <v>0.067638846121507</v>
      </c>
      <c r="D18" s="256" t="s"/>
      <c r="E18" s="188" t="s">
        <v>586</v>
      </c>
    </row>
    <row r="19" spans="1:5" ht="15" customHeight="true">
      <c r="A19" s="240">
        <v>3</v>
      </c>
      <c r="B19" s="262" t="s">
        <v>553</v>
      </c>
      <c r="C19" s="257">
        <f>=评估表7项目现金流量表!G31</f>
        <v>980.360982032412</v>
      </c>
      <c r="D19" s="256" t="s">
        <v>577</v>
      </c>
      <c r="E19" s="188" t="s">
        <v>586</v>
      </c>
    </row>
    <row r="20" spans="1:5" ht="15" customHeight="true">
      <c r="A20" s="240">
        <v>4</v>
      </c>
      <c r="B20" s="262" t="s">
        <v>554</v>
      </c>
      <c r="C20" s="259">
        <f>=评估表7项目现金流量表!C32</f>
        <v>0.083561597467849</v>
      </c>
      <c r="D20" s="256" t="s"/>
      <c r="E20" s="188" t="s">
        <v>586</v>
      </c>
    </row>
    <row r="21" spans="1:6" ht="15" customHeight="true">
      <c r="A21" s="240">
        <v>5</v>
      </c>
      <c r="B21" s="262" t="s">
        <v>555</v>
      </c>
      <c r="C21" s="257">
        <f>=评估表7项目现金流量表!G32</f>
        <v>1902.45090752453</v>
      </c>
      <c r="D21" s="256" t="s">
        <v>577</v>
      </c>
      <c r="E21" s="188" t="s">
        <v>586</v>
      </c>
      <c r="F21" s="160" t="s"/>
    </row>
    <row r="22" spans="1:5" ht="15" customHeight="true">
      <c r="A22" s="240">
        <v>6</v>
      </c>
      <c r="B22" s="262" t="s">
        <v>556</v>
      </c>
      <c r="C22" s="261">
        <f>=C13/(C7+C8)</f>
        <v>0.025922320930041</v>
      </c>
      <c r="D22" s="256" t="s"/>
      <c r="E22" s="188" t="s">
        <v>587</v>
      </c>
    </row>
    <row r="23" spans="1:5" ht="15" customHeight="true">
      <c r="A23" s="240">
        <v>7</v>
      </c>
      <c r="B23" s="262" t="s">
        <v>557</v>
      </c>
      <c r="C23" s="261">
        <f>=C13/C9</f>
        <v>0.192772912605028</v>
      </c>
      <c r="D23" s="256" t="s"/>
      <c r="E23" s="188" t="s">
        <v>588</v>
      </c>
    </row>
    <row r="24" spans="1:5" ht="15" customHeight="true">
      <c r="A24" s="240">
        <v>8</v>
      </c>
      <c r="B24" s="262" t="s">
        <v>558</v>
      </c>
      <c r="C24" s="258">
        <f>=评估表6项目贷款偿还期计算表!E132</f>
        <v>10.9436857937774</v>
      </c>
      <c r="D24" s="256" t="s">
        <v>589</v>
      </c>
      <c r="E24" s="188" t="s">
        <v>590</v>
      </c>
    </row>
    <row r="25" spans="1:5" ht="15" customHeight="true">
      <c r="A25" s="240" t="s"/>
      <c r="B25" s="696" t="s">
        <v>559</v>
      </c>
      <c r="C25" s="263">
        <f>=ROUNDUP(C24*12,0)</f>
        <v>132</v>
      </c>
      <c r="D25" s="697" t="s">
        <v>591</v>
      </c>
      <c r="E25" s="188" t="s"/>
    </row>
    <row r="26" spans="1:5" ht="15" customHeight="true">
      <c r="A26" s="240">
        <v>9</v>
      </c>
      <c r="B26" s="262" t="s">
        <v>560</v>
      </c>
      <c r="C26" s="258">
        <f>=评估表6项目贷款偿还期计算表!I132</f>
        <v>10.9436857937774</v>
      </c>
      <c r="D26" s="256" t="s">
        <v>589</v>
      </c>
      <c r="E26" s="188" t="s">
        <v>590</v>
      </c>
    </row>
    <row r="27" spans="1:4" ht="15" customHeight="true">
      <c r="A27" s="240" t="s"/>
      <c r="B27" s="696" t="s">
        <v>559</v>
      </c>
      <c r="C27" s="263">
        <f>=ROUNDUP(C26*12,0)</f>
        <v>132</v>
      </c>
      <c r="D27" s="697" t="s">
        <v>591</v>
      </c>
    </row>
    <row r="28" spans="1:4" ht="15" customHeight="true">
      <c r="A28" s="251" t="s">
        <v>469</v>
      </c>
      <c r="B28" s="250" t="s">
        <v>564</v>
      </c>
      <c r="C28" s="250" t="s"/>
      <c r="D28" s="251" t="s"/>
    </row>
    <row r="29" spans="1:4" ht="15" customHeight="true">
      <c r="A29" s="240">
        <v>1</v>
      </c>
      <c r="B29" s="250" t="s">
        <v>499</v>
      </c>
      <c r="C29" s="261">
        <f>=评估表4总成本费用表!C57/(评估表5损益及利润分配表!C11-评估表5损益及利润分配表!C12-评估表5损益及利润分配表!C13-评估表4总成本费用表!C58)</f>
        <v>0.778284416447051</v>
      </c>
      <c r="D29" s="251" t="s"/>
    </row>
  </sheetData>
  <sheetProtection/>
  <mergeCells count="1">
    <mergeCell ref="B2:D2"/>
  </mergeCells>
  <printOptions horizontalCentered="true"/>
  <pageMargins left="0.748031" right="0.748031" top="0.984252" bottom="0.984252" header="0.511811" footer="0.511811"/>
  <pageSetup paperSize="9" scale="125" orientation="portrait" blackAndWhite="true"/>
  <headerFooter alignWithMargins="false"/>
  <legacyDrawing r:id="rId0"/>
</worksheet>
</file>

<file path=xl/worksheets/sheet18.xml><?xml version="1.0" encoding="utf-8"?>
<worksheet xmlns:r="http://schemas.openxmlformats.org/officeDocument/2006/relationships" xmlns="http://schemas.openxmlformats.org/spreadsheetml/2006/main">
  <sheetPr/>
  <dimension ref="AA53"/>
  <sheetViews>
    <sheetView showGridLines="false" showZeros="false" topLeftCell="A1" workbookViewId="0"/>
  </sheetViews>
  <sheetFormatPr defaultColWidth="9" defaultRowHeight="15" customHeight="true"/>
  <cols>
    <col min="1" max="1" width="6.625" style="710"/>
    <col min="2" max="2" width="25.625" style="710"/>
    <col min="3" max="3" width="29.5" style="710"/>
    <col min="4" max="4" width="12.625" style="710"/>
    <col min="5" max="26" width="9" style="710"/>
  </cols>
  <sheetData>
    <row r="1" spans="1:4" ht="15" customHeight="true">
      <c r="A1" s="249" t="s">
        <v>571</v>
      </c>
      <c r="B1" s="41" t="s"/>
      <c r="C1" s="41" t="s"/>
      <c r="D1" s="41" t="s"/>
    </row>
    <row r="2" spans="1:1" ht="15" customHeight="true">
      <c r="A2" s="160" t="s">
        <v>522</v>
      </c>
    </row>
    <row r="3" spans="1:4" ht="15" customHeight="true">
      <c r="A3" s="250" t="s">
        <v>525</v>
      </c>
      <c r="B3" s="251" t="s">
        <v>572</v>
      </c>
      <c r="C3" s="251" t="s">
        <v>573</v>
      </c>
      <c r="D3" s="251" t="s">
        <v>574</v>
      </c>
    </row>
    <row r="4" spans="1:4" ht="15" customHeight="true">
      <c r="A4" s="251" t="s">
        <v>442</v>
      </c>
      <c r="B4" s="250" t="s">
        <v>538</v>
      </c>
      <c r="C4" s="252" t="s"/>
      <c r="D4" s="253" t="s"/>
    </row>
    <row r="5" spans="1:4" ht="15" customHeight="true">
      <c r="A5" s="240">
        <v>1</v>
      </c>
      <c r="B5" s="250" t="s">
        <v>539</v>
      </c>
      <c r="C5" s="254" t="s">
        <v>575</v>
      </c>
      <c r="D5" s="254" t="s"/>
    </row>
    <row r="6" spans="1:4" ht="15" customHeight="true">
      <c r="A6" s="240">
        <v>2</v>
      </c>
      <c r="B6" s="250" t="s">
        <v>540</v>
      </c>
      <c r="C6" s="255">
        <f>=辅助表6.1经济评估基础数据及效益指标表!C6</f>
        <v>6</v>
      </c>
      <c r="D6" s="256" t="s">
        <v>576</v>
      </c>
    </row>
    <row r="7" spans="1:4" ht="15" customHeight="true">
      <c r="A7" s="240">
        <v>3</v>
      </c>
      <c r="B7" s="250" t="s">
        <v>541</v>
      </c>
      <c r="C7" s="257">
        <f>=评估表3投资计划与资金筹措表!E15</f>
        <v>0</v>
      </c>
      <c r="D7" s="251" t="s">
        <v>577</v>
      </c>
    </row>
    <row r="8" spans="1:4" ht="15" customHeight="true">
      <c r="A8" s="240">
        <v>4</v>
      </c>
      <c r="B8" s="250" t="s">
        <v>209</v>
      </c>
      <c r="C8" s="258">
        <f>=评估表1固定资产投资估算表!G43</f>
        <v>8767.59401589645</v>
      </c>
      <c r="D8" s="251" t="s">
        <v>577</v>
      </c>
    </row>
    <row r="9" spans="1:5" ht="15" customHeight="true">
      <c r="A9" s="240">
        <v>5</v>
      </c>
      <c r="B9" s="250" t="s">
        <v>542</v>
      </c>
      <c r="C9" s="258">
        <f>=SUM(评估表5损益及利润分配表!F11:Y11)/辅助表1评估项目基础数据表!$C$5</f>
        <v>1178.98507001364</v>
      </c>
      <c r="D9" s="251" t="s">
        <v>577</v>
      </c>
      <c r="E9" s="188" t="s">
        <v>578</v>
      </c>
    </row>
    <row r="10" spans="1:5" ht="15" customHeight="true">
      <c r="A10" s="240">
        <v>6</v>
      </c>
      <c r="B10" s="250" t="s">
        <v>543</v>
      </c>
      <c r="C10" s="258">
        <f>=SUM(评估表5损益及利润分配表!F14:Y14)/辅助表1评估项目基础数据表!$C$5</f>
        <v>901.111488914977</v>
      </c>
      <c r="D10" s="251" t="s">
        <v>577</v>
      </c>
      <c r="E10" s="188" t="s">
        <v>579</v>
      </c>
    </row>
    <row r="11" spans="1:5" ht="15" customHeight="true">
      <c r="A11" s="240">
        <v>7</v>
      </c>
      <c r="B11" s="250" t="s">
        <v>544</v>
      </c>
      <c r="C11" s="258">
        <f>=SUM(评估表4总成本费用表!F56:Y56)/辅助表1评估项目基础数据表!$C$5</f>
        <v>127.229500936245</v>
      </c>
      <c r="D11" s="251" t="s">
        <v>577</v>
      </c>
      <c r="E11" s="188" t="s">
        <v>580</v>
      </c>
    </row>
    <row r="12" spans="1:5" ht="15" customHeight="true">
      <c r="A12" s="240">
        <v>8</v>
      </c>
      <c r="B12" s="250" t="s">
        <v>545</v>
      </c>
      <c r="C12" s="258">
        <f>=(SUM(评估表5损益及利润分配表!F12:Y12)+SUM(评估表5损益及利润分配表!F13:Y13))/辅助表1评估项目基础数据表!$C$5</f>
        <v>50.597195234291</v>
      </c>
      <c r="D12" s="251" t="s">
        <v>577</v>
      </c>
      <c r="E12" s="188" t="s">
        <v>581</v>
      </c>
    </row>
    <row r="13" spans="1:5" ht="15" customHeight="true">
      <c r="A13" s="240">
        <v>9</v>
      </c>
      <c r="B13" s="250" t="s">
        <v>546</v>
      </c>
      <c r="C13" s="258">
        <f>=SUM(评估表5损益及利润分配表!F16:Y16)/辅助表1评估项目基础数据表!C5</f>
        <v>227.276385864372</v>
      </c>
      <c r="D13" s="251" t="s">
        <v>577</v>
      </c>
      <c r="E13" s="188" t="s">
        <v>582</v>
      </c>
    </row>
    <row r="14" spans="1:5" ht="15" customHeight="true">
      <c r="A14" s="240">
        <v>10</v>
      </c>
      <c r="B14" s="250" t="s">
        <v>547</v>
      </c>
      <c r="C14" s="258">
        <f>=C12+C13</f>
        <v>277.873581098663</v>
      </c>
      <c r="D14" s="251" t="s">
        <v>577</v>
      </c>
      <c r="E14" s="188" t="s">
        <v>583</v>
      </c>
    </row>
    <row r="15" spans="1:5" ht="15" customHeight="true">
      <c r="A15" s="240">
        <v>11</v>
      </c>
      <c r="B15" s="250" t="s">
        <v>548</v>
      </c>
      <c r="C15" s="258">
        <f>=SUM(评估表5损益及利润分配表!F21:Y21)/辅助表1评估项目基础数据表!$C$5</f>
        <v>109.650324914062</v>
      </c>
      <c r="D15" s="251" t="s">
        <v>577</v>
      </c>
      <c r="E15" s="188" t="s">
        <v>584</v>
      </c>
    </row>
    <row r="16" spans="1:4" ht="15" customHeight="true">
      <c r="A16" s="251" t="s">
        <v>460</v>
      </c>
      <c r="B16" s="250" t="s">
        <v>550</v>
      </c>
      <c r="C16" s="252" t="s"/>
      <c r="D16" s="251" t="s"/>
    </row>
    <row r="17" spans="1:5" ht="15" customHeight="true">
      <c r="A17" s="240">
        <v>1</v>
      </c>
      <c r="B17" s="250" t="s">
        <v>551</v>
      </c>
      <c r="C17" s="259">
        <f>=辅助表1评估项目基础数据表!$F$15</f>
        <v>0.05</v>
      </c>
      <c r="D17" s="260" t="s"/>
      <c r="E17" s="188" t="s">
        <v>585</v>
      </c>
    </row>
    <row r="18" spans="1:5" ht="15" customHeight="true">
      <c r="A18" s="240">
        <v>2</v>
      </c>
      <c r="B18" s="250" t="s">
        <v>552</v>
      </c>
      <c r="C18" s="259">
        <f>=评估表7项目现金流量表!C31</f>
        <v>0.067638846121507</v>
      </c>
      <c r="D18" s="251" t="s"/>
      <c r="E18" s="188" t="s">
        <v>586</v>
      </c>
    </row>
    <row r="19" spans="1:5" ht="15" customHeight="true">
      <c r="A19" s="240">
        <v>3</v>
      </c>
      <c r="B19" s="250" t="s">
        <v>553</v>
      </c>
      <c r="C19" s="257">
        <f>=评估表7项目现金流量表!G31</f>
        <v>980.360982032412</v>
      </c>
      <c r="D19" s="251" t="s">
        <v>577</v>
      </c>
      <c r="E19" s="188" t="s">
        <v>586</v>
      </c>
    </row>
    <row r="20" spans="1:5" ht="15" customHeight="true">
      <c r="A20" s="240">
        <v>4</v>
      </c>
      <c r="B20" s="250" t="s">
        <v>554</v>
      </c>
      <c r="C20" s="259">
        <f>=评估表7项目现金流量表!C32</f>
        <v>0.083561597467849</v>
      </c>
      <c r="D20" s="251" t="s"/>
      <c r="E20" s="188" t="s">
        <v>586</v>
      </c>
    </row>
    <row r="21" spans="1:5" ht="15" customHeight="true">
      <c r="A21" s="240">
        <v>5</v>
      </c>
      <c r="B21" s="250" t="s">
        <v>555</v>
      </c>
      <c r="C21" s="257">
        <f>=评估表7项目现金流量表!G32</f>
        <v>1902.45090752453</v>
      </c>
      <c r="D21" s="251" t="s">
        <v>577</v>
      </c>
      <c r="E21" s="188" t="s">
        <v>586</v>
      </c>
    </row>
    <row r="22" spans="1:5" ht="15" customHeight="true">
      <c r="A22" s="240">
        <v>6</v>
      </c>
      <c r="B22" s="250" t="s">
        <v>556</v>
      </c>
      <c r="C22" s="261">
        <f>=C13/(C7+C8)</f>
        <v>0.025922320930041</v>
      </c>
      <c r="D22" s="251" t="s"/>
      <c r="E22" s="188" t="s">
        <v>587</v>
      </c>
    </row>
    <row r="23" spans="1:5" ht="15" customHeight="true">
      <c r="A23" s="240">
        <v>7</v>
      </c>
      <c r="B23" s="250" t="s">
        <v>557</v>
      </c>
      <c r="C23" s="261">
        <f>=C13/C9</f>
        <v>0.192772912605028</v>
      </c>
      <c r="D23" s="251" t="s"/>
      <c r="E23" s="188" t="s">
        <v>588</v>
      </c>
    </row>
    <row r="24" spans="1:5" ht="15" customHeight="true">
      <c r="A24" s="240">
        <v>8</v>
      </c>
      <c r="B24" s="262" t="s">
        <v>558</v>
      </c>
      <c r="C24" s="258">
        <f>=评估表6项目贷款偿还期计算表!E132</f>
        <v>10.9436857937774</v>
      </c>
      <c r="D24" s="256" t="s">
        <v>589</v>
      </c>
      <c r="E24" s="188" t="s">
        <v>590</v>
      </c>
    </row>
    <row r="25" spans="1:5" ht="15" customHeight="true">
      <c r="A25" s="240" t="s"/>
      <c r="B25" s="262" t="s">
        <v>559</v>
      </c>
      <c r="C25" s="263">
        <f>=ROUNDUP(C24*12,0)</f>
        <v>132</v>
      </c>
      <c r="D25" s="256" t="s">
        <v>591</v>
      </c>
      <c r="E25" s="188" t="s"/>
    </row>
    <row r="26" spans="1:5" ht="15" customHeight="true">
      <c r="A26" s="240">
        <v>9</v>
      </c>
      <c r="B26" s="262" t="s">
        <v>560</v>
      </c>
      <c r="C26" s="258">
        <f>=评估表6项目贷款偿还期计算表!I132</f>
        <v>10.9436857937774</v>
      </c>
      <c r="D26" s="256" t="s">
        <v>589</v>
      </c>
      <c r="E26" s="188" t="s">
        <v>590</v>
      </c>
    </row>
    <row r="27" spans="1:5" ht="15" customHeight="true">
      <c r="A27" s="240" t="s"/>
      <c r="B27" s="262" t="s">
        <v>559</v>
      </c>
      <c r="C27" s="263">
        <f>=ROUNDUP(C26*12,0)</f>
        <v>132</v>
      </c>
      <c r="D27" s="256" t="s">
        <v>591</v>
      </c>
      <c r="E27" s="188" t="s"/>
    </row>
    <row r="28" spans="1:5" ht="15" customHeight="true">
      <c r="A28" s="240">
        <v>10</v>
      </c>
      <c r="B28" s="262" t="s">
        <v>561</v>
      </c>
      <c r="C28" s="261">
        <f>=评估表3投资计划与资金筹措表!$E$46</f>
        <v>0.201605367754442</v>
      </c>
      <c r="D28" s="256" t="s"/>
      <c r="E28" s="188" t="s">
        <v>592</v>
      </c>
    </row>
    <row r="29" spans="1:5" ht="15" customHeight="true">
      <c r="A29" s="240">
        <v>11</v>
      </c>
      <c r="B29" s="250" t="s">
        <v>562</v>
      </c>
      <c r="C29" s="258">
        <f>=评估表7项目现金流量表!$C$33</f>
        <v>11.1375762684498</v>
      </c>
      <c r="D29" s="251" t="s">
        <v>589</v>
      </c>
      <c r="E29" s="188" t="s">
        <v>586</v>
      </c>
    </row>
    <row r="30" spans="1:4" ht="15" hidden="true" customHeight="true">
      <c r="A30" s="240" t="s"/>
      <c r="B30" s="250" t="s"/>
      <c r="C30" s="264" t="s"/>
      <c r="D30" s="251" t="s"/>
    </row>
    <row r="31" spans="1:4" ht="15" hidden="true" customHeight="true">
      <c r="A31" s="240" t="s"/>
      <c r="B31" s="250" t="s"/>
      <c r="C31" s="264" t="s"/>
      <c r="D31" s="251" t="s"/>
    </row>
    <row r="32" spans="1:4" ht="15" hidden="true" customHeight="true">
      <c r="A32" s="240" t="s"/>
      <c r="B32" s="250" t="s"/>
      <c r="C32" s="264" t="s"/>
      <c r="D32" s="251" t="s"/>
    </row>
    <row r="33" spans="1:4" ht="15" hidden="true" customHeight="true">
      <c r="A33" s="240" t="s"/>
      <c r="B33" s="250" t="s"/>
      <c r="C33" s="264" t="s"/>
      <c r="D33" s="251" t="s"/>
    </row>
    <row r="34" spans="1:4" ht="15" hidden="true" customHeight="true">
      <c r="A34" s="240" t="s"/>
      <c r="B34" s="250" t="s"/>
      <c r="C34" s="264" t="s"/>
      <c r="D34" s="251" t="s"/>
    </row>
    <row r="35" spans="1:4" ht="15" hidden="true" customHeight="true">
      <c r="A35" s="240" t="s"/>
      <c r="B35" s="250" t="s"/>
      <c r="C35" s="264" t="s"/>
      <c r="D35" s="251" t="s"/>
    </row>
    <row r="36" spans="1:4" ht="15" hidden="true" customHeight="true">
      <c r="A36" s="240" t="s"/>
      <c r="B36" s="250" t="s"/>
      <c r="C36" s="264" t="s"/>
      <c r="D36" s="251" t="s"/>
    </row>
    <row r="37" spans="1:4" ht="15" hidden="true" customHeight="true">
      <c r="A37" s="240" t="s"/>
      <c r="B37" s="250" t="s"/>
      <c r="C37" s="264" t="s"/>
      <c r="D37" s="251" t="s"/>
    </row>
    <row r="38" spans="1:4" ht="15" hidden="true" customHeight="true">
      <c r="A38" s="240" t="s"/>
      <c r="B38" s="250" t="s"/>
      <c r="C38" s="264" t="s"/>
      <c r="D38" s="251" t="s"/>
    </row>
    <row r="39" spans="1:4" ht="15" customHeight="true">
      <c r="A39" s="251" t="s">
        <v>469</v>
      </c>
      <c r="B39" s="250" t="s">
        <v>564</v>
      </c>
      <c r="C39" s="252" t="s"/>
      <c r="D39" s="251" t="s"/>
    </row>
    <row r="40" spans="1:5" ht="15" customHeight="true">
      <c r="A40" s="240">
        <v>1</v>
      </c>
      <c r="B40" s="250" t="s">
        <v>499</v>
      </c>
      <c r="C40" s="261">
        <f>=评估表4总成本费用表!C57/(评估表5损益及利润分配表!C11-评估表5损益及利润分配表!C12-评估表5损益及利润分配表!C13-评估表4总成本费用表!C58)</f>
        <v>0.778284416447051</v>
      </c>
      <c r="D40" s="251" t="s"/>
      <c r="E40" s="188" t="s"/>
    </row>
    <row r="41" spans="1:4" ht="15" customHeight="true">
      <c r="A41" s="240" t="s">
        <v>479</v>
      </c>
      <c r="B41" s="250" t="s">
        <v>566</v>
      </c>
      <c r="C41" s="265" t="s"/>
      <c r="D41" s="251" t="s"/>
    </row>
    <row r="42" spans="1:4" ht="15" customHeight="true">
      <c r="A42" s="240">
        <v>1</v>
      </c>
      <c r="B42" s="250" t="s">
        <v>567</v>
      </c>
      <c r="C42" s="261">
        <f>=评估表8项目偿债备付率计算表!$C$38</f>
        <v>1.0449718948462</v>
      </c>
      <c r="D42" s="251" t="s"/>
    </row>
    <row r="43" spans="1:4" ht="15" customHeight="true">
      <c r="A43" s="240">
        <v>2</v>
      </c>
      <c r="B43" s="250" t="s">
        <v>568</v>
      </c>
      <c r="C43" s="261">
        <f>=评估表8项目偿债备付率计算表!$C$39</f>
        <v>1.07517964771349</v>
      </c>
      <c r="D43" s="251" t="s"/>
    </row>
    <row r="44" spans="1:4" ht="15" customHeight="true">
      <c r="A44" s="240">
        <v>3</v>
      </c>
      <c r="B44" s="250" t="s">
        <v>569</v>
      </c>
      <c r="C44" s="258">
        <f>=评估表9平均债务与息税折旧摊销前盈利比率计算表!$C$33</f>
        <v>0.752769245072333</v>
      </c>
      <c r="D44" s="251" t="s"/>
    </row>
    <row r="45" spans="1:4" ht="15" customHeight="true">
      <c r="A45" s="240">
        <v>4</v>
      </c>
      <c r="B45" s="250" t="s">
        <v>570</v>
      </c>
      <c r="C45" s="258">
        <f>=评估表10债务期内的债务偿付比率计算表!$C$31</f>
        <v>1.02090474037784</v>
      </c>
      <c r="D45" s="251" t="s"/>
    </row>
    <row r="46" spans="1:4" ht="15" hidden="true" customHeight="true">
      <c r="A46" s="240" t="s"/>
      <c r="B46" s="250" t="s"/>
      <c r="C46" s="264" t="s"/>
      <c r="D46" s="251" t="s"/>
    </row>
    <row r="47" spans="1:4" ht="15" hidden="true" customHeight="true">
      <c r="A47" s="240" t="s"/>
      <c r="B47" s="250" t="s"/>
      <c r="C47" s="264" t="s"/>
      <c r="D47" s="251" t="s"/>
    </row>
    <row r="48" spans="1:4" ht="15" hidden="true" customHeight="true">
      <c r="A48" s="240" t="s"/>
      <c r="B48" s="250" t="s"/>
      <c r="C48" s="264" t="s"/>
      <c r="D48" s="251" t="s"/>
    </row>
    <row r="49" spans="1:4" ht="15" hidden="true" customHeight="true">
      <c r="A49" s="240" t="s"/>
      <c r="B49" s="250" t="s"/>
      <c r="C49" s="264" t="s"/>
      <c r="D49" s="251" t="s"/>
    </row>
    <row r="50" spans="1:4" ht="15" hidden="true" customHeight="true">
      <c r="A50" s="240" t="s"/>
      <c r="B50" s="250" t="s"/>
      <c r="C50" s="264" t="s"/>
      <c r="D50" s="251" t="s"/>
    </row>
    <row r="51" spans="1:4" ht="15" hidden="true" customHeight="true">
      <c r="A51" s="240" t="s"/>
      <c r="B51" s="250" t="s"/>
      <c r="C51" s="264" t="s"/>
      <c r="D51" s="251" t="s"/>
    </row>
    <row r="52" spans="1:4" ht="15" hidden="true" customHeight="true">
      <c r="A52" s="240" t="s"/>
      <c r="B52" s="250" t="s"/>
      <c r="C52" s="264" t="s"/>
      <c r="D52" s="251" t="s"/>
    </row>
    <row r="53" spans="1:4" ht="15" hidden="true" customHeight="true">
      <c r="A53" s="240" t="s"/>
      <c r="B53" s="250" t="s"/>
      <c r="C53" s="264" t="s"/>
      <c r="D53" s="251" t="s"/>
    </row>
  </sheetData>
  <sheetProtection/>
  <mergeCells count="1">
    <mergeCell ref="A1:D1"/>
  </mergeCells>
  <printOptions horizontalCentered="true"/>
  <pageMargins left="0.748031" right="0.748031" top="0.984252" bottom="0.984252" header="0.511811" footer="0.511811"/>
  <pageSetup paperSize="9" orientation="portrait" horizontalDpi="300" verticalDpi="300"/>
  <headerFooter alignWithMargins="false"/>
  <legacyDrawing r:id="rId0"/>
</worksheet>
</file>

<file path=xl/worksheets/sheet19.xml><?xml version="1.0" encoding="utf-8"?>
<worksheet xmlns:r="http://schemas.openxmlformats.org/officeDocument/2006/relationships" xmlns="http://schemas.openxmlformats.org/spreadsheetml/2006/main">
  <sheetPr/>
  <dimension ref="AA38"/>
  <sheetViews>
    <sheetView showGridLines="false" topLeftCell="A13" workbookViewId="0"/>
  </sheetViews>
  <sheetFormatPr defaultColWidth="9" defaultRowHeight="15.75"/>
  <cols>
    <col min="1" max="2" width="6.625" style="711"/>
    <col min="3" max="3" width="7.125" style="711"/>
    <col min="4" max="6" width="6.625" style="711"/>
    <col min="7" max="7" width="6.625" style="711"/>
    <col min="8" max="8" width="6.625" style="711"/>
    <col min="9" max="10" width="6.625" style="711"/>
    <col min="11" max="11" width="8" style="711"/>
    <col min="12" max="12" width="9" style="711"/>
    <col min="13" max="13" width="15.875" style="711"/>
    <col min="14" max="26" width="9" style="711"/>
  </cols>
  <sheetData>
    <row r="1" spans="2:11" ht="15.6">
      <c r="B1" s="202" t="s"/>
      <c r="C1" s="202" t="s"/>
      <c r="D1" s="202" t="s"/>
      <c r="E1" s="202" t="s"/>
      <c r="F1" s="202" t="s"/>
      <c r="G1" s="202" t="s"/>
      <c r="H1" s="202" t="s"/>
      <c r="I1" s="202" t="s"/>
      <c r="J1" s="202" t="s"/>
      <c r="K1" s="202" t="s"/>
    </row>
    <row r="2" spans="1:11" ht="15.6">
      <c r="A2" s="203" t="s">
        <v>492</v>
      </c>
      <c r="B2" s="202" t="s"/>
      <c r="C2" s="202" t="s"/>
      <c r="D2" s="202" t="s"/>
      <c r="E2" s="202" t="s"/>
      <c r="F2" s="202" t="s"/>
      <c r="G2" s="202" t="s"/>
      <c r="H2" s="202" t="s"/>
      <c r="I2" s="202" t="s"/>
      <c r="J2" s="202" t="s"/>
      <c r="K2" s="202" t="s"/>
    </row>
    <row r="3" spans="1:11" ht="15.6">
      <c r="A3" s="204" t="s"/>
      <c r="B3" s="204" t="s"/>
      <c r="C3" s="204" t="s"/>
      <c r="D3" s="204" t="s"/>
      <c r="E3" s="204" t="s"/>
      <c r="F3" s="204" t="s"/>
      <c r="G3" s="204" t="s"/>
      <c r="H3" s="204" t="s"/>
      <c r="I3" s="204" t="s"/>
      <c r="J3" s="204" t="s"/>
      <c r="K3" s="204" t="s"/>
    </row>
    <row r="4" spans="1:11" ht="15.6">
      <c r="A4" s="205" t="s"/>
      <c r="B4" s="206" t="s">
        <v>493</v>
      </c>
      <c r="C4" s="206" t="s"/>
      <c r="D4" s="206" t="s"/>
      <c r="E4" s="206" t="s"/>
      <c r="F4" s="206" t="s"/>
      <c r="G4" s="206" t="s">
        <v>494</v>
      </c>
      <c r="H4" s="206" t="s"/>
      <c r="I4" s="206" t="s"/>
      <c r="J4" s="206" t="s"/>
      <c r="K4" s="206" t="s"/>
    </row>
    <row r="5" spans="1:14" ht="15.6">
      <c r="A5" s="207" t="s">
        <v>495</v>
      </c>
      <c r="B5" s="208" t="s">
        <v>496</v>
      </c>
      <c r="C5" s="208" t="s">
        <v>497</v>
      </c>
      <c r="D5" s="208" t="s">
        <v>498</v>
      </c>
      <c r="E5" s="208" t="s">
        <v>499</v>
      </c>
      <c r="F5" s="207" t="s">
        <v>500</v>
      </c>
      <c r="G5" s="208" t="s">
        <v>496</v>
      </c>
      <c r="H5" s="208" t="s">
        <v>497</v>
      </c>
      <c r="I5" s="208" t="s">
        <v>498</v>
      </c>
      <c r="J5" s="208" t="s">
        <v>499</v>
      </c>
      <c r="K5" s="207" t="s">
        <v>500</v>
      </c>
      <c r="N5" s="209" t="s"/>
    </row>
    <row r="6" spans="1:14" ht="15.6">
      <c r="A6" s="210" t="s"/>
      <c r="B6" s="211" t="s"/>
      <c r="C6" s="211" t="s"/>
      <c r="D6" s="211" t="s"/>
      <c r="E6" s="211" t="s"/>
      <c r="F6" s="212" t="s"/>
      <c r="G6" s="211" t="s"/>
      <c r="H6" s="211" t="s"/>
      <c r="I6" s="211" t="s"/>
      <c r="J6" s="211" t="s"/>
      <c r="K6" s="210" t="s"/>
      <c r="N6" s="209" t="s"/>
    </row>
    <row r="7" spans="1:14" ht="15.6">
      <c r="A7" s="213">
        <v>-0.2</v>
      </c>
      <c r="B7" s="214">
        <v>0.0999</v>
      </c>
      <c r="C7" s="214">
        <v>0.07</v>
      </c>
      <c r="D7" s="214">
        <v>0.0488</v>
      </c>
      <c r="E7" s="215">
        <v>0.0986</v>
      </c>
      <c r="F7" s="214">
        <v>0.0684</v>
      </c>
      <c r="G7" s="216">
        <v>8.33</v>
      </c>
      <c r="H7" s="216">
        <v>10.84</v>
      </c>
      <c r="I7" s="216">
        <v>13.58</v>
      </c>
      <c r="J7" s="216">
        <v>9.42</v>
      </c>
      <c r="K7" s="216">
        <v>10.46</v>
      </c>
      <c r="N7" s="209" t="s"/>
    </row>
    <row r="8" spans="1:11" ht="15.6">
      <c r="A8" s="213">
        <v>-0.15</v>
      </c>
      <c r="B8" s="214">
        <v>0.0913</v>
      </c>
      <c r="C8" s="214">
        <v>0.0699</v>
      </c>
      <c r="D8" s="214">
        <v>0.0541</v>
      </c>
      <c r="E8" s="215">
        <v>0.0877</v>
      </c>
      <c r="F8" s="214">
        <v>0.0687</v>
      </c>
      <c r="G8" s="216">
        <v>8.91</v>
      </c>
      <c r="H8" s="216">
        <v>10.84</v>
      </c>
      <c r="I8" s="216">
        <v>12.78</v>
      </c>
      <c r="J8" s="216">
        <v>9.86</v>
      </c>
      <c r="K8" s="216">
        <v>10.55</v>
      </c>
    </row>
    <row r="9" spans="1:14" ht="15.6">
      <c r="A9" s="213">
        <v>-0.1</v>
      </c>
      <c r="B9" s="214">
        <v>0.0835</v>
      </c>
      <c r="C9" s="214">
        <v>0.0696</v>
      </c>
      <c r="D9" s="215">
        <v>0.0594</v>
      </c>
      <c r="E9" s="215">
        <v>0.0794</v>
      </c>
      <c r="F9" s="214">
        <v>0.069</v>
      </c>
      <c r="G9" s="216">
        <v>9.54</v>
      </c>
      <c r="H9" s="216">
        <v>10.85</v>
      </c>
      <c r="I9" s="216">
        <v>12.07</v>
      </c>
      <c r="J9" s="216">
        <v>10.28</v>
      </c>
      <c r="K9" s="216">
        <v>10.65</v>
      </c>
      <c r="M9" s="217" t="s">
        <v>401</v>
      </c>
      <c r="N9" s="217">
        <v>1</v>
      </c>
    </row>
    <row r="10" spans="1:14" ht="15.6">
      <c r="A10" s="213">
        <v>-0.05</v>
      </c>
      <c r="B10" s="215">
        <v>0.0763</v>
      </c>
      <c r="C10" s="214">
        <v>0.0698</v>
      </c>
      <c r="D10" s="214">
        <v>0.0646</v>
      </c>
      <c r="E10" s="215">
        <v>0.0735</v>
      </c>
      <c r="F10" s="214">
        <v>0.0694</v>
      </c>
      <c r="G10" s="218">
        <v>10.2</v>
      </c>
      <c r="H10" s="216">
        <v>10.86</v>
      </c>
      <c r="I10" s="216">
        <v>11.43</v>
      </c>
      <c r="J10" s="216">
        <v>10.62</v>
      </c>
      <c r="K10" s="216">
        <v>10.76</v>
      </c>
      <c r="M10" s="217" t="s">
        <v>497</v>
      </c>
      <c r="N10" s="217">
        <v>1</v>
      </c>
    </row>
    <row r="11" spans="1:14" s="711" customFormat="true" ht="15.6">
      <c r="A11" s="219">
        <v>0</v>
      </c>
      <c r="B11" s="220">
        <f>=辅助表6.1经济评估基础数据及效益指标表!$C$18</f>
        <v>0.067638846121507</v>
      </c>
      <c r="C11" s="220">
        <f>=辅助表6.1经济评估基础数据及效益指标表!$C$18</f>
        <v>0.067638846121507</v>
      </c>
      <c r="D11" s="220">
        <f>=辅助表6.1经济评估基础数据及效益指标表!$C$18</f>
        <v>0.067638846121507</v>
      </c>
      <c r="E11" s="220">
        <f>=辅助表6.1经济评估基础数据及效益指标表!$C$18</f>
        <v>0.067638846121507</v>
      </c>
      <c r="F11" s="220">
        <f>=辅助表6.1经济评估基础数据及效益指标表!$C$18</f>
        <v>0.067638846121507</v>
      </c>
      <c r="G11" s="221">
        <f>=辅助表6.1经济评估基础数据及效益指标表!$C$24</f>
        <v>10.9436857937774</v>
      </c>
      <c r="H11" s="221">
        <f>=辅助表6.1经济评估基础数据及效益指标表!$C$24</f>
        <v>10.9436857937774</v>
      </c>
      <c r="I11" s="221">
        <f>=辅助表6.1经济评估基础数据及效益指标表!$C$24</f>
        <v>10.9436857937774</v>
      </c>
      <c r="J11" s="221">
        <f>=辅助表6.1经济评估基础数据及效益指标表!$C$24</f>
        <v>10.9436857937774</v>
      </c>
      <c r="K11" s="221">
        <f>=辅助表6.1经济评估基础数据及效益指标表!$C$24</f>
        <v>10.9436857937774</v>
      </c>
      <c r="M11" s="217" t="s">
        <v>498</v>
      </c>
      <c r="N11" s="217">
        <v>1</v>
      </c>
    </row>
    <row r="12" spans="1:14" ht="15.6">
      <c r="A12" s="213">
        <v>0.05</v>
      </c>
      <c r="B12" s="214">
        <v>0.0636</v>
      </c>
      <c r="C12" s="214">
        <v>0.0697</v>
      </c>
      <c r="D12" s="215">
        <v>0.0748</v>
      </c>
      <c r="E12" s="215">
        <v>0.0677</v>
      </c>
      <c r="F12" s="222">
        <v>0.0701</v>
      </c>
      <c r="G12" s="216">
        <v>11.55</v>
      </c>
      <c r="H12" s="216">
        <v>10.87</v>
      </c>
      <c r="I12" s="218">
        <v>10.35</v>
      </c>
      <c r="J12" s="216">
        <v>10.97</v>
      </c>
      <c r="K12" s="216">
        <v>10.97</v>
      </c>
      <c r="M12" s="217" t="s">
        <v>499</v>
      </c>
      <c r="N12" s="217">
        <v>1</v>
      </c>
    </row>
    <row r="13" spans="1:14" ht="15.6">
      <c r="A13" s="213">
        <v>0.1</v>
      </c>
      <c r="B13" s="222">
        <v>0.058</v>
      </c>
      <c r="C13" s="214">
        <v>0.0696</v>
      </c>
      <c r="D13" s="222">
        <v>0.0799</v>
      </c>
      <c r="E13" s="215">
        <v>0.0671</v>
      </c>
      <c r="F13" s="222">
        <v>0.0704</v>
      </c>
      <c r="G13" s="216">
        <v>12.25</v>
      </c>
      <c r="H13" s="216">
        <v>10.88</v>
      </c>
      <c r="I13" s="216">
        <v>9.89</v>
      </c>
      <c r="J13" s="216">
        <v>10.94</v>
      </c>
      <c r="K13" s="216">
        <v>11.08</v>
      </c>
      <c r="M13" s="217" t="s">
        <v>500</v>
      </c>
      <c r="N13" s="217">
        <v>1</v>
      </c>
    </row>
    <row r="14" spans="1:11" ht="15.6">
      <c r="A14" s="213">
        <v>0.15</v>
      </c>
      <c r="B14" s="215">
        <v>0.0528</v>
      </c>
      <c r="C14" s="214">
        <v>0.0695</v>
      </c>
      <c r="D14" s="214">
        <v>0.0849</v>
      </c>
      <c r="E14" s="215">
        <v>0.0677</v>
      </c>
      <c r="F14" s="222">
        <v>0.0708</v>
      </c>
      <c r="G14" s="216">
        <v>12.96</v>
      </c>
      <c r="H14" s="216">
        <v>10.89</v>
      </c>
      <c r="I14" s="216">
        <v>9.47</v>
      </c>
      <c r="J14" s="216">
        <v>10.79</v>
      </c>
      <c r="K14" s="216">
        <v>11.2</v>
      </c>
    </row>
    <row r="15" spans="1:11" ht="15.6">
      <c r="A15" s="213">
        <v>0.2</v>
      </c>
      <c r="B15" s="215">
        <v>0.0479</v>
      </c>
      <c r="C15" s="214">
        <v>0.0694</v>
      </c>
      <c r="D15" s="214">
        <v>0.0899</v>
      </c>
      <c r="E15" s="215">
        <v>0.069</v>
      </c>
      <c r="F15" s="222">
        <v>0.0712</v>
      </c>
      <c r="G15" s="216">
        <v>13.69</v>
      </c>
      <c r="H15" s="216">
        <v>10.89</v>
      </c>
      <c r="I15" s="216">
        <v>9.09</v>
      </c>
      <c r="J15" s="216">
        <v>10.55</v>
      </c>
      <c r="K15" s="216">
        <v>11.31</v>
      </c>
    </row>
    <row r="38" spans="1:1" ht="15.6">
      <c r="A38" s="223" t="s">
        <v>501</v>
      </c>
    </row>
  </sheetData>
  <sheetProtection/>
  <mergeCells count="12">
    <mergeCell ref="A5:A6"/>
    <mergeCell ref="B5:B6"/>
    <mergeCell ref="C5:C6"/>
    <mergeCell ref="D5:D6"/>
    <mergeCell ref="E5:E6"/>
    <mergeCell ref="F5:F6"/>
    <mergeCell ref="G5:G6"/>
    <mergeCell ref="H5:H6"/>
    <mergeCell ref="I5:I6"/>
    <mergeCell ref="J5:J6"/>
    <mergeCell ref="K5:K6"/>
    <mergeCell ref="N5:N7"/>
  </mergeCells>
  <printOptions horizontalCentered="true"/>
  <pageMargins left="0.748031" right="0.748031" top="0.984252" bottom="0.984252" header="0.511811" footer="0.511811"/>
  <pageSetup paperSize="9" orientation="portrait" blackAndWhite="true"/>
  <headerFooter alignWithMargins="false"/>
  <drawing r:id="rId0"/>
</worksheet>
</file>

<file path=xl/worksheets/sheet2.xml><?xml version="1.0" encoding="utf-8"?>
<worksheet xmlns:r="http://schemas.openxmlformats.org/officeDocument/2006/relationships" xmlns="http://schemas.openxmlformats.org/spreadsheetml/2006/main">
  <sheetPr/>
  <dimension ref="AA50"/>
  <sheetViews>
    <sheetView showGridLines="false" showZeros="false" showOutlineSymbols="false" topLeftCell="A1" workbookViewId="0">
      <pane xSplit="2" ySplit="4" topLeftCell="C25" activePane="bottomRight" state="frozen"/>
    </sheetView>
  </sheetViews>
  <sheetFormatPr defaultColWidth="9" defaultRowHeight="11.25"/>
  <cols>
    <col min="1" max="1" width="6.625" style="698"/>
    <col min="2" max="2" width="21.875" style="698"/>
    <col min="3" max="8" width="10.625" style="698"/>
    <col min="9" max="10" width="12.125" style="698"/>
    <col min="11" max="11" width="140.875" style="698"/>
    <col min="12" max="26" width="9" style="698"/>
  </cols>
  <sheetData>
    <row r="1" spans="1:8" ht="15.6">
      <c r="A1" s="428" t="s">
        <v>797</v>
      </c>
      <c r="B1" s="428" t="s"/>
      <c r="C1" s="429" t="s">
        <v>798</v>
      </c>
      <c r="D1" s="429" t="s"/>
      <c r="E1" s="429" t="s"/>
      <c r="F1" s="430" t="s"/>
      <c r="G1" s="430" t="s"/>
      <c r="H1" s="430" t="s"/>
    </row>
    <row r="2" spans="1:8" ht="10.8">
      <c r="A2" s="431" t="s">
        <v>504</v>
      </c>
      <c r="C2" s="432" t="s"/>
      <c r="D2" s="432" t="s"/>
      <c r="E2" s="432" t="s"/>
      <c r="F2" s="432" t="s"/>
      <c r="G2" s="432" t="s">
        <v>799</v>
      </c>
      <c r="H2" s="432" t="s"/>
    </row>
    <row r="3" spans="1:8" ht="12" customHeight="true">
      <c r="A3" s="433" t="s">
        <v>525</v>
      </c>
      <c r="B3" s="433" t="s">
        <v>800</v>
      </c>
      <c r="C3" s="433" t="s">
        <v>801</v>
      </c>
      <c r="D3" s="433" t="s"/>
      <c r="E3" s="433" t="s"/>
      <c r="F3" s="433" t="s"/>
      <c r="G3" s="433" t="s"/>
      <c r="H3" s="433" t="s"/>
    </row>
    <row r="4" spans="1:11" ht="12" customHeight="true">
      <c r="A4" s="433" t="s"/>
      <c r="B4" s="433" t="s"/>
      <c r="C4" s="434" t="s">
        <v>802</v>
      </c>
      <c r="D4" s="434" t="s">
        <v>803</v>
      </c>
      <c r="E4" s="434" t="s">
        <v>804</v>
      </c>
      <c r="F4" s="434" t="s">
        <v>805</v>
      </c>
      <c r="G4" s="434" t="s">
        <v>619</v>
      </c>
      <c r="H4" s="434" t="s">
        <v>806</v>
      </c>
      <c r="I4" s="161" t="s">
        <v>807</v>
      </c>
      <c r="J4" s="161" t="s">
        <v>688</v>
      </c>
      <c r="K4" s="161" t="s">
        <v>808</v>
      </c>
    </row>
    <row r="5" spans="1:13" ht="12" customHeight="true">
      <c r="A5" s="435" t="s">
        <v>442</v>
      </c>
      <c r="B5" s="436" t="s">
        <v>809</v>
      </c>
      <c r="C5" s="437">
        <f>=C6+C36</f>
        <v>163.3318</v>
      </c>
      <c r="D5" s="437">
        <f>=D6+D36</f>
        <v>7376.98021</v>
      </c>
      <c r="E5" s="437">
        <f>=E6+E36</f>
        <v>362.2567</v>
      </c>
      <c r="F5" s="437">
        <f>=F6+F29+F33+F36</f>
        <v>786.27530589645</v>
      </c>
      <c r="G5" s="437">
        <f>=(G6+G29+G33+G36)*辅助表7单因素敏感性分析表!N9</f>
        <v>8688.84401589645</v>
      </c>
      <c r="H5" s="437">
        <f>=H6+H29+H33</f>
        <v>0</v>
      </c>
      <c r="I5" s="438" t="s">
        <v>810</v>
      </c>
      <c r="J5" s="439" t="s"/>
      <c r="K5" s="439" t="s"/>
      <c r="L5" s="440" t="s"/>
      <c r="M5" s="440" t="s"/>
    </row>
    <row r="6" spans="1:13" ht="12" customHeight="true">
      <c r="A6" s="441">
        <v>1</v>
      </c>
      <c r="B6" s="442" t="s">
        <v>445</v>
      </c>
      <c r="C6" s="437">
        <f>=C7+C17+C22</f>
        <v>163.3318</v>
      </c>
      <c r="D6" s="437">
        <f>=D7+D17+D22</f>
        <v>7376.98021</v>
      </c>
      <c r="E6" s="437">
        <f>=E7+E17+E22</f>
        <v>362.2567</v>
      </c>
      <c r="F6" s="437">
        <f>=F7+F17+F22</f>
        <v>0</v>
      </c>
      <c r="G6" s="437">
        <f>=C6+D6+E6+F6</f>
        <v>7902.56871</v>
      </c>
      <c r="H6" s="437">
        <f>=H7+H17+H22</f>
        <v>0</v>
      </c>
      <c r="I6" s="443" t="s">
        <v>811</v>
      </c>
      <c r="J6" s="440" t="s"/>
      <c r="K6" s="440" t="s"/>
      <c r="L6" s="440" t="s"/>
      <c r="M6" s="440" t="s"/>
    </row>
    <row r="7" spans="1:13" ht="12" customHeight="true">
      <c r="A7" s="441">
        <v>1.1</v>
      </c>
      <c r="B7" s="442" t="s">
        <v>812</v>
      </c>
      <c r="C7" s="437">
        <f>=SUM(C8:C16)</f>
        <v>163.3318</v>
      </c>
      <c r="D7" s="437">
        <f>=SUM(D8:D16)</f>
        <v>7376.98021</v>
      </c>
      <c r="E7" s="437">
        <f>=SUM(E8:E16)</f>
        <v>362.2567</v>
      </c>
      <c r="F7" s="437">
        <f>=SUM(F8:F16)</f>
        <v>0</v>
      </c>
      <c r="G7" s="437">
        <f>=SUM(C7:F7)</f>
        <v>7902.56871</v>
      </c>
      <c r="H7" s="437">
        <f>=SUM(H8:H16)</f>
        <v>0</v>
      </c>
      <c r="I7" s="443" t="s"/>
      <c r="J7" s="440" t="s"/>
      <c r="K7" s="440" t="s"/>
      <c r="L7" s="440" t="s"/>
      <c r="M7" s="440" t="s"/>
    </row>
    <row r="8" spans="1:13" ht="16.25" customHeight="true">
      <c r="A8" s="441" t="s">
        <v>653</v>
      </c>
      <c r="B8" s="444" t="s">
        <v>403</v>
      </c>
      <c r="C8" s="445">
        <v>96.75</v>
      </c>
      <c r="D8" s="445">
        <v>1451.24671</v>
      </c>
      <c r="E8" s="445">
        <v>160.65</v>
      </c>
      <c r="F8" s="446">
        <v>0</v>
      </c>
      <c r="G8" s="437">
        <f>=SUM(C8:F8)</f>
        <v>1708.64671</v>
      </c>
      <c r="H8" s="445" t="s"/>
      <c r="I8" s="447" t="s"/>
      <c r="J8" s="448" t="e">
        <f>=C8/I8</f>
        <v>#DIV/0!</v>
      </c>
      <c r="K8" s="449" t="s">
        <v>813</v>
      </c>
      <c r="L8" s="443" t="s">
        <v>814</v>
      </c>
      <c r="M8" s="440" t="s"/>
    </row>
    <row r="9" spans="1:13" ht="15" customHeight="true">
      <c r="A9" s="441" t="s">
        <v>655</v>
      </c>
      <c r="B9" s="444" t="s">
        <v>815</v>
      </c>
      <c r="C9" s="445" t="s"/>
      <c r="D9" s="445">
        <v>4969.7</v>
      </c>
      <c r="E9" s="445">
        <v>130</v>
      </c>
      <c r="F9" s="446">
        <v>0</v>
      </c>
      <c r="G9" s="437">
        <f>=SUM(C9:F9)</f>
        <v>5099.7</v>
      </c>
      <c r="H9" s="445" t="s"/>
      <c r="I9" s="447" t="s"/>
      <c r="J9" s="448" t="e">
        <f>=C9/I9</f>
        <v>#DIV/0!</v>
      </c>
      <c r="K9" s="450" t="s">
        <v>816</v>
      </c>
      <c r="L9" s="443" t="s">
        <v>817</v>
      </c>
      <c r="M9" s="440" t="s"/>
    </row>
    <row r="10" spans="1:13" ht="13.75" customHeight="true">
      <c r="A10" s="441" t="s">
        <v>818</v>
      </c>
      <c r="B10" s="444" t="s">
        <v>819</v>
      </c>
      <c r="C10" s="445">
        <v>66.5818</v>
      </c>
      <c r="D10" s="445">
        <v>956.0335</v>
      </c>
      <c r="E10" s="445">
        <v>71.6067</v>
      </c>
      <c r="F10" s="446" t="s"/>
      <c r="G10" s="437">
        <f>=SUM(C10:F10)</f>
        <v>1094.222</v>
      </c>
      <c r="H10" s="445" t="s"/>
      <c r="I10" s="447" t="s"/>
      <c r="J10" s="448" t="e">
        <f>=C10/I10</f>
        <v>#DIV/0!</v>
      </c>
      <c r="K10" s="451" t="s"/>
      <c r="L10" s="443" t="s">
        <v>820</v>
      </c>
      <c r="M10" s="440" t="s"/>
    </row>
    <row r="11" spans="1:13" ht="10.8">
      <c r="A11" s="441" t="s">
        <v>821</v>
      </c>
      <c r="B11" s="444" t="s"/>
      <c r="C11" s="445" t="s"/>
      <c r="D11" s="445" t="s"/>
      <c r="E11" s="445" t="s"/>
      <c r="F11" s="446" t="s"/>
      <c r="G11" s="437">
        <f>=SUM(C11:F11)</f>
        <v>0</v>
      </c>
      <c r="H11" s="445" t="s"/>
      <c r="I11" s="447" t="s"/>
      <c r="J11" s="448" t="e">
        <f>=C11/I11</f>
        <v>#DIV/0!</v>
      </c>
      <c r="K11" s="451" t="s"/>
      <c r="L11" s="440" t="s"/>
      <c r="M11" s="440" t="s"/>
    </row>
    <row r="12" spans="1:13" ht="10.8">
      <c r="A12" s="441" t="s">
        <v>822</v>
      </c>
      <c r="B12" s="444" t="s"/>
      <c r="C12" s="445" t="s"/>
      <c r="D12" s="445" t="s"/>
      <c r="E12" s="445" t="s"/>
      <c r="F12" s="446" t="s"/>
      <c r="G12" s="437">
        <f>=SUM(C12:F12)</f>
        <v>0</v>
      </c>
      <c r="H12" s="445" t="s"/>
      <c r="I12" s="447" t="s"/>
      <c r="J12" s="448" t="e">
        <f>=C12/I12</f>
        <v>#DIV/0!</v>
      </c>
      <c r="K12" s="447" t="s"/>
      <c r="L12" s="440" t="s"/>
      <c r="M12" s="440" t="s"/>
    </row>
    <row r="13" spans="1:13" ht="12" customHeight="true">
      <c r="A13" s="441" t="s">
        <v>823</v>
      </c>
      <c r="B13" s="452" t="s"/>
      <c r="C13" s="445" t="s"/>
      <c r="D13" s="445" t="s"/>
      <c r="E13" s="445" t="s"/>
      <c r="F13" s="446" t="s"/>
      <c r="G13" s="437">
        <f>=SUM(C13:F13)</f>
        <v>0</v>
      </c>
      <c r="H13" s="445" t="s"/>
      <c r="I13" s="447" t="s"/>
      <c r="J13" s="448" t="e">
        <f>=C13/I13</f>
        <v>#DIV/0!</v>
      </c>
      <c r="K13" s="453" t="s"/>
      <c r="L13" s="440" t="s"/>
      <c r="M13" s="440" t="s"/>
    </row>
    <row r="14" spans="1:13" ht="12" customHeight="true">
      <c r="A14" s="441" t="s">
        <v>824</v>
      </c>
      <c r="B14" s="452" t="s"/>
      <c r="C14" s="445" t="s"/>
      <c r="D14" s="445" t="s"/>
      <c r="E14" s="445" t="s"/>
      <c r="F14" s="446" t="s"/>
      <c r="G14" s="437">
        <f>=SUM(C14:F14)</f>
        <v>0</v>
      </c>
      <c r="H14" s="445" t="s"/>
      <c r="I14" s="447" t="s"/>
      <c r="J14" s="448" t="e">
        <f>=C14/I14</f>
        <v>#DIV/0!</v>
      </c>
      <c r="K14" s="453" t="s"/>
      <c r="L14" s="440" t="s"/>
      <c r="M14" s="440" t="s"/>
    </row>
    <row r="15" spans="1:13" ht="12" customHeight="true">
      <c r="A15" s="441" t="s">
        <v>825</v>
      </c>
      <c r="B15" s="452" t="s"/>
      <c r="C15" s="445" t="s"/>
      <c r="D15" s="445" t="s"/>
      <c r="E15" s="445" t="s"/>
      <c r="F15" s="446" t="s"/>
      <c r="G15" s="437">
        <f>=SUM(C15:F15)</f>
        <v>0</v>
      </c>
      <c r="H15" s="445" t="s"/>
      <c r="I15" s="447" t="s"/>
      <c r="J15" s="448" t="e">
        <f>=C15/I15</f>
        <v>#DIV/0!</v>
      </c>
      <c r="K15" s="453" t="s"/>
      <c r="L15" s="440" t="s"/>
      <c r="M15" s="440" t="s"/>
    </row>
    <row r="16" spans="1:13" ht="12" customHeight="true">
      <c r="A16" s="441" t="s">
        <v>826</v>
      </c>
      <c r="B16" s="452" t="s"/>
      <c r="C16" s="454" t="s"/>
      <c r="D16" s="454" t="s"/>
      <c r="E16" s="454" t="s"/>
      <c r="F16" s="455" t="s"/>
      <c r="G16" s="437">
        <f>=SUM(C16:F16)</f>
        <v>0</v>
      </c>
      <c r="H16" s="456" t="s"/>
      <c r="I16" s="440" t="s"/>
      <c r="J16" s="440" t="s"/>
      <c r="K16" s="440" t="s"/>
      <c r="L16" s="440" t="s"/>
      <c r="M16" s="440" t="s"/>
    </row>
    <row r="17" spans="1:13" ht="12" customHeight="true">
      <c r="A17" s="441">
        <v>1.2</v>
      </c>
      <c r="B17" s="442" t="s">
        <v>448</v>
      </c>
      <c r="C17" s="437">
        <f>=SUM(C18:C21)</f>
        <v>0</v>
      </c>
      <c r="D17" s="437">
        <f>=SUM(D18:D21)</f>
        <v>0</v>
      </c>
      <c r="E17" s="437">
        <f>=SUM(E18:E21)</f>
        <v>0</v>
      </c>
      <c r="F17" s="437">
        <f>=SUM(F18:F21)</f>
        <v>0</v>
      </c>
      <c r="G17" s="437">
        <f>=SUM(C17:F17)</f>
        <v>0</v>
      </c>
      <c r="H17" s="437">
        <f>=SUM(H18:H21)</f>
        <v>0</v>
      </c>
      <c r="I17" s="440" t="s"/>
      <c r="J17" s="440" t="s"/>
      <c r="K17" s="440" t="s"/>
      <c r="L17" s="440" t="s"/>
      <c r="M17" s="440" t="s"/>
    </row>
    <row r="18" spans="1:13" ht="10.8">
      <c r="A18" s="457" t="s">
        <v>827</v>
      </c>
      <c r="B18" s="444" t="s"/>
      <c r="C18" s="445">
        <f>=I18*J18/10000</f>
        <v>0</v>
      </c>
      <c r="D18" s="445" t="s"/>
      <c r="E18" s="445" t="s"/>
      <c r="F18" s="446" t="s"/>
      <c r="G18" s="437">
        <f>=SUM(C18:F18)</f>
        <v>0</v>
      </c>
      <c r="H18" s="445" t="s"/>
      <c r="I18" s="447" t="s"/>
      <c r="J18" s="447" t="s"/>
      <c r="K18" s="447" t="s"/>
      <c r="L18" s="440" t="s"/>
      <c r="M18" s="440" t="s"/>
    </row>
    <row r="19" spans="1:13" ht="12" customHeight="true">
      <c r="A19" s="457" t="s">
        <v>828</v>
      </c>
      <c r="B19" s="452" t="s"/>
      <c r="C19" s="445" t="s"/>
      <c r="D19" s="445" t="s"/>
      <c r="E19" s="445" t="s"/>
      <c r="F19" s="446" t="s"/>
      <c r="G19" s="437">
        <f>=SUM(C19:F19)</f>
        <v>0</v>
      </c>
      <c r="H19" s="445" t="s"/>
      <c r="I19" s="440" t="s"/>
      <c r="J19" s="440" t="s"/>
      <c r="K19" s="440" t="s"/>
      <c r="L19" s="440" t="s"/>
      <c r="M19" s="440" t="s"/>
    </row>
    <row r="20" spans="1:13" ht="12" customHeight="true">
      <c r="A20" s="457" t="s">
        <v>829</v>
      </c>
      <c r="B20" s="452" t="s"/>
      <c r="C20" s="445" t="s"/>
      <c r="D20" s="445" t="s"/>
      <c r="E20" s="445" t="s"/>
      <c r="F20" s="446" t="s"/>
      <c r="G20" s="437">
        <f>=SUM(C20:F20)</f>
        <v>0</v>
      </c>
      <c r="H20" s="445" t="s"/>
      <c r="I20" s="440" t="s"/>
      <c r="J20" s="440" t="s"/>
      <c r="K20" s="440" t="s"/>
      <c r="L20" s="440" t="s"/>
      <c r="M20" s="440" t="s"/>
    </row>
    <row r="21" spans="1:13" ht="12" customHeight="true">
      <c r="A21" s="457" t="s">
        <v>830</v>
      </c>
      <c r="B21" s="452" t="s"/>
      <c r="C21" s="445" t="s"/>
      <c r="D21" s="445" t="s"/>
      <c r="E21" s="445" t="s"/>
      <c r="F21" s="446" t="s"/>
      <c r="G21" s="437">
        <f>=SUM(C21:F21)</f>
        <v>0</v>
      </c>
      <c r="H21" s="445" t="s"/>
      <c r="I21" s="440" t="s"/>
      <c r="J21" s="440" t="s"/>
      <c r="K21" s="440" t="s"/>
      <c r="L21" s="440" t="s"/>
      <c r="M21" s="440" t="s"/>
    </row>
    <row r="22" spans="1:13" ht="12" customHeight="true">
      <c r="A22" s="441">
        <v>1.3</v>
      </c>
      <c r="B22" s="442" t="s">
        <v>449</v>
      </c>
      <c r="C22" s="437">
        <f>=SUM(C23:C28)</f>
        <v>0</v>
      </c>
      <c r="D22" s="458">
        <f>=SUM(D23:D28)</f>
        <v>0</v>
      </c>
      <c r="E22" s="437">
        <f>=SUM(E23:E28)</f>
        <v>0</v>
      </c>
      <c r="F22" s="437">
        <f>=SUM(F23:F28)</f>
        <v>0</v>
      </c>
      <c r="G22" s="459">
        <f>=SUM(C22:F22)</f>
        <v>0</v>
      </c>
      <c r="H22" s="437">
        <f>=SUM(H23:H28)</f>
        <v>0</v>
      </c>
      <c r="I22" s="440" t="s"/>
      <c r="J22" s="440" t="s"/>
      <c r="K22" s="440" t="s"/>
      <c r="L22" s="440" t="s"/>
      <c r="M22" s="440" t="s"/>
    </row>
    <row r="23" spans="1:13" ht="12" customHeight="true">
      <c r="A23" s="457" t="s">
        <v>831</v>
      </c>
      <c r="B23" s="452" t="s"/>
      <c r="C23" s="445" t="s"/>
      <c r="D23" s="445" t="s"/>
      <c r="E23" s="445" t="s"/>
      <c r="F23" s="446" t="s"/>
      <c r="G23" s="437">
        <f>=SUM(C23:F23)</f>
        <v>0</v>
      </c>
      <c r="H23" s="445" t="s"/>
      <c r="I23" s="460" t="s"/>
      <c r="J23" s="461" t="e">
        <f>=C23/I23</f>
        <v>#DIV/0!</v>
      </c>
      <c r="K23" s="453" t="s"/>
      <c r="L23" s="462" t="s"/>
      <c r="M23" s="440" t="s"/>
    </row>
    <row r="24" spans="1:13" ht="12" customHeight="true">
      <c r="A24" s="457" t="s">
        <v>832</v>
      </c>
      <c r="B24" s="452" t="s"/>
      <c r="C24" s="445" t="s"/>
      <c r="D24" s="445" t="s"/>
      <c r="E24" s="445" t="s"/>
      <c r="F24" s="446" t="s"/>
      <c r="G24" s="437">
        <f>=SUM(C24:F24)</f>
        <v>0</v>
      </c>
      <c r="H24" s="445" t="s"/>
      <c r="I24" s="460" t="s"/>
      <c r="J24" s="461" t="e">
        <f>=C24/I24</f>
        <v>#DIV/0!</v>
      </c>
      <c r="K24" s="453" t="s"/>
      <c r="L24" s="462" t="s"/>
      <c r="M24" s="440" t="s"/>
    </row>
    <row r="25" spans="1:13" ht="12" customHeight="true">
      <c r="A25" s="457" t="s">
        <v>833</v>
      </c>
      <c r="B25" s="452" t="s"/>
      <c r="C25" s="445" t="s"/>
      <c r="D25" s="445" t="s"/>
      <c r="E25" s="445" t="s"/>
      <c r="F25" s="446" t="s"/>
      <c r="G25" s="437">
        <f>=SUM(C25:F25)</f>
        <v>0</v>
      </c>
      <c r="H25" s="445" t="s"/>
      <c r="I25" s="460" t="s"/>
      <c r="J25" s="461" t="e">
        <f>=C25/I25</f>
        <v>#DIV/0!</v>
      </c>
      <c r="K25" s="453" t="s"/>
      <c r="L25" s="462" t="s"/>
      <c r="M25" s="440" t="s"/>
    </row>
    <row r="26" spans="1:13" ht="12" customHeight="true">
      <c r="A26" s="457" t="s">
        <v>834</v>
      </c>
      <c r="B26" s="463" t="s"/>
      <c r="C26" s="445" t="s"/>
      <c r="D26" s="445" t="s"/>
      <c r="E26" s="445" t="s"/>
      <c r="F26" s="446" t="s"/>
      <c r="G26" s="437">
        <f>=SUM(C26:F26)</f>
        <v>0</v>
      </c>
      <c r="H26" s="445" t="s"/>
      <c r="I26" s="460" t="s"/>
      <c r="J26" s="461" t="e">
        <f>=C26/I26</f>
        <v>#DIV/0!</v>
      </c>
      <c r="K26" s="453" t="s"/>
      <c r="L26" s="440" t="s"/>
      <c r="M26" s="440" t="s"/>
    </row>
    <row r="27" spans="1:13" ht="12" customHeight="true">
      <c r="A27" s="457" t="s">
        <v>835</v>
      </c>
      <c r="B27" s="464" t="s"/>
      <c r="C27" s="445" t="s"/>
      <c r="D27" s="445" t="s"/>
      <c r="E27" s="445" t="s"/>
      <c r="F27" s="446" t="s"/>
      <c r="G27" s="437">
        <f>=SUM(C27:F27)</f>
        <v>0</v>
      </c>
      <c r="H27" s="445" t="s"/>
      <c r="I27" s="460" t="s"/>
      <c r="J27" s="461" t="e">
        <f>=C27/I27</f>
        <v>#DIV/0!</v>
      </c>
      <c r="K27" s="453" t="s"/>
      <c r="L27" s="440" t="s"/>
      <c r="M27" s="440" t="s"/>
    </row>
    <row r="28" spans="1:13" ht="12" customHeight="true">
      <c r="A28" s="457" t="s">
        <v>836</v>
      </c>
      <c r="B28" s="464" t="s"/>
      <c r="C28" s="445" t="s"/>
      <c r="D28" s="445" t="s"/>
      <c r="E28" s="445" t="s"/>
      <c r="F28" s="446" t="s"/>
      <c r="G28" s="437">
        <f>=SUM(C28:F28)</f>
        <v>0</v>
      </c>
      <c r="H28" s="445" t="s"/>
      <c r="I28" s="460" t="s"/>
      <c r="J28" s="461" t="e">
        <f>=C28/I28</f>
        <v>#DIV/0!</v>
      </c>
      <c r="K28" s="453" t="s"/>
      <c r="L28" s="440" t="s"/>
      <c r="M28" s="440" t="s"/>
    </row>
    <row r="29" spans="1:13" ht="12" customHeight="true">
      <c r="A29" s="441">
        <v>2</v>
      </c>
      <c r="B29" s="465" t="s">
        <v>837</v>
      </c>
      <c r="C29" s="455" t="s"/>
      <c r="D29" s="455" t="s"/>
      <c r="E29" s="455" t="s"/>
      <c r="F29" s="437">
        <f>=F30+F31+F32</f>
        <v>372.520828949</v>
      </c>
      <c r="G29" s="437">
        <f>=SUM(G30:G32)</f>
        <v>372.520828949</v>
      </c>
      <c r="H29" s="437">
        <f>=H30</f>
        <v>0</v>
      </c>
      <c r="I29" s="440" t="s"/>
      <c r="J29" s="440" t="s"/>
      <c r="K29" s="440" t="s"/>
      <c r="L29" s="440" t="s"/>
      <c r="M29" s="440" t="s"/>
    </row>
    <row r="30" spans="1:13" ht="12" customHeight="true">
      <c r="A30" s="441">
        <v>2.1</v>
      </c>
      <c r="B30" s="465" t="s">
        <v>838</v>
      </c>
      <c r="C30" s="455" t="s"/>
      <c r="D30" s="455" t="s"/>
      <c r="E30" s="455" t="s"/>
      <c r="F30" s="445">
        <v>372.520828949</v>
      </c>
      <c r="G30" s="437">
        <f>=F30</f>
        <v>372.520828949</v>
      </c>
      <c r="H30" s="445" t="s"/>
      <c r="I30" s="466" t="s">
        <v>839</v>
      </c>
      <c r="J30" s="440" t="s"/>
      <c r="K30" s="440" t="s"/>
      <c r="L30" s="440" t="s"/>
      <c r="M30" s="440" t="s"/>
    </row>
    <row r="31" spans="1:13" ht="12" customHeight="true">
      <c r="A31" s="441">
        <v>2.2</v>
      </c>
      <c r="B31" s="442" t="s">
        <v>840</v>
      </c>
      <c r="C31" s="455" t="s"/>
      <c r="D31" s="455" t="s"/>
      <c r="E31" s="455" t="s"/>
      <c r="F31" s="437">
        <f>=评估表2固定资产投资资产分类表!C19</f>
        <v>0</v>
      </c>
      <c r="G31" s="437">
        <f>=F31</f>
        <v>0</v>
      </c>
      <c r="H31" s="446" t="s"/>
      <c r="I31" s="194" t="s">
        <v>841</v>
      </c>
      <c r="J31" s="467" t="s"/>
      <c r="K31" s="440" t="s"/>
      <c r="L31" s="440" t="s"/>
      <c r="M31" s="440" t="s"/>
    </row>
    <row r="32" spans="1:13" ht="12" customHeight="true">
      <c r="A32" s="441">
        <v>2.3</v>
      </c>
      <c r="B32" s="442" t="s">
        <v>842</v>
      </c>
      <c r="C32" s="455" t="s"/>
      <c r="D32" s="455" t="s"/>
      <c r="E32" s="455" t="s"/>
      <c r="F32" s="437">
        <f>=评估表2固定资产投资资产分类表!C25</f>
        <v>0</v>
      </c>
      <c r="G32" s="437">
        <f>=F32</f>
        <v>0</v>
      </c>
      <c r="H32" s="446" t="s"/>
      <c r="I32" s="194" t="s">
        <v>843</v>
      </c>
      <c r="J32" s="467" t="s"/>
      <c r="K32" s="440" t="s"/>
      <c r="L32" s="440" t="s"/>
      <c r="M32" s="440" t="s"/>
    </row>
    <row r="33" spans="1:13" ht="12" customHeight="true">
      <c r="A33" s="441">
        <v>3</v>
      </c>
      <c r="B33" s="465" t="s">
        <v>451</v>
      </c>
      <c r="C33" s="455" t="s"/>
      <c r="D33" s="455" t="s"/>
      <c r="E33" s="455" t="s"/>
      <c r="F33" s="437">
        <f>=F34+F35</f>
        <v>413.75447694745</v>
      </c>
      <c r="G33" s="437">
        <f>=G34+G35</f>
        <v>413.75447694745</v>
      </c>
      <c r="H33" s="446" t="s"/>
      <c r="I33" s="194" t="s"/>
      <c r="J33" s="467" t="s"/>
      <c r="K33" s="440" t="s"/>
      <c r="L33" s="440" t="s"/>
      <c r="M33" s="440" t="s"/>
    </row>
    <row r="34" spans="1:13" ht="12" customHeight="true">
      <c r="A34" s="441">
        <v>3.1</v>
      </c>
      <c r="B34" s="465" t="s">
        <v>452</v>
      </c>
      <c r="C34" s="455" t="s"/>
      <c r="D34" s="455" t="s"/>
      <c r="E34" s="455" t="s"/>
      <c r="F34" s="437">
        <f>=(G6+G29)*辅助表1评估项目基础数据表!C8</f>
        <v>413.75447694745</v>
      </c>
      <c r="G34" s="437">
        <f>=F34</f>
        <v>413.75447694745</v>
      </c>
      <c r="H34" s="198" t="s"/>
      <c r="I34" s="194" t="s">
        <v>844</v>
      </c>
      <c r="J34" s="468" t="s"/>
      <c r="K34" s="440" t="s"/>
      <c r="L34" s="440" t="s"/>
      <c r="M34" s="440" t="s"/>
    </row>
    <row r="35" spans="1:13" ht="12" customHeight="true">
      <c r="A35" s="441">
        <v>3.2</v>
      </c>
      <c r="B35" s="465" t="s">
        <v>453</v>
      </c>
      <c r="C35" s="455" t="s"/>
      <c r="D35" s="455" t="s"/>
      <c r="E35" s="455" t="s"/>
      <c r="F35" s="445" t="s"/>
      <c r="G35" s="437">
        <f>=F35</f>
        <v>0</v>
      </c>
      <c r="H35" s="446" t="s"/>
      <c r="I35" s="194" t="s">
        <v>845</v>
      </c>
      <c r="J35" s="467" t="s"/>
      <c r="K35" s="440" t="s"/>
      <c r="L35" s="440" t="s"/>
      <c r="M35" s="440" t="s"/>
    </row>
    <row r="36" spans="1:13" ht="12" customHeight="true">
      <c r="A36" s="441">
        <v>4</v>
      </c>
      <c r="B36" s="465" t="s">
        <v>837</v>
      </c>
      <c r="C36" s="445" t="s"/>
      <c r="D36" s="445" t="s"/>
      <c r="E36" s="445" t="s"/>
      <c r="F36" s="445" t="s"/>
      <c r="G36" s="437">
        <f>=SUM(C36:F36)</f>
        <v>0</v>
      </c>
      <c r="H36" s="446" t="s"/>
      <c r="I36" s="194" t="s"/>
      <c r="J36" s="467" t="s"/>
      <c r="K36" s="440" t="s"/>
      <c r="L36" s="440" t="s"/>
      <c r="M36" s="440" t="s"/>
    </row>
    <row r="37" spans="1:13" ht="12" customHeight="true">
      <c r="A37" s="441" t="s">
        <v>460</v>
      </c>
      <c r="B37" s="436" t="s">
        <v>846</v>
      </c>
      <c r="C37" s="469" t="s"/>
      <c r="D37" s="469" t="s"/>
      <c r="E37" s="469" t="s"/>
      <c r="F37" s="437">
        <f>=SUM(F38:F42)</f>
        <v>78.75</v>
      </c>
      <c r="G37" s="437">
        <f>=SUM(G38:G42)</f>
        <v>78.75</v>
      </c>
      <c r="H37" s="446" t="s"/>
      <c r="I37" s="194" t="s">
        <v>847</v>
      </c>
      <c r="J37" s="467" t="s"/>
      <c r="K37" s="440" t="s"/>
      <c r="L37" s="440" t="s"/>
      <c r="M37" s="440" t="s"/>
    </row>
    <row r="38" spans="1:13" ht="12" customHeight="true">
      <c r="A38" s="441">
        <v>1</v>
      </c>
      <c r="B38" s="442" t="s">
        <v>454</v>
      </c>
      <c r="C38" s="469" t="s"/>
      <c r="D38" s="469" t="s"/>
      <c r="E38" s="469" t="s"/>
      <c r="F38" s="437">
        <f>=评估表3投资计划与资金筹措表!E10</f>
        <v>78.75</v>
      </c>
      <c r="G38" s="437">
        <f>=F38</f>
        <v>78.75</v>
      </c>
      <c r="H38" s="446" t="s"/>
      <c r="I38" s="194" t="s">
        <v>848</v>
      </c>
      <c r="J38" s="467" t="s"/>
      <c r="K38" s="440" t="s"/>
      <c r="L38" s="440" t="s"/>
      <c r="M38" s="440" t="s"/>
    </row>
    <row r="39" spans="1:13" ht="12" customHeight="true">
      <c r="A39" s="441">
        <v>2</v>
      </c>
      <c r="B39" s="465" t="s">
        <v>455</v>
      </c>
      <c r="C39" s="469" t="s"/>
      <c r="D39" s="469" t="s"/>
      <c r="E39" s="469" t="s"/>
      <c r="F39" s="445" t="s"/>
      <c r="G39" s="437">
        <f>=F39</f>
        <v>0</v>
      </c>
      <c r="H39" s="446" t="s"/>
      <c r="I39" s="194" t="s"/>
      <c r="J39" s="467" t="s"/>
      <c r="K39" s="440" t="s"/>
      <c r="L39" s="440" t="s"/>
      <c r="M39" s="440" t="s"/>
    </row>
    <row r="40" spans="1:13" ht="12" customHeight="true">
      <c r="A40" s="441">
        <v>3</v>
      </c>
      <c r="B40" s="465" t="s">
        <v>456</v>
      </c>
      <c r="C40" s="469" t="s"/>
      <c r="D40" s="469" t="s"/>
      <c r="E40" s="469" t="s"/>
      <c r="F40" s="470">
        <f>=G5*辅助表1评估项目基础数据表!C9</f>
        <v>0</v>
      </c>
      <c r="G40" s="437">
        <f>=F40</f>
        <v>0</v>
      </c>
      <c r="H40" s="446" t="s"/>
      <c r="I40" s="194" t="s">
        <v>849</v>
      </c>
      <c r="J40" s="467" t="s"/>
      <c r="K40" s="440" t="s"/>
      <c r="L40" s="440" t="s"/>
      <c r="M40" s="440" t="s"/>
    </row>
    <row r="41" spans="1:13" ht="12" customHeight="true">
      <c r="A41" s="441">
        <v>4</v>
      </c>
      <c r="B41" s="442" t="s">
        <v>457</v>
      </c>
      <c r="C41" s="469" t="s"/>
      <c r="E41" s="469" t="s"/>
      <c r="F41" s="445" t="s"/>
      <c r="G41" s="437">
        <f>=F41</f>
        <v>0</v>
      </c>
      <c r="H41" s="446" t="s"/>
      <c r="I41" s="194" t="s"/>
      <c r="J41" s="467" t="s"/>
      <c r="K41" s="440" t="s"/>
      <c r="L41" s="440" t="s"/>
      <c r="M41" s="440" t="s"/>
    </row>
    <row r="42" spans="1:13" ht="12" customHeight="true">
      <c r="A42" s="441">
        <v>5</v>
      </c>
      <c r="B42" s="442" t="s">
        <v>458</v>
      </c>
      <c r="C42" s="469" t="s"/>
      <c r="D42" s="469" t="s"/>
      <c r="E42" s="469" t="s"/>
      <c r="F42" s="437">
        <f>=评估表3投资计划与资金筹措表!E14</f>
        <v>0</v>
      </c>
      <c r="G42" s="437">
        <f>=F42</f>
        <v>0</v>
      </c>
      <c r="H42" s="446" t="s"/>
      <c r="I42" s="194" t="s">
        <v>850</v>
      </c>
      <c r="J42" s="467" t="s"/>
      <c r="K42" s="440" t="s"/>
      <c r="L42" s="440" t="s"/>
      <c r="M42" s="440" t="s"/>
    </row>
    <row r="43" spans="1:13" ht="12" customHeight="true">
      <c r="A43" s="457" t="s">
        <v>469</v>
      </c>
      <c r="B43" s="436" t="s">
        <v>851</v>
      </c>
      <c r="C43" s="437">
        <f>=C5</f>
        <v>163.3318</v>
      </c>
      <c r="D43" s="437">
        <f>=D5</f>
        <v>7376.98021</v>
      </c>
      <c r="E43" s="437">
        <f>=E5</f>
        <v>362.2567</v>
      </c>
      <c r="F43" s="437">
        <f>=F5+F37</f>
        <v>865.02530589645</v>
      </c>
      <c r="G43" s="437">
        <f>=(G5+G37)</f>
        <v>8767.59401589645</v>
      </c>
      <c r="H43" s="437">
        <f>=H5+H37</f>
        <v>0</v>
      </c>
      <c r="I43" s="194" t="s">
        <v>852</v>
      </c>
      <c r="J43" s="467" t="s"/>
      <c r="K43" s="440" t="s"/>
      <c r="L43" s="440" t="s"/>
      <c r="M43" s="440" t="s"/>
    </row>
    <row r="45" spans="1:1" ht="10.8">
      <c r="A45" s="188" t="s">
        <v>853</v>
      </c>
    </row>
    <row r="46" spans="1:1" ht="10.8">
      <c r="A46" s="188" t="s">
        <v>854</v>
      </c>
    </row>
    <row r="47" spans="1:1" ht="10.8">
      <c r="A47" s="188" t="s">
        <v>855</v>
      </c>
    </row>
    <row r="48" spans="1:1" ht="10.8">
      <c r="A48" s="188" t="s">
        <v>856</v>
      </c>
    </row>
    <row r="49" spans="1:1" ht="10.8">
      <c r="A49" s="188" t="s">
        <v>857</v>
      </c>
    </row>
    <row r="50" spans="1:1" ht="10.8">
      <c r="A50" s="188" t="s">
        <v>858</v>
      </c>
    </row>
  </sheetData>
  <sheetProtection/>
  <mergeCells count="5">
    <mergeCell ref="A1:B1"/>
    <mergeCell ref="C1:E1"/>
    <mergeCell ref="C3:H3"/>
    <mergeCell ref="A3:A4"/>
    <mergeCell ref="B3:B4"/>
  </mergeCells>
  <printOptions horizontalCentered="true"/>
  <pageMargins left="0.748031" right="0.748031" top="0.984252" bottom="0.984252" header="0.511811" footer="0.511811"/>
  <pageSetup paperSize="9" scale="90" orientation="portrait" blackAndWhite="true"/>
  <headerFooter alignWithMargins="false"/>
  <legacyDrawing r:id="rId0"/>
</worksheet>
</file>

<file path=xl/worksheets/sheet20.xml><?xml version="1.0" encoding="utf-8"?>
<worksheet xmlns="http://schemas.openxmlformats.org/spreadsheetml/2006/main">
  <sheetPr/>
  <dimension ref="AA32"/>
  <sheetViews>
    <sheetView showGridLines="true" topLeftCell="A4" zoomScaleSheetLayoutView="100" workbookViewId="0"/>
  </sheetViews>
  <sheetFormatPr defaultColWidth="9" defaultRowHeight="15.75"/>
  <cols>
    <col min="1" max="1" width="8.125" style="712"/>
    <col min="2" max="2" width="10" style="712"/>
    <col min="3" max="3" width="13.75" style="712"/>
    <col min="4" max="4" width="11.5" style="712"/>
    <col min="5" max="7" width="13.75" style="712"/>
    <col min="8" max="8" width="14.875" style="712"/>
    <col min="9" max="9" width="9" style="712"/>
    <col min="10" max="10" width="10.5" style="712"/>
    <col min="11" max="11" width="15.875" style="712"/>
    <col min="12" max="12" width="9.375" style="712"/>
    <col min="13" max="13" width="23.125" style="712"/>
    <col min="14" max="14" width="14.75" style="712"/>
    <col min="15" max="15" width="25.375" style="712"/>
    <col min="16" max="16" width="12.625" style="712" bestFit="true"/>
    <col min="17" max="17" width="9" style="712"/>
    <col min="18" max="18" width="12.625" style="712"/>
    <col min="19" max="26" width="9" style="712"/>
  </cols>
  <sheetData>
    <row r="1" spans="1:18" ht="15.6">
      <c r="A1" s="167" t="s"/>
      <c r="B1" s="167" t="s"/>
      <c r="C1" s="167" t="s"/>
      <c r="D1" s="167" t="s"/>
      <c r="E1" s="167" t="s"/>
      <c r="F1" s="167" t="s"/>
      <c r="G1" s="167" t="s"/>
      <c r="H1" s="167" t="s"/>
      <c r="I1" s="167" t="s"/>
      <c r="J1" s="167" t="s"/>
      <c r="K1" s="167" t="s"/>
      <c r="L1" s="167" t="s"/>
      <c r="M1" s="167" t="s"/>
      <c r="N1" s="168">
        <f>=G5*H5*0.82</f>
        <v>153370873.656</v>
      </c>
      <c r="O1" s="167" t="s"/>
      <c r="P1" s="167" t="s"/>
      <c r="Q1" s="167" t="s"/>
      <c r="R1" s="167" t="s"/>
    </row>
    <row r="2" spans="1:18" ht="15.6">
      <c r="A2" s="167" t="s"/>
      <c r="B2" s="167" t="s"/>
      <c r="C2" s="167" t="s"/>
      <c r="D2" s="167" t="s"/>
      <c r="E2" s="167" t="s"/>
      <c r="F2" s="167" t="s"/>
      <c r="G2" s="167" t="s"/>
      <c r="H2" s="167" t="s"/>
      <c r="I2" s="167" t="s"/>
      <c r="J2" s="167" t="s"/>
      <c r="K2" s="167" t="s"/>
      <c r="L2" s="167" t="s"/>
      <c r="M2" s="167" t="s"/>
      <c r="N2" s="167" t="s"/>
      <c r="O2" s="167" t="s"/>
      <c r="P2" s="167" t="s"/>
      <c r="Q2" s="167" t="s"/>
      <c r="R2" s="167" t="s"/>
    </row>
    <row r="3" spans="1:18" ht="15.6">
      <c r="A3" s="167" t="s"/>
      <c r="B3" s="167" t="s"/>
      <c r="C3" s="167" t="s"/>
      <c r="D3" s="167" t="s"/>
      <c r="E3" s="167" t="s"/>
      <c r="F3" s="167" t="s"/>
      <c r="G3" s="167" t="s"/>
      <c r="H3" s="167" t="s"/>
      <c r="I3" s="167" t="s"/>
      <c r="J3" s="167" t="s"/>
      <c r="K3" s="167" t="s"/>
      <c r="L3" s="167" t="s"/>
      <c r="M3" s="167" t="s"/>
      <c r="N3" s="167" t="s"/>
      <c r="O3" s="167" t="s"/>
      <c r="P3" s="167" t="s"/>
      <c r="Q3" s="167" t="s"/>
      <c r="R3" s="167" t="s"/>
    </row>
    <row r="4" spans="1:18" ht="43.2">
      <c r="A4" s="167" t="s"/>
      <c r="B4" s="167" t="s">
        <v>401</v>
      </c>
      <c r="C4" s="167" t="s">
        <v>402</v>
      </c>
      <c r="D4" s="167" t="s">
        <v>403</v>
      </c>
      <c r="E4" s="167" t="s">
        <v>404</v>
      </c>
      <c r="F4" s="167" t="s">
        <v>405</v>
      </c>
      <c r="G4" s="168" t="s">
        <v>406</v>
      </c>
      <c r="H4" s="169" t="s">
        <v>407</v>
      </c>
      <c r="I4" s="167" t="s">
        <v>408</v>
      </c>
      <c r="J4" s="167" t="s">
        <v>409</v>
      </c>
      <c r="K4" s="167" t="s">
        <v>410</v>
      </c>
      <c r="N4" s="167" t="s"/>
      <c r="O4" s="167" t="s">
        <v>411</v>
      </c>
      <c r="P4" s="167" t="s"/>
      <c r="Q4" s="167" t="s"/>
      <c r="R4" s="167" t="s"/>
    </row>
    <row r="5" spans="1:18" ht="72">
      <c r="A5" s="170" t="s">
        <v>412</v>
      </c>
      <c r="B5" s="167">
        <v>70110.26</v>
      </c>
      <c r="C5" s="167">
        <v>48385.81</v>
      </c>
      <c r="D5" s="167" t="s">
        <v>413</v>
      </c>
      <c r="E5" s="167">
        <v>1467232.49</v>
      </c>
      <c r="F5" s="171">
        <f>=C28/E5</f>
        <v>0.444262795734574</v>
      </c>
      <c r="G5" s="167">
        <v>147420</v>
      </c>
      <c r="H5" s="167">
        <v>1268.74</v>
      </c>
      <c r="I5" s="170">
        <v>16186.42</v>
      </c>
      <c r="J5" s="172">
        <v>0.82</v>
      </c>
      <c r="K5" s="173">
        <f>=G5*H5*J5*0.0001</f>
        <v>15337.0873656</v>
      </c>
      <c r="N5" s="167" t="s"/>
      <c r="O5" s="167">
        <f>=K5/G5*10</f>
        <v>1.0403668</v>
      </c>
      <c r="P5" s="167" t="s"/>
      <c r="Q5" s="167" t="s"/>
      <c r="R5" s="167">
        <f>=O5*G5*82%</f>
        <v>125764.11639792</v>
      </c>
    </row>
    <row r="6" spans="1:18" ht="57.6">
      <c r="A6" s="167" t="s">
        <v>414</v>
      </c>
      <c r="B6" s="167">
        <v>35561.62</v>
      </c>
      <c r="C6" s="167">
        <v>31000</v>
      </c>
      <c r="D6" s="167" t="s">
        <v>415</v>
      </c>
      <c r="E6" s="167">
        <v>1364300</v>
      </c>
      <c r="F6" s="171">
        <v>0.75</v>
      </c>
      <c r="G6" s="167">
        <v>100000</v>
      </c>
      <c r="H6" s="167">
        <v>1199.54</v>
      </c>
      <c r="I6" s="167">
        <v>12952.8</v>
      </c>
      <c r="K6" s="167" t="s"/>
      <c r="L6" s="167" t="s"/>
      <c r="M6" s="167" t="s"/>
      <c r="N6" s="167" t="s"/>
      <c r="O6" s="167" t="s"/>
      <c r="P6" s="167" t="s"/>
      <c r="Q6" s="167" t="s"/>
      <c r="R6" s="167">
        <f>=O6*G6*82%</f>
        <v>0</v>
      </c>
    </row>
    <row r="7" spans="1:18" ht="16.35" thickBot="true">
      <c r="A7" s="167" t="s"/>
      <c r="B7" s="167" t="s"/>
      <c r="C7" s="167" t="s"/>
      <c r="D7" s="167" t="s"/>
      <c r="E7" s="167" t="s"/>
      <c r="F7" s="167" t="s"/>
      <c r="G7" s="167" t="s"/>
      <c r="H7" s="167" t="s"/>
      <c r="I7" s="167" t="s"/>
      <c r="J7" s="167" t="s"/>
      <c r="K7" s="167" t="s"/>
      <c r="L7" s="167" t="s"/>
      <c r="M7" s="167" t="s"/>
      <c r="N7" s="167" t="s"/>
      <c r="O7" s="167" t="s"/>
      <c r="P7" s="167" t="s"/>
      <c r="Q7" s="167" t="s"/>
      <c r="R7" s="167" t="s"/>
    </row>
    <row r="8" spans="1:18" ht="29.55" thickBot="true">
      <c r="A8" s="167" t="s">
        <v>416</v>
      </c>
      <c r="B8" s="167" t="s">
        <v>417</v>
      </c>
      <c r="C8" s="167" t="s">
        <v>418</v>
      </c>
      <c r="D8" s="167" t="s">
        <v>419</v>
      </c>
      <c r="E8" s="167" t="s">
        <v>420</v>
      </c>
      <c r="F8" s="167" t="s">
        <v>421</v>
      </c>
      <c r="G8" s="167" t="s">
        <v>422</v>
      </c>
      <c r="H8" s="167" t="s">
        <v>423</v>
      </c>
      <c r="I8" s="167" t="s">
        <v>424</v>
      </c>
      <c r="J8" s="167" t="s">
        <v>425</v>
      </c>
      <c r="K8" s="167" t="s">
        <v>426</v>
      </c>
      <c r="L8" s="167" t="s">
        <v>427</v>
      </c>
      <c r="M8" s="167" t="s"/>
      <c r="O8" s="174">
        <f>=69835.27-2750</f>
        <v>67085.27</v>
      </c>
      <c r="P8" s="175">
        <f>=70110.26-2750</f>
        <v>67360.26</v>
      </c>
      <c r="Q8" s="167" t="s"/>
      <c r="R8" s="167" t="s"/>
    </row>
    <row r="9" spans="1:18" ht="15.6">
      <c r="A9" s="167">
        <v>1</v>
      </c>
      <c r="B9" s="172">
        <v>0.02</v>
      </c>
      <c r="C9" s="176">
        <f>=K5</f>
        <v>15337.0873656</v>
      </c>
      <c r="D9" s="167">
        <v>0.6194</v>
      </c>
      <c r="E9" s="172">
        <v>0.5</v>
      </c>
      <c r="F9" s="176">
        <f>=C9*0.5</f>
        <v>7668.5436828</v>
      </c>
      <c r="G9" s="176">
        <f>=F9*D9</f>
        <v>4749.89595712632</v>
      </c>
      <c r="H9" s="167">
        <v>0.3779</v>
      </c>
      <c r="I9" s="172">
        <v>0.5</v>
      </c>
      <c r="J9" s="176">
        <f>=C9*0.5</f>
        <v>7668.5436828</v>
      </c>
      <c r="K9" s="176">
        <f>=J9*H9</f>
        <v>2897.94265773012</v>
      </c>
      <c r="L9" s="176">
        <f>=G9+K9</f>
        <v>7647.83861485644</v>
      </c>
      <c r="M9" s="167" t="s"/>
      <c r="O9" s="167">
        <f>=O8/G5</f>
        <v>0.45506220322887</v>
      </c>
      <c r="P9" s="167">
        <f>=P8/G5</f>
        <v>0.456927553927554</v>
      </c>
      <c r="Q9" s="167" t="s"/>
      <c r="R9" s="167" t="s"/>
    </row>
    <row r="10" spans="1:18" ht="15.6">
      <c r="A10" s="167">
        <v>2</v>
      </c>
      <c r="B10" s="171">
        <f>=B9+0.45%</f>
        <v>0.0245</v>
      </c>
      <c r="C10" s="176">
        <f>=15337.08737*(1-B10+2%)</f>
        <v>15268.070476835</v>
      </c>
      <c r="D10" s="167">
        <v>0.6194</v>
      </c>
      <c r="E10" s="172">
        <v>0.5</v>
      </c>
      <c r="F10" s="176">
        <f>=C10*0.5</f>
        <v>7634.0352384175</v>
      </c>
      <c r="G10" s="176">
        <f>=F10*D10</f>
        <v>4728.5214266758</v>
      </c>
      <c r="H10" s="167">
        <v>0.3779</v>
      </c>
      <c r="I10" s="172">
        <v>0.5</v>
      </c>
      <c r="J10" s="176">
        <f>=C10*0.5</f>
        <v>7634.0352384175</v>
      </c>
      <c r="K10" s="176">
        <f>=J10*H10</f>
        <v>2884.90191659797</v>
      </c>
      <c r="L10" s="176">
        <f>=G10+K10</f>
        <v>7613.42334327377</v>
      </c>
      <c r="M10" s="167" t="s"/>
      <c r="N10" s="177">
        <f>=153370*0.3015</f>
        <v>46241.055</v>
      </c>
      <c r="O10" s="167" t="s"/>
      <c r="P10" s="167" t="s"/>
      <c r="Q10" s="167" t="s"/>
      <c r="R10" s="167" t="s"/>
    </row>
    <row r="11" spans="1:18" ht="15.6">
      <c r="A11" s="167">
        <v>3</v>
      </c>
      <c r="B11" s="171">
        <f>=B10+0.45%</f>
        <v>0.029</v>
      </c>
      <c r="C11" s="176">
        <f>=15337.08737*(1-B11+2%)</f>
        <v>15199.05358367</v>
      </c>
      <c r="D11" s="167">
        <v>0.6194</v>
      </c>
      <c r="E11" s="172">
        <v>0.5</v>
      </c>
      <c r="F11" s="176">
        <f>=C11*0.5</f>
        <v>7599.526791835</v>
      </c>
      <c r="G11" s="176">
        <f>=F11*D11</f>
        <v>4707.1468948626</v>
      </c>
      <c r="H11" s="167">
        <v>0.3779</v>
      </c>
      <c r="I11" s="172">
        <v>0.5</v>
      </c>
      <c r="J11" s="176">
        <f>=C11*0.5</f>
        <v>7599.526791835</v>
      </c>
      <c r="K11" s="176">
        <f>=J11*H11</f>
        <v>2871.86117463445</v>
      </c>
      <c r="L11" s="176">
        <f>=G11+K11</f>
        <v>7579.00806949705</v>
      </c>
      <c r="M11" s="167" t="s"/>
      <c r="O11" s="167">
        <v>4.73</v>
      </c>
      <c r="P11" s="167" t="s"/>
      <c r="Q11" s="167" t="s"/>
      <c r="R11" s="167" t="s"/>
    </row>
    <row r="12" spans="1:18" ht="15.6">
      <c r="A12" s="167">
        <v>4</v>
      </c>
      <c r="B12" s="171">
        <f>=B11+0.45%</f>
        <v>0.0335</v>
      </c>
      <c r="C12" s="176">
        <f>=15337.08737*(1-B12+2%)</f>
        <v>15130.036690505</v>
      </c>
      <c r="D12" s="167">
        <v>0.6194</v>
      </c>
      <c r="E12" s="172">
        <v>0.5</v>
      </c>
      <c r="F12" s="176">
        <f>=C12*0.5</f>
        <v>7565.0183452525</v>
      </c>
      <c r="G12" s="176">
        <f>=F12*D12</f>
        <v>4685.7723630494</v>
      </c>
      <c r="H12" s="167">
        <v>0.3779</v>
      </c>
      <c r="I12" s="172">
        <v>0.5</v>
      </c>
      <c r="J12" s="176">
        <f>=C12*0.5</f>
        <v>7565.0183452525</v>
      </c>
      <c r="K12" s="176">
        <f>=J12*H12</f>
        <v>2858.82043267092</v>
      </c>
      <c r="L12" s="176">
        <f>=G12+K12</f>
        <v>7544.59279572032</v>
      </c>
      <c r="M12" s="167" t="s"/>
      <c r="O12" s="167">
        <f>=O8-10763.5</f>
        <v>56321.77</v>
      </c>
      <c r="P12" s="167" t="s"/>
      <c r="Q12" s="167" t="s"/>
      <c r="R12" s="167" t="s"/>
    </row>
    <row r="13" spans="1:18" ht="15.6">
      <c r="A13" s="167">
        <v>5</v>
      </c>
      <c r="B13" s="171">
        <f>=B12+0.45%</f>
        <v>0.038</v>
      </c>
      <c r="C13" s="176">
        <f>=15337.08737*(1-B13+2%)</f>
        <v>15061.01979734</v>
      </c>
      <c r="D13" s="167">
        <v>0.6194</v>
      </c>
      <c r="E13" s="172">
        <v>0.5</v>
      </c>
      <c r="F13" s="176">
        <f>=C13*0.5</f>
        <v>7530.50989867</v>
      </c>
      <c r="G13" s="176">
        <f>=F13*D13</f>
        <v>4664.3978312362</v>
      </c>
      <c r="H13" s="167">
        <v>0.3779</v>
      </c>
      <c r="I13" s="172">
        <v>0.5</v>
      </c>
      <c r="J13" s="176">
        <f>=C13*0.5</f>
        <v>7530.50989867</v>
      </c>
      <c r="K13" s="176">
        <f>=J13*H13</f>
        <v>2845.77969070739</v>
      </c>
      <c r="L13" s="176">
        <f>=G13+K13</f>
        <v>7510.17752194359</v>
      </c>
      <c r="M13" s="167" t="s"/>
      <c r="O13" s="167">
        <f>=O12/G5</f>
        <v>0.382049721883055</v>
      </c>
      <c r="P13" s="167" t="s"/>
      <c r="Q13" s="167" t="s"/>
      <c r="R13" s="167" t="s"/>
    </row>
    <row r="14" spans="1:18" ht="15.6">
      <c r="A14" s="167">
        <v>6</v>
      </c>
      <c r="B14" s="171">
        <f>=B13+0.45%</f>
        <v>0.0425</v>
      </c>
      <c r="C14" s="176">
        <f>=15337.08737*(1-B14+2%)</f>
        <v>14992.002904175</v>
      </c>
      <c r="D14" s="167">
        <v>0.6194</v>
      </c>
      <c r="E14" s="172">
        <v>0.5</v>
      </c>
      <c r="F14" s="176">
        <f>=C14*0.5</f>
        <v>7496.0014520875</v>
      </c>
      <c r="G14" s="176">
        <f>=F14*D14</f>
        <v>4643.023299423</v>
      </c>
      <c r="H14" s="167">
        <v>0.3779</v>
      </c>
      <c r="I14" s="172">
        <v>0.5</v>
      </c>
      <c r="J14" s="176">
        <f>=C14*0.5</f>
        <v>7496.0014520875</v>
      </c>
      <c r="K14" s="176">
        <f>=J14*H14</f>
        <v>2832.73894874387</v>
      </c>
      <c r="L14" s="176">
        <f>=G14+K14</f>
        <v>7475.76224816687</v>
      </c>
      <c r="M14" s="167" t="s"/>
      <c r="O14" s="167" t="s"/>
      <c r="P14" s="167" t="s"/>
      <c r="Q14" s="167" t="s"/>
      <c r="R14" s="167" t="s"/>
    </row>
    <row r="15" spans="1:18" ht="15.6">
      <c r="A15" s="167">
        <v>7</v>
      </c>
      <c r="B15" s="171">
        <f>=B14+0.45%</f>
        <v>0.047</v>
      </c>
      <c r="C15" s="176">
        <f>=15337.08737*(1-B15+2%)</f>
        <v>14922.98601101</v>
      </c>
      <c r="D15" s="167">
        <v>0.6194</v>
      </c>
      <c r="E15" s="172">
        <v>0.5</v>
      </c>
      <c r="F15" s="176">
        <f>=C15*0.5</f>
        <v>7461.493005505</v>
      </c>
      <c r="G15" s="176">
        <f>=F15*D15</f>
        <v>4621.6487676098</v>
      </c>
      <c r="H15" s="167">
        <v>0.3779</v>
      </c>
      <c r="I15" s="172">
        <v>0.5</v>
      </c>
      <c r="J15" s="176">
        <f>=C15*0.5</f>
        <v>7461.493005505</v>
      </c>
      <c r="K15" s="176">
        <f>=J15*H15</f>
        <v>2819.69820678034</v>
      </c>
      <c r="L15" s="176">
        <f>=G15+K15</f>
        <v>7441.34697439014</v>
      </c>
      <c r="M15" s="167" t="s"/>
      <c r="O15" s="167" t="s"/>
      <c r="P15" s="167" t="s"/>
      <c r="Q15" s="167" t="s"/>
      <c r="R15" s="167" t="s"/>
    </row>
    <row r="16" spans="1:18" ht="15.6">
      <c r="A16" s="167">
        <v>8</v>
      </c>
      <c r="B16" s="171">
        <f>=B15+0.45%</f>
        <v>0.0515</v>
      </c>
      <c r="C16" s="176">
        <f>=15337.08737*(1-B16+2%)</f>
        <v>14853.969117845</v>
      </c>
      <c r="D16" s="167">
        <v>0.6194</v>
      </c>
      <c r="E16" s="172">
        <v>0.5</v>
      </c>
      <c r="F16" s="176">
        <f>=C16*0.5</f>
        <v>7426.9845589225</v>
      </c>
      <c r="G16" s="176">
        <f>=F16*D16</f>
        <v>4600.2742357966</v>
      </c>
      <c r="H16" s="167">
        <v>0.3779</v>
      </c>
      <c r="I16" s="172">
        <v>0.5</v>
      </c>
      <c r="J16" s="176">
        <f>=C16*0.5</f>
        <v>7426.9845589225</v>
      </c>
      <c r="K16" s="176">
        <f>=J16*H16</f>
        <v>2806.65746481681</v>
      </c>
      <c r="L16" s="176">
        <f>=G16+K16</f>
        <v>7406.93170061341</v>
      </c>
      <c r="M16" s="167" t="s"/>
      <c r="O16" s="167" t="s"/>
      <c r="P16" s="167" t="s"/>
      <c r="Q16" s="167" t="s"/>
      <c r="R16" s="167" t="s"/>
    </row>
    <row r="17" spans="1:18" ht="15.6">
      <c r="A17" s="167">
        <v>9</v>
      </c>
      <c r="B17" s="171">
        <f>=B16+0.45%</f>
        <v>0.056</v>
      </c>
      <c r="C17" s="176">
        <f>=15337.08737*(1-B17+2%)</f>
        <v>14784.95222468</v>
      </c>
      <c r="D17" s="167">
        <v>0.6194</v>
      </c>
      <c r="E17" s="172">
        <v>0.5</v>
      </c>
      <c r="F17" s="176">
        <f>=C17*0.5</f>
        <v>7392.47611234</v>
      </c>
      <c r="G17" s="176">
        <f>=F17*D17</f>
        <v>4578.8997039834</v>
      </c>
      <c r="H17" s="167">
        <v>0.3779</v>
      </c>
      <c r="I17" s="172">
        <v>0.5</v>
      </c>
      <c r="J17" s="176">
        <f>=C17*0.5</f>
        <v>7392.47611234</v>
      </c>
      <c r="K17" s="176">
        <f>=J17*H17</f>
        <v>2793.61672285329</v>
      </c>
      <c r="L17" s="176">
        <f>=G17+K17</f>
        <v>7372.51642683668</v>
      </c>
      <c r="M17" s="167" t="s"/>
      <c r="O17" s="167" t="s"/>
      <c r="P17" s="167" t="s"/>
      <c r="Q17" s="167" t="s"/>
      <c r="R17" s="167" t="s"/>
    </row>
    <row r="18" spans="1:18" ht="15.6">
      <c r="A18" s="167">
        <v>10</v>
      </c>
      <c r="B18" s="171">
        <f>=B17+0.45%</f>
        <v>0.0605</v>
      </c>
      <c r="C18" s="176">
        <f>=15337.08737*(1-B18+2%)</f>
        <v>14715.935331515</v>
      </c>
      <c r="D18" s="167">
        <v>0.6194</v>
      </c>
      <c r="E18" s="172">
        <v>0.5</v>
      </c>
      <c r="F18" s="176">
        <f>=C18*0.5</f>
        <v>7357.9676657575</v>
      </c>
      <c r="G18" s="176">
        <f>=F18*D18</f>
        <v>4557.5251721702</v>
      </c>
      <c r="H18" s="167">
        <v>0.3779</v>
      </c>
      <c r="I18" s="172">
        <v>0.5</v>
      </c>
      <c r="J18" s="176">
        <f>=C18*0.5</f>
        <v>7357.9676657575</v>
      </c>
      <c r="K18" s="176">
        <f>=J18*H18</f>
        <v>2780.57598088976</v>
      </c>
      <c r="L18" s="176">
        <f>=G18+K18</f>
        <v>7338.10115305996</v>
      </c>
      <c r="M18" s="167" t="s"/>
      <c r="O18" s="167" t="s"/>
      <c r="P18" s="167" t="s"/>
      <c r="Q18" s="167" t="s"/>
      <c r="R18" s="167" t="s"/>
    </row>
    <row r="19" spans="1:18" ht="15.6">
      <c r="A19" s="167">
        <v>11</v>
      </c>
      <c r="B19" s="171">
        <f>=B18+0.45%</f>
        <v>0.065</v>
      </c>
      <c r="C19" s="176">
        <f>=15337.08737*(1-B19+2%)</f>
        <v>14646.91843835</v>
      </c>
      <c r="D19" s="167">
        <v>0.6194</v>
      </c>
      <c r="E19" s="172">
        <v>0.5</v>
      </c>
      <c r="F19" s="176">
        <f>=C19*0.5</f>
        <v>7323.459219175</v>
      </c>
      <c r="G19" s="176">
        <f>=F19*D19</f>
        <v>4536.150640357</v>
      </c>
      <c r="H19" s="167">
        <v>0.3779</v>
      </c>
      <c r="I19" s="172">
        <v>0.5</v>
      </c>
      <c r="J19" s="176">
        <f>=C19*0.5</f>
        <v>7323.459219175</v>
      </c>
      <c r="K19" s="176">
        <f>=J19*H19</f>
        <v>2767.53523892623</v>
      </c>
      <c r="L19" s="176">
        <f>=G19+K19</f>
        <v>7303.68587928323</v>
      </c>
      <c r="M19" s="167" t="s"/>
      <c r="O19" s="167" t="s"/>
      <c r="P19" s="167" t="s"/>
      <c r="Q19" s="167" t="s"/>
      <c r="R19" s="167" t="s"/>
    </row>
    <row r="20" spans="1:18" ht="15.6">
      <c r="A20" s="167">
        <v>12</v>
      </c>
      <c r="B20" s="171">
        <f>=B19+0.45%</f>
        <v>0.0695</v>
      </c>
      <c r="C20" s="176">
        <f>=15337.08737*(1-B20+2%)</f>
        <v>14577.901545185</v>
      </c>
      <c r="D20" s="167">
        <v>0.6194</v>
      </c>
      <c r="E20" s="172">
        <v>0.5</v>
      </c>
      <c r="F20" s="176">
        <f>=C20*0.5</f>
        <v>7288.9507725925</v>
      </c>
      <c r="G20" s="176">
        <f>=F20*D20</f>
        <v>4514.7761085438</v>
      </c>
      <c r="H20" s="167">
        <v>0.3779</v>
      </c>
      <c r="I20" s="172">
        <v>0.5</v>
      </c>
      <c r="J20" s="176">
        <f>=C20*0.5</f>
        <v>7288.9507725925</v>
      </c>
      <c r="K20" s="176">
        <f>=J20*H20</f>
        <v>2754.49449696271</v>
      </c>
      <c r="L20" s="176">
        <f>=G20+K20</f>
        <v>7269.2706055065</v>
      </c>
      <c r="M20" s="167" t="s"/>
      <c r="O20" s="167" t="s"/>
      <c r="P20" s="167" t="s"/>
      <c r="Q20" s="167" t="s"/>
      <c r="R20" s="167" t="s"/>
    </row>
    <row r="21" spans="1:18" ht="15.6">
      <c r="A21" s="167">
        <v>13</v>
      </c>
      <c r="B21" s="171">
        <f>=B20+0.45%</f>
        <v>0.074</v>
      </c>
      <c r="C21" s="176">
        <f>=15337.08737*(1-B21+2%)</f>
        <v>14508.88465202</v>
      </c>
      <c r="D21" s="167">
        <v>0.6194</v>
      </c>
      <c r="E21" s="172">
        <v>0.5</v>
      </c>
      <c r="F21" s="176">
        <f>=C21*0.5</f>
        <v>7254.44232601</v>
      </c>
      <c r="G21" s="176">
        <f>=F21*D21</f>
        <v>4493.40157673059</v>
      </c>
      <c r="H21" s="167">
        <v>0.3779</v>
      </c>
      <c r="I21" s="172">
        <v>0.5</v>
      </c>
      <c r="J21" s="176">
        <f>=C21*0.5</f>
        <v>7254.44232601</v>
      </c>
      <c r="K21" s="176">
        <f>=J21*H21</f>
        <v>2741.45375499918</v>
      </c>
      <c r="L21" s="176">
        <f>=G21+K21</f>
        <v>7234.85533172977</v>
      </c>
      <c r="M21" s="167" t="s"/>
      <c r="O21" s="167" t="s"/>
      <c r="P21" s="167" t="s"/>
      <c r="Q21" s="167" t="s"/>
      <c r="R21" s="167" t="s"/>
    </row>
    <row r="22" spans="1:18" ht="15.6">
      <c r="A22" s="167" t="s">
        <v>428</v>
      </c>
      <c r="B22" s="171" t="s"/>
      <c r="C22" s="176">
        <f>=SUM(C9:C21)</f>
        <v>193998.81813873</v>
      </c>
      <c r="D22" s="167" t="s"/>
      <c r="E22" s="167" t="s"/>
      <c r="F22" s="167" t="s"/>
      <c r="G22" s="167">
        <f>=SUM(G9:G21)</f>
        <v>60081.4339775647</v>
      </c>
      <c r="H22" s="167" t="s"/>
      <c r="I22" s="167" t="s"/>
      <c r="J22" s="167" t="s"/>
      <c r="K22" s="167">
        <f>=SUM(K9:K21)</f>
        <v>36656.0766873131</v>
      </c>
      <c r="L22" s="176">
        <f>=SUM(L9:L21)</f>
        <v>96737.5106648777</v>
      </c>
      <c r="M22" s="167" t="s">
        <v>429</v>
      </c>
      <c r="O22" s="167" t="s"/>
      <c r="P22" s="167" t="s"/>
      <c r="Q22" s="167" t="s"/>
      <c r="R22" s="167" t="s"/>
    </row>
    <row r="23" spans="1:18" ht="28.8">
      <c r="A23" s="167" t="s">
        <v>430</v>
      </c>
      <c r="B23" s="171" t="s"/>
      <c r="C23" s="176">
        <f>=C22/13</f>
        <v>14922.9860106715</v>
      </c>
      <c r="D23" s="167" t="s"/>
      <c r="E23" s="167" t="s"/>
      <c r="F23" s="167" t="s"/>
      <c r="G23" s="167" t="s"/>
      <c r="H23" s="167" t="s"/>
      <c r="I23" s="167" t="s"/>
      <c r="J23" s="167" t="s"/>
      <c r="K23" s="167" t="s"/>
      <c r="L23" s="176">
        <f>=L22/13</f>
        <v>7441.34697422136</v>
      </c>
      <c r="M23" s="167" t="s">
        <v>431</v>
      </c>
      <c r="O23" s="167" t="s"/>
      <c r="P23" s="167" t="s"/>
      <c r="Q23" s="167" t="s"/>
      <c r="R23" s="167" t="s"/>
    </row>
    <row r="24" spans="1:18" ht="15.6">
      <c r="A24" s="167" t="s"/>
      <c r="B24" s="167" t="s"/>
      <c r="C24" s="167" t="s"/>
      <c r="D24" s="167" t="s"/>
      <c r="E24" s="167" t="s"/>
      <c r="F24" s="167" t="s"/>
      <c r="G24" s="167" t="s"/>
      <c r="H24" s="167" t="s"/>
      <c r="I24" s="167" t="s"/>
      <c r="J24" s="167" t="s"/>
      <c r="K24" s="167" t="s"/>
      <c r="L24" s="167" t="s"/>
      <c r="M24" s="167" t="s"/>
      <c r="N24" s="167" t="s"/>
      <c r="O24" s="167" t="s"/>
      <c r="P24" s="167" t="s"/>
      <c r="Q24" s="167" t="s"/>
      <c r="R24" s="167" t="s"/>
    </row>
    <row r="25" spans="1:18" ht="15.6">
      <c r="A25" s="167" t="s"/>
      <c r="B25" s="167" t="s">
        <v>432</v>
      </c>
      <c r="C25" s="167">
        <f>=2281*1134</f>
        <v>2586654</v>
      </c>
      <c r="D25" s="167" t="s"/>
      <c r="E25" s="167" t="s"/>
      <c r="F25" s="167" t="s"/>
      <c r="G25" s="167" t="s"/>
      <c r="H25" s="167" t="s"/>
      <c r="I25" s="167" t="s"/>
      <c r="J25" s="167" t="s"/>
      <c r="K25" s="167" t="s"/>
      <c r="L25" s="167" t="s"/>
      <c r="M25" s="167" t="s"/>
      <c r="N25" s="167" t="s"/>
      <c r="O25" s="167" t="s"/>
      <c r="P25" s="167" t="s"/>
      <c r="Q25" s="167" t="s"/>
      <c r="R25" s="167" t="s"/>
    </row>
    <row r="26" spans="1:18" ht="15.6">
      <c r="A26" s="167" t="s"/>
      <c r="B26" s="167" t="s">
        <v>433</v>
      </c>
      <c r="C26" s="167">
        <v>2.586654</v>
      </c>
      <c r="D26" s="167" t="s"/>
      <c r="E26" s="167">
        <v>575982</v>
      </c>
      <c r="F26" s="167" t="s"/>
      <c r="G26" s="167" t="s"/>
      <c r="H26" s="167" t="s"/>
      <c r="I26" s="167" t="s"/>
      <c r="J26" s="167" t="s"/>
      <c r="K26" s="167" t="s"/>
      <c r="L26" s="167" t="s"/>
      <c r="M26" s="167" t="s"/>
      <c r="N26" s="167" t="s"/>
      <c r="O26" s="167" t="s"/>
      <c r="P26" s="167" t="s"/>
      <c r="Q26" s="167" t="s"/>
      <c r="R26" s="167" t="s"/>
    </row>
    <row r="27" spans="1:18" ht="15.6">
      <c r="A27" s="167" t="s"/>
      <c r="B27" s="167" t="s">
        <v>434</v>
      </c>
      <c r="C27" s="170">
        <v>252000</v>
      </c>
      <c r="D27" s="170" t="s"/>
      <c r="E27" s="167">
        <f>=C27/E26</f>
        <v>0.43751367230226</v>
      </c>
      <c r="F27" s="167" t="s"/>
      <c r="G27" s="167" t="s"/>
      <c r="H27" s="167" t="s"/>
      <c r="I27" s="167" t="s"/>
      <c r="J27" s="167" t="s"/>
      <c r="K27" s="167" t="s"/>
      <c r="L27" s="167" t="s"/>
      <c r="M27" s="171" t="s"/>
      <c r="N27" s="167" t="s"/>
      <c r="O27" s="167" t="s"/>
      <c r="P27" s="167" t="s"/>
      <c r="Q27" s="167" t="s"/>
      <c r="R27" s="167" t="s"/>
    </row>
    <row r="28" spans="1:18" ht="15.6">
      <c r="A28" s="167" t="s"/>
      <c r="B28" s="167" t="s">
        <v>435</v>
      </c>
      <c r="C28" s="167">
        <f>=C26*C27</f>
        <v>651836.808</v>
      </c>
      <c r="D28" s="167" t="s"/>
      <c r="E28" s="167" t="s"/>
      <c r="F28" s="167" t="s"/>
      <c r="G28" s="167" t="s"/>
      <c r="H28" s="167" t="s"/>
      <c r="I28" s="167" t="s"/>
      <c r="J28" s="167" t="s"/>
      <c r="K28" s="167" t="s"/>
      <c r="L28" s="167" t="s"/>
      <c r="M28" s="167" t="s"/>
      <c r="N28" s="167" t="s"/>
      <c r="O28" s="167" t="s"/>
      <c r="P28" s="167" t="s"/>
      <c r="Q28" s="167" t="s"/>
      <c r="R28" s="167" t="s"/>
    </row>
    <row r="29" spans="1:18" ht="15.6">
      <c r="A29" s="167" t="s"/>
      <c r="B29" s="167" t="s"/>
      <c r="C29" s="167">
        <v>585</v>
      </c>
      <c r="D29" s="167" t="s"/>
      <c r="E29" s="168">
        <f>=C27*C29</f>
        <v>147420000</v>
      </c>
      <c r="F29" s="167" t="s"/>
      <c r="G29" s="167" t="s"/>
      <c r="H29" s="167" t="s"/>
      <c r="I29" s="167" t="s"/>
      <c r="J29" s="167" t="s"/>
      <c r="K29" s="167" t="s"/>
      <c r="L29" s="167" t="s"/>
      <c r="M29" s="167" t="s"/>
      <c r="N29" s="167" t="s"/>
      <c r="O29" s="167" t="s"/>
      <c r="P29" s="167" t="s"/>
      <c r="Q29" s="167" t="s"/>
      <c r="R29" s="167" t="s"/>
    </row>
    <row r="30" spans="1:18" ht="15.6">
      <c r="A30" s="167" t="s"/>
      <c r="B30" s="167" t="s"/>
      <c r="C30" s="167" t="s"/>
      <c r="D30" s="167" t="s"/>
      <c r="E30" s="167" t="s"/>
      <c r="F30" s="167" t="s"/>
      <c r="G30" s="167" t="s"/>
      <c r="H30" s="167" t="s"/>
      <c r="I30" s="167" t="s"/>
      <c r="J30" s="167" t="s"/>
      <c r="K30" s="167" t="s"/>
      <c r="L30" s="167" t="s"/>
      <c r="M30" s="167" t="s"/>
      <c r="N30" s="167" t="s"/>
      <c r="O30" s="167" t="s"/>
      <c r="P30" s="167" t="s"/>
      <c r="Q30" s="167" t="s"/>
      <c r="R30" s="167" t="s"/>
    </row>
    <row r="31" spans="1:18" ht="15.6">
      <c r="A31" s="167" t="s"/>
      <c r="B31" s="167" t="s"/>
      <c r="C31" s="167" t="s"/>
      <c r="D31" s="167" t="s"/>
      <c r="E31" s="167" t="s"/>
      <c r="F31" s="167" t="s"/>
      <c r="G31" s="167" t="s"/>
      <c r="H31" s="167" t="s"/>
      <c r="I31" s="167" t="s"/>
      <c r="J31" s="167" t="s"/>
      <c r="K31" s="167" t="s"/>
      <c r="L31" s="167" t="s"/>
      <c r="M31" s="167" t="s"/>
      <c r="N31" s="167" t="s"/>
      <c r="O31" s="167" t="s"/>
      <c r="P31" s="167" t="s"/>
      <c r="Q31" s="167" t="s"/>
      <c r="R31" s="167" t="s"/>
    </row>
    <row r="32" spans="1:18" ht="15.6">
      <c r="A32" s="167" t="s"/>
      <c r="B32" s="167" t="s"/>
      <c r="C32" s="167" t="s"/>
      <c r="D32" s="167" t="s"/>
      <c r="E32" s="167" t="s"/>
      <c r="F32" s="167" t="s"/>
      <c r="G32" s="167" t="s"/>
      <c r="H32" s="167" t="s"/>
      <c r="I32" s="167" t="s"/>
      <c r="J32" s="167" t="s"/>
      <c r="K32" s="167" t="s"/>
      <c r="L32" s="167" t="s"/>
      <c r="M32" s="167" t="s"/>
      <c r="N32" s="167" t="s"/>
      <c r="O32" s="167" t="s"/>
      <c r="P32" s="167" t="s"/>
      <c r="Q32" s="167" t="s"/>
      <c r="R32" s="167" t="s"/>
    </row>
  </sheetData>
  <sheetProtection/>
  <pageMargins left="0.75" right="0.75" top="1" bottom="1" header="0.5" footer="0.5"/>
  <pageSetup orientation="portrait"/>
</worksheet>
</file>

<file path=xl/worksheets/sheet21.xml><?xml version="1.0" encoding="utf-8"?>
<worksheet xmlns="http://schemas.openxmlformats.org/spreadsheetml/2006/main">
  <sheetPr/>
  <dimension ref="A1"/>
  <sheetViews>
    <sheetView showGridLines="true" topLeftCell="A1" zoomScaleSheetLayoutView="100" workbookViewId="0"/>
  </sheetViews>
  <sheetFormatPr defaultColWidth="9" defaultRowHeight="15.75"/>
  <sheetData/>
  <sheetProtection/>
  <pageMargins left="0.75" right="0.75" top="1" bottom="1" header="0.5" footer="0.5"/>
  <pageSetup orientation="portrait"/>
</worksheet>
</file>

<file path=xl/worksheets/sheet22.xml><?xml version="1.0" encoding="utf-8"?>
<worksheet xmlns="http://schemas.openxmlformats.org/spreadsheetml/2006/main">
  <sheetPr/>
  <dimension ref="A1"/>
  <sheetViews>
    <sheetView showGridLines="true" topLeftCell="A1" zoomScaleSheetLayoutView="100" workbookViewId="0"/>
  </sheetViews>
  <sheetFormatPr defaultColWidth="9" defaultRowHeight="15.75"/>
  <sheetData/>
  <sheetProtection/>
  <pageMargins left="0.75" right="0.75" top="1" bottom="1" header="0.5" footer="0.5"/>
  <pageSetup orientation="portrait"/>
</worksheet>
</file>

<file path=xl/worksheets/sheet23.xml><?xml version="1.0" encoding="utf-8"?>
<worksheet xmlns="http://schemas.openxmlformats.org/spreadsheetml/2006/main">
  <sheetPr/>
  <dimension ref="A1"/>
  <sheetViews>
    <sheetView showGridLines="true" topLeftCell="A1" zoomScaleSheetLayoutView="100" workbookViewId="0"/>
  </sheetViews>
  <sheetFormatPr defaultColWidth="9" defaultRowHeight="15.75"/>
  <sheetData/>
  <sheetProtection/>
  <pageMargins left="0.75" right="0.75" top="1" bottom="1" header="0.5" footer="0.5"/>
  <pageSetup orientation="portrait"/>
</worksheet>
</file>

<file path=xl/worksheets/sheet24.xml><?xml version="1.0" encoding="utf-8"?>
<worksheet xmlns="http://schemas.openxmlformats.org/spreadsheetml/2006/main">
  <sheetPr/>
  <dimension ref="A1"/>
  <sheetViews>
    <sheetView showGridLines="true" topLeftCell="A1" zoomScaleSheetLayoutView="100" workbookViewId="0"/>
  </sheetViews>
  <sheetFormatPr defaultColWidth="9" defaultRowHeight="15.75"/>
  <sheetData/>
  <sheetProtection/>
  <pageMargins left="0.75" right="0.75" top="1" bottom="1" header="0.5" footer="0.5"/>
  <pageSetup orientation="portrait"/>
</worksheet>
</file>

<file path=xl/worksheets/sheet25.xml><?xml version="1.0" encoding="utf-8"?>
<worksheet xmlns="http://schemas.openxmlformats.org/spreadsheetml/2006/main">
  <sheetPr/>
  <dimension ref="A1"/>
  <sheetViews>
    <sheetView showGridLines="true" topLeftCell="A1" zoomScaleSheetLayoutView="100" workbookViewId="0"/>
  </sheetViews>
  <sheetFormatPr defaultColWidth="9" defaultRowHeight="15.75"/>
  <sheetData/>
  <sheetProtection/>
  <pageMargins left="0.75" right="0.75" top="1" bottom="1" header="0.5" footer="0.5"/>
  <pageSetup orientation="portrait"/>
</worksheet>
</file>

<file path=xl/worksheets/sheet26.xml><?xml version="1.0" encoding="utf-8"?>
<worksheet xmlns="http://schemas.openxmlformats.org/spreadsheetml/2006/main">
  <sheetPr/>
  <dimension ref="A1"/>
  <sheetViews>
    <sheetView showGridLines="true" topLeftCell="A1" zoomScaleSheetLayoutView="100" workbookViewId="0"/>
  </sheetViews>
  <sheetFormatPr defaultColWidth="9" defaultRowHeight="15.75"/>
  <sheetData/>
  <sheetProtection/>
  <pageMargins left="0.75" right="0.75" top="1" bottom="1" header="0.5" footer="0.5"/>
  <pageSetup orientation="portrait"/>
</worksheet>
</file>

<file path=xl/worksheets/sheet27.xml><?xml version="1.0" encoding="utf-8"?>
<worksheet xmlns="http://schemas.openxmlformats.org/spreadsheetml/2006/main">
  <sheetPr/>
  <dimension ref="A1"/>
  <sheetViews>
    <sheetView showGridLines="true" topLeftCell="A1" zoomScaleSheetLayoutView="100" workbookViewId="0"/>
  </sheetViews>
  <sheetFormatPr defaultColWidth="8.66406" defaultRowHeight="15.75"/>
  <sheetData/>
  <sheetProtection/>
  <pageMargins left="0.75" right="0.75" top="1" bottom="1" header="0.5" footer="0.5"/>
  <pageSetup orientation="portrait"/>
</worksheet>
</file>

<file path=xl/worksheets/sheet28.xml><?xml version="1.0" encoding="utf-8"?>
<worksheet xmlns="http://schemas.openxmlformats.org/spreadsheetml/2006/main">
  <sheetPr/>
  <dimension ref="A1"/>
  <sheetViews>
    <sheetView showGridLines="true" topLeftCell="A1" zoomScaleSheetLayoutView="100" workbookViewId="0"/>
  </sheetViews>
  <sheetFormatPr defaultColWidth="8.66406" defaultRowHeight="15.75"/>
  <sheetData/>
  <sheetProtection/>
  <pageMargins left="0.75" right="0.75" top="1" bottom="1" header="0.5" footer="0.5"/>
  <pageSetup orientation="portrait"/>
</worksheet>
</file>

<file path=xl/worksheets/sheet29.xml><?xml version="1.0" encoding="utf-8"?>
<worksheet xmlns="http://schemas.openxmlformats.org/spreadsheetml/2006/main">
  <sheetPr/>
  <dimension ref="A1"/>
  <sheetViews>
    <sheetView showGridLines="true" topLeftCell="A1" zoomScaleSheetLayoutView="100" workbookViewId="0"/>
  </sheetViews>
  <sheetFormatPr defaultColWidth="8.66406" defaultRowHeight="15.75"/>
  <sheetData/>
  <sheetProtection/>
  <pageMargins left="0.75" right="0.75" top="1" bottom="1" header="0.5" footer="0.5"/>
  <pageSetup orientation="portrait"/>
</worksheet>
</file>

<file path=xl/worksheets/sheet3.xml><?xml version="1.0" encoding="utf-8"?>
<worksheet xmlns:r="http://schemas.openxmlformats.org/officeDocument/2006/relationships" xmlns="http://schemas.openxmlformats.org/spreadsheetml/2006/main">
  <sheetPr/>
  <dimension ref="AA35"/>
  <sheetViews>
    <sheetView showGridLines="false" showZeros="false" showOutlineSymbols="false" topLeftCell="A1" zoomScale="120" zoomScaleNormal="120" workbookViewId="0"/>
  </sheetViews>
  <sheetFormatPr defaultColWidth="9" defaultRowHeight="12" customHeight="true"/>
  <cols>
    <col min="1" max="1" width="9.125" style="698"/>
    <col min="2" max="2" width="22.625" style="698"/>
    <col min="3" max="3" width="20.625" style="698"/>
    <col min="4" max="4" width="73.25" style="698"/>
    <col min="5" max="26" width="9" style="698"/>
  </cols>
  <sheetData>
    <row r="1" spans="1:6" ht="30" customHeight="true">
      <c r="A1" s="178" t="s">
        <v>436</v>
      </c>
      <c r="B1" s="178" t="s"/>
      <c r="C1" s="178" t="s"/>
      <c r="D1" s="179" t="s"/>
      <c r="E1" s="179" t="s"/>
      <c r="F1" s="179" t="s"/>
    </row>
    <row r="2" spans="1:3" ht="12" customHeight="true">
      <c r="A2" s="180" t="s">
        <v>437</v>
      </c>
      <c r="B2" s="180" t="s"/>
      <c r="C2" s="181" t="s">
        <v>438</v>
      </c>
    </row>
    <row r="3" spans="1:3" ht="12" customHeight="true">
      <c r="A3" s="182" t="s">
        <v>439</v>
      </c>
      <c r="B3" s="182" t="s">
        <v>440</v>
      </c>
      <c r="C3" s="182" t="s">
        <v>441</v>
      </c>
    </row>
    <row r="4" spans="1:4" ht="12" customHeight="true">
      <c r="A4" s="183" t="s">
        <v>442</v>
      </c>
      <c r="B4" s="184" t="s">
        <v>443</v>
      </c>
      <c r="C4" s="185">
        <f>=C5+C9+C10+SUM(C13:C18)</f>
        <v>8767.59401589645</v>
      </c>
      <c r="D4" s="186" t="s">
        <v>444</v>
      </c>
    </row>
    <row r="5" spans="1:3" ht="12" customHeight="true">
      <c r="A5" s="183">
        <v>1</v>
      </c>
      <c r="B5" s="187" t="s">
        <v>445</v>
      </c>
      <c r="C5" s="185">
        <f>=SUM(C6:C8)</f>
        <v>7902.56871</v>
      </c>
    </row>
    <row r="6" spans="1:4" ht="12" customHeight="true">
      <c r="A6" s="183">
        <v>1.1</v>
      </c>
      <c r="B6" s="187" t="s">
        <v>446</v>
      </c>
      <c r="C6" s="185">
        <f>=评估表1固定资产投资估算表!G7</f>
        <v>7902.56871</v>
      </c>
      <c r="D6" s="188" t="s">
        <v>447</v>
      </c>
    </row>
    <row r="7" spans="1:4" ht="12" customHeight="true">
      <c r="A7" s="183">
        <v>1.2</v>
      </c>
      <c r="B7" s="187" t="s">
        <v>448</v>
      </c>
      <c r="C7" s="185">
        <f>=评估表1固定资产投资估算表!G17</f>
        <v>0</v>
      </c>
      <c r="D7" s="188" t="s">
        <v>447</v>
      </c>
    </row>
    <row r="8" spans="1:4" ht="12" customHeight="true">
      <c r="A8" s="183">
        <v>1.3</v>
      </c>
      <c r="B8" s="187" t="s">
        <v>449</v>
      </c>
      <c r="C8" s="185">
        <f>=评估表1固定资产投资估算表!G22</f>
        <v>0</v>
      </c>
      <c r="D8" s="188" t="s">
        <v>447</v>
      </c>
    </row>
    <row r="9" spans="1:4" ht="12" customHeight="true">
      <c r="A9" s="183">
        <v>2</v>
      </c>
      <c r="B9" s="189" t="s">
        <v>450</v>
      </c>
      <c r="C9" s="185">
        <f>=评估表1固定资产投资估算表!G30</f>
        <v>372.520828949</v>
      </c>
      <c r="D9" s="188" t="s">
        <v>447</v>
      </c>
    </row>
    <row r="10" spans="1:3" ht="12" customHeight="true">
      <c r="A10" s="183">
        <v>3</v>
      </c>
      <c r="B10" s="189" t="s">
        <v>451</v>
      </c>
      <c r="C10" s="185">
        <f>=C11+C12</f>
        <v>413.75447694745</v>
      </c>
    </row>
    <row r="11" spans="1:4" ht="12" customHeight="true">
      <c r="A11" s="183">
        <v>3.1</v>
      </c>
      <c r="B11" s="187" t="s">
        <v>452</v>
      </c>
      <c r="C11" s="185">
        <f>=评估表1固定资产投资估算表!G34</f>
        <v>413.75447694745</v>
      </c>
      <c r="D11" s="188" t="s">
        <v>447</v>
      </c>
    </row>
    <row r="12" spans="1:4" ht="12" customHeight="true">
      <c r="A12" s="183">
        <v>3.2</v>
      </c>
      <c r="B12" s="187" t="s">
        <v>453</v>
      </c>
      <c r="C12" s="185">
        <f>=评估表1固定资产投资估算表!G35</f>
        <v>0</v>
      </c>
      <c r="D12" s="188" t="s">
        <v>447</v>
      </c>
    </row>
    <row r="13" spans="1:4" ht="12" customHeight="true">
      <c r="A13" s="183">
        <v>4</v>
      </c>
      <c r="B13" s="190" t="s">
        <v>454</v>
      </c>
      <c r="C13" s="185">
        <f>=评估表1固定资产投资估算表!G38</f>
        <v>78.75</v>
      </c>
      <c r="D13" s="188" t="s">
        <v>447</v>
      </c>
    </row>
    <row r="14" spans="1:4" ht="12" customHeight="true">
      <c r="A14" s="183">
        <v>5</v>
      </c>
      <c r="B14" s="191" t="s">
        <v>455</v>
      </c>
      <c r="C14" s="185">
        <f>=评估表1固定资产投资估算表!G39</f>
        <v>0</v>
      </c>
      <c r="D14" s="188" t="s">
        <v>447</v>
      </c>
    </row>
    <row r="15" spans="1:4" ht="12" customHeight="true">
      <c r="A15" s="183">
        <v>6</v>
      </c>
      <c r="B15" s="191" t="s">
        <v>456</v>
      </c>
      <c r="C15" s="185">
        <f>=评估表1固定资产投资估算表!G40</f>
        <v>0</v>
      </c>
      <c r="D15" s="188" t="s">
        <v>447</v>
      </c>
    </row>
    <row r="16" spans="1:4" ht="12" customHeight="true">
      <c r="A16" s="183">
        <v>7</v>
      </c>
      <c r="B16" s="191" t="s">
        <v>457</v>
      </c>
      <c r="C16" s="185">
        <f>=评估表1固定资产投资估算表!G41</f>
        <v>0</v>
      </c>
      <c r="D16" s="188" t="s">
        <v>447</v>
      </c>
    </row>
    <row r="17" spans="1:4" ht="12" customHeight="true">
      <c r="A17" s="183">
        <v>8</v>
      </c>
      <c r="B17" s="190" t="s">
        <v>458</v>
      </c>
      <c r="C17" s="185">
        <f>=评估表1固定资产投资估算表!G42</f>
        <v>0</v>
      </c>
      <c r="D17" s="188" t="s">
        <v>447</v>
      </c>
    </row>
    <row r="18" spans="1:4" ht="12" customHeight="true">
      <c r="A18" s="192">
        <v>9</v>
      </c>
      <c r="B18" s="191" t="s">
        <v>459</v>
      </c>
      <c r="C18" s="185">
        <f>=评估表1固定资产投资估算表!G36</f>
        <v>0</v>
      </c>
      <c r="D18" s="188" t="s">
        <v>447</v>
      </c>
    </row>
    <row r="19" spans="1:4" ht="12" customHeight="true">
      <c r="A19" s="183" t="s">
        <v>460</v>
      </c>
      <c r="B19" s="193" t="s">
        <v>461</v>
      </c>
      <c r="C19" s="185">
        <f>=SUM(C20:C24)</f>
        <v>0</v>
      </c>
      <c r="D19" s="194" t="s">
        <v>462</v>
      </c>
    </row>
    <row r="20" spans="1:5" ht="12" customHeight="true">
      <c r="A20" s="183">
        <v>1</v>
      </c>
      <c r="B20" s="187" t="s">
        <v>463</v>
      </c>
      <c r="C20" s="195" t="s"/>
      <c r="D20" s="186" t="s">
        <v>464</v>
      </c>
      <c r="E20" s="196" t="s"/>
    </row>
    <row r="21" spans="1:3" ht="12" customHeight="true">
      <c r="A21" s="183">
        <v>2</v>
      </c>
      <c r="B21" s="187" t="s">
        <v>465</v>
      </c>
      <c r="C21" s="195" t="s"/>
    </row>
    <row r="22" spans="1:3" ht="12" customHeight="true">
      <c r="A22" s="183">
        <v>3</v>
      </c>
      <c r="B22" s="187" t="s">
        <v>466</v>
      </c>
      <c r="C22" s="195" t="s"/>
    </row>
    <row r="23" spans="1:3" ht="12" customHeight="true">
      <c r="A23" s="183">
        <v>4</v>
      </c>
      <c r="B23" s="187" t="s">
        <v>467</v>
      </c>
      <c r="C23" s="195" t="s"/>
    </row>
    <row r="24" spans="1:3" ht="18" customHeight="true">
      <c r="A24" s="183">
        <v>5</v>
      </c>
      <c r="B24" s="197" t="s">
        <v>468</v>
      </c>
      <c r="C24" s="198" t="s"/>
    </row>
    <row r="25" spans="1:4" ht="12" customHeight="true">
      <c r="A25" s="199" t="s">
        <v>469</v>
      </c>
      <c r="B25" s="184" t="s">
        <v>470</v>
      </c>
      <c r="C25" s="185">
        <f>=(C26+SUM(C30:C31))</f>
        <v>0</v>
      </c>
      <c r="D25" s="186" t="s">
        <v>471</v>
      </c>
    </row>
    <row r="26" spans="1:4" ht="12" customHeight="true">
      <c r="A26" s="183">
        <v>1</v>
      </c>
      <c r="B26" s="187" t="s">
        <v>472</v>
      </c>
      <c r="C26" s="185">
        <f>=SUM(C27:C29)</f>
        <v>0</v>
      </c>
      <c r="D26" s="188" t="s">
        <v>473</v>
      </c>
    </row>
    <row r="27" spans="1:3" ht="12" customHeight="true">
      <c r="A27" s="183">
        <v>1.1</v>
      </c>
      <c r="B27" s="200" t="s">
        <v>474</v>
      </c>
      <c r="C27" s="195" t="s"/>
    </row>
    <row r="28" spans="1:3" ht="12" customHeight="true">
      <c r="A28" s="183">
        <v>1.2</v>
      </c>
      <c r="B28" s="200" t="s">
        <v>475</v>
      </c>
      <c r="C28" s="195" t="s"/>
    </row>
    <row r="29" spans="1:3" ht="12" customHeight="true">
      <c r="A29" s="183">
        <v>1.3</v>
      </c>
      <c r="B29" s="187" t="s">
        <v>476</v>
      </c>
      <c r="C29" s="195" t="s"/>
    </row>
    <row r="30" spans="1:3" ht="12" customHeight="true">
      <c r="A30" s="183">
        <v>2</v>
      </c>
      <c r="B30" s="187" t="s">
        <v>477</v>
      </c>
      <c r="C30" s="195" t="s"/>
    </row>
    <row r="31" spans="1:3" ht="12" customHeight="true">
      <c r="A31" s="183">
        <v>3</v>
      </c>
      <c r="B31" s="189" t="s">
        <v>478</v>
      </c>
      <c r="C31" s="195">
        <v>0</v>
      </c>
    </row>
    <row r="32" spans="1:4" ht="12" customHeight="true">
      <c r="A32" s="199" t="s">
        <v>479</v>
      </c>
      <c r="B32" s="184" t="s">
        <v>480</v>
      </c>
      <c r="C32" s="185">
        <f>=C4+C19+C25</f>
        <v>8767.59401589645</v>
      </c>
      <c r="D32" s="201" t="s"/>
    </row>
    <row r="34" spans="1:1" ht="12" customHeight="true">
      <c r="A34" s="188" t="s">
        <v>481</v>
      </c>
    </row>
    <row r="35" spans="1:1" ht="12" customHeight="true">
      <c r="A35" s="188" t="s">
        <v>482</v>
      </c>
    </row>
  </sheetData>
  <sheetProtection/>
  <mergeCells count="1">
    <mergeCell ref="A1:C1"/>
  </mergeCells>
  <printOptions horizontalCentered="true"/>
  <pageMargins left="0.748031" right="0.748031" top="0.984252" bottom="0.984252" header="0.511811" footer="0.511811"/>
  <pageSetup paperSize="9" scale="125" orientation="portrait" blackAndWhite="true"/>
  <headerFooter alignWithMargins="false"/>
  <legacyDrawing r:id="rId0"/>
</worksheet>
</file>

<file path=xl/worksheets/sheet30.xml><?xml version="1.0" encoding="utf-8"?>
<worksheet xmlns="http://schemas.openxmlformats.org/spreadsheetml/2006/main">
  <sheetPr/>
  <dimension ref="A1"/>
  <sheetViews>
    <sheetView showGridLines="true" topLeftCell="A1" zoomScaleSheetLayoutView="100" workbookViewId="0"/>
  </sheetViews>
  <sheetFormatPr defaultColWidth="9" defaultRowHeight="15.75"/>
  <sheetData/>
  <sheetProtection/>
  <pageMargins left="0.75" right="0.75" top="1" bottom="1" header="0.5" footer="0.5"/>
  <pageSetup orientation="portrait"/>
</worksheet>
</file>

<file path=xl/worksheets/sheet31.xml><?xml version="1.0" encoding="utf-8"?>
<worksheet xmlns="http://schemas.openxmlformats.org/spreadsheetml/2006/main">
  <sheetPr/>
  <dimension ref="H64"/>
  <sheetViews>
    <sheetView showGridLines="false" showZeros="false" topLeftCell="A1" workbookViewId="0"/>
  </sheetViews>
  <sheetFormatPr defaultColWidth="8.66406" defaultRowHeight="12" customHeight="true"/>
  <cols>
    <col min="1" max="1" width="6.625"/>
    <col min="2" max="2" width="25.5"/>
    <col min="3" max="7" width="10.625"/>
  </cols>
  <sheetData>
    <row r="1" spans="1:7" ht="24.75" customHeight="true">
      <c r="A1" s="233" t="s">
        <v>524</v>
      </c>
      <c r="B1" s="6" t="s"/>
      <c r="C1" s="6" t="s"/>
      <c r="D1" s="6" t="s"/>
      <c r="E1" s="6" t="s"/>
      <c r="F1" s="6" t="s"/>
      <c r="G1" s="6" t="s"/>
    </row>
    <row r="2" spans="1:7" ht="12" customHeight="true">
      <c r="A2" s="233" t="s"/>
      <c r="B2" s="6" t="s"/>
      <c r="C2" s="6" t="s"/>
      <c r="D2" s="6" t="s"/>
      <c r="E2" s="6" t="s"/>
      <c r="F2" s="6" t="s"/>
      <c r="G2" s="6" t="s"/>
    </row>
    <row r="3" spans="1:7" ht="12" customHeight="true">
      <c r="A3" s="234" t="s">
        <v>525</v>
      </c>
      <c r="B3" s="235" t="s">
        <v>526</v>
      </c>
      <c r="C3" s="235" t="s">
        <v>527</v>
      </c>
      <c r="D3" s="235" t="s">
        <v>528</v>
      </c>
      <c r="E3" s="235" t="s">
        <v>529</v>
      </c>
      <c r="F3" s="235" t="s">
        <v>530</v>
      </c>
      <c r="G3" s="235" t="s">
        <v>531</v>
      </c>
    </row>
    <row r="4" spans="1:7" ht="12" customHeight="true">
      <c r="A4" s="234" t="s">
        <v>442</v>
      </c>
      <c r="B4" s="236" t="s">
        <v>532</v>
      </c>
      <c r="C4" s="237" t="s"/>
      <c r="D4" s="237" t="s"/>
      <c r="E4" s="237" t="s"/>
      <c r="F4" s="237" t="s"/>
      <c r="G4" s="237" t="s"/>
    </row>
    <row r="5" spans="1:7" ht="12" customHeight="true">
      <c r="A5" s="234">
        <v>1</v>
      </c>
      <c r="B5" s="236" t="s">
        <v>496</v>
      </c>
      <c r="C5" s="238" t="s"/>
      <c r="D5" s="238" t="s"/>
      <c r="E5" s="238" t="s"/>
      <c r="F5" s="238" t="s"/>
      <c r="G5" s="238" t="s"/>
    </row>
    <row r="6" spans="1:7" ht="12" customHeight="true">
      <c r="A6" s="234">
        <v>2</v>
      </c>
      <c r="B6" s="236" t="s">
        <v>497</v>
      </c>
      <c r="C6" s="238" t="s"/>
      <c r="D6" s="238" t="s"/>
      <c r="E6" s="238" t="s"/>
      <c r="F6" s="238" t="s"/>
      <c r="G6" s="238" t="s"/>
    </row>
    <row r="7" spans="1:7" ht="12" customHeight="true">
      <c r="A7" s="234">
        <v>3</v>
      </c>
      <c r="B7" s="236" t="s">
        <v>533</v>
      </c>
      <c r="C7" s="238" t="s"/>
      <c r="D7" s="238" t="s"/>
      <c r="E7" s="238" t="s"/>
      <c r="F7" s="238" t="s"/>
      <c r="G7" s="238" t="s"/>
    </row>
    <row r="8" spans="1:7" ht="12" customHeight="true">
      <c r="A8" s="234">
        <v>4</v>
      </c>
      <c r="B8" s="236" t="s">
        <v>499</v>
      </c>
      <c r="C8" s="238" t="s"/>
      <c r="D8" s="238" t="s"/>
      <c r="E8" s="238" t="s"/>
      <c r="F8" s="238" t="s"/>
      <c r="G8" s="238" t="s"/>
    </row>
    <row r="9" spans="1:7" ht="12" customHeight="true">
      <c r="A9" s="234">
        <v>5</v>
      </c>
      <c r="B9" s="236" t="s">
        <v>500</v>
      </c>
      <c r="C9" s="238" t="s"/>
      <c r="D9" s="238" t="s"/>
      <c r="E9" s="238" t="s"/>
      <c r="F9" s="238" t="s"/>
      <c r="G9" s="238" t="s"/>
    </row>
    <row r="10" spans="1:7" ht="12" customHeight="true">
      <c r="A10" s="234">
        <v>6</v>
      </c>
      <c r="B10" s="236" t="s">
        <v>534</v>
      </c>
      <c r="C10" s="238" t="s"/>
      <c r="D10" s="238" t="s"/>
      <c r="E10" s="238" t="s"/>
      <c r="F10" s="238" t="s"/>
      <c r="G10" s="238" t="s"/>
    </row>
    <row r="11" spans="1:7" ht="12" customHeight="true">
      <c r="A11" s="234">
        <v>7</v>
      </c>
      <c r="B11" s="236" t="s">
        <v>535</v>
      </c>
      <c r="C11" s="238" t="s"/>
      <c r="D11" s="238" t="s"/>
      <c r="E11" s="238" t="s"/>
      <c r="F11" s="238" t="s"/>
      <c r="G11" s="238" t="s"/>
    </row>
    <row r="12" spans="1:7" ht="12" customHeight="true">
      <c r="A12" s="234" t="s">
        <v>460</v>
      </c>
      <c r="B12" s="236" t="s">
        <v>536</v>
      </c>
      <c r="C12" s="239" t="s"/>
      <c r="D12" s="239" t="s"/>
      <c r="E12" s="239" t="s"/>
      <c r="F12" s="239" t="s"/>
      <c r="G12" s="239" t="s"/>
    </row>
    <row r="13" spans="1:7" ht="12" customHeight="true">
      <c r="A13" s="234" t="s">
        <v>537</v>
      </c>
      <c r="B13" s="236" t="s">
        <v>538</v>
      </c>
      <c r="C13" s="239" t="s"/>
      <c r="D13" s="239" t="s"/>
      <c r="E13" s="239" t="s"/>
      <c r="F13" s="239" t="s"/>
      <c r="G13" s="239" t="s"/>
    </row>
    <row r="14" spans="1:7" ht="12" customHeight="true">
      <c r="A14" s="240">
        <f>=辅助表6.2全部经济评价参数一览表!A5</f>
        <v>1</v>
      </c>
      <c r="B14" s="241" t="s">
        <f>=辅助表6.2全部经济评价参数一览表!B5</f>
        <v>539</v>
      </c>
      <c r="C14" s="242" t="s"/>
      <c r="D14" s="242" t="s"/>
      <c r="E14" s="242" t="s"/>
      <c r="F14" s="242" t="s"/>
      <c r="G14" s="242" t="s"/>
    </row>
    <row r="15" spans="1:7" ht="12" customHeight="true">
      <c r="A15" s="240">
        <f>=辅助表6.2全部经济评价参数一览表!A6</f>
        <v>2</v>
      </c>
      <c r="B15" s="241" t="s">
        <f>=辅助表6.2全部经济评价参数一览表!B6</f>
        <v>540</v>
      </c>
      <c r="C15" s="243" t="s"/>
      <c r="D15" s="243" t="s"/>
      <c r="E15" s="243" t="s"/>
      <c r="F15" s="243" t="s"/>
      <c r="G15" s="243" t="s"/>
    </row>
    <row r="16" spans="1:7" ht="12" customHeight="true">
      <c r="A16" s="240">
        <f>=辅助表6.2全部经济评价参数一览表!A7</f>
        <v>3</v>
      </c>
      <c r="B16" s="241" t="s">
        <f>=辅助表6.2全部经济评价参数一览表!B7</f>
        <v>541</v>
      </c>
      <c r="C16" s="242" t="s"/>
      <c r="D16" s="242" t="s"/>
      <c r="E16" s="242" t="s"/>
      <c r="F16" s="242" t="s"/>
      <c r="G16" s="242" t="s"/>
    </row>
    <row r="17" spans="1:7" ht="12" customHeight="true">
      <c r="A17" s="240">
        <f>=辅助表6.2全部经济评价参数一览表!A8</f>
        <v>4</v>
      </c>
      <c r="B17" s="241" t="s">
        <f>=辅助表6.2全部经济评价参数一览表!B8</f>
        <v>209</v>
      </c>
      <c r="C17" s="242" t="s"/>
      <c r="D17" s="242" t="s"/>
      <c r="E17" s="242" t="s"/>
      <c r="F17" s="242" t="s"/>
      <c r="G17" s="242" t="s"/>
    </row>
    <row r="18" spans="1:7" ht="12" customHeight="true">
      <c r="A18" s="240">
        <f>=辅助表6.2全部经济评价参数一览表!A9</f>
        <v>5</v>
      </c>
      <c r="B18" s="241" t="s">
        <f>=辅助表6.2全部经济评价参数一览表!B9</f>
        <v>542</v>
      </c>
      <c r="C18" s="242" t="s"/>
      <c r="D18" s="242" t="s"/>
      <c r="E18" s="242" t="s"/>
      <c r="F18" s="242" t="s"/>
      <c r="G18" s="242" t="s"/>
    </row>
    <row r="19" spans="1:7" ht="12" customHeight="true">
      <c r="A19" s="240">
        <f>=辅助表6.2全部经济评价参数一览表!A10</f>
        <v>6</v>
      </c>
      <c r="B19" s="241" t="s">
        <f>=辅助表6.2全部经济评价参数一览表!B10</f>
        <v>543</v>
      </c>
      <c r="C19" s="242" t="s"/>
      <c r="D19" s="242" t="s"/>
      <c r="E19" s="242" t="s"/>
      <c r="F19" s="242" t="s"/>
      <c r="G19" s="242" t="s"/>
    </row>
    <row r="20" spans="1:7" ht="12" customHeight="true">
      <c r="A20" s="240">
        <f>=辅助表6.2全部经济评价参数一览表!A11</f>
        <v>7</v>
      </c>
      <c r="B20" s="241" t="s">
        <f>=辅助表6.2全部经济评价参数一览表!B11</f>
        <v>544</v>
      </c>
      <c r="C20" s="242" t="s"/>
      <c r="D20" s="242" t="s"/>
      <c r="E20" s="242" t="s"/>
      <c r="F20" s="242" t="s"/>
      <c r="G20" s="242" t="s"/>
    </row>
    <row r="21" spans="1:7" ht="12" customHeight="true">
      <c r="A21" s="240">
        <f>=辅助表6.2全部经济评价参数一览表!A12</f>
        <v>8</v>
      </c>
      <c r="B21" s="241" t="s">
        <f>=辅助表6.2全部经济评价参数一览表!B12</f>
        <v>545</v>
      </c>
      <c r="C21" s="242" t="s"/>
      <c r="D21" s="242" t="s"/>
      <c r="E21" s="242" t="s"/>
      <c r="F21" s="242" t="s"/>
      <c r="G21" s="242" t="s"/>
    </row>
    <row r="22" spans="1:7" ht="12" customHeight="true">
      <c r="A22" s="240">
        <f>=辅助表6.2全部经济评价参数一览表!A13</f>
        <v>9</v>
      </c>
      <c r="B22" s="241" t="s">
        <f>=辅助表6.2全部经济评价参数一览表!B13</f>
        <v>546</v>
      </c>
      <c r="C22" s="242" t="s"/>
      <c r="D22" s="242" t="s"/>
      <c r="E22" s="242" t="s"/>
      <c r="F22" s="242" t="s"/>
      <c r="G22" s="242" t="s"/>
    </row>
    <row r="23" spans="1:7" ht="12" customHeight="true">
      <c r="A23" s="240">
        <f>=辅助表6.2全部经济评价参数一览表!A14</f>
        <v>10</v>
      </c>
      <c r="B23" s="241" t="s">
        <f>=辅助表6.2全部经济评价参数一览表!B14</f>
        <v>547</v>
      </c>
      <c r="C23" s="242" t="s"/>
      <c r="D23" s="242" t="s"/>
      <c r="E23" s="242" t="s"/>
      <c r="F23" s="242" t="s"/>
      <c r="G23" s="242" t="s"/>
    </row>
    <row r="24" spans="1:7" ht="12" customHeight="true">
      <c r="A24" s="240">
        <f>=辅助表6.2全部经济评价参数一览表!A15</f>
        <v>11</v>
      </c>
      <c r="B24" s="241" t="s">
        <f>=辅助表6.2全部经济评价参数一览表!B15</f>
        <v>548</v>
      </c>
      <c r="C24" s="242" t="s"/>
      <c r="D24" s="242" t="s"/>
      <c r="E24" s="242" t="s"/>
      <c r="F24" s="242" t="s"/>
      <c r="G24" s="242" t="s"/>
    </row>
    <row r="25" spans="1:7" ht="12" customHeight="true">
      <c r="A25" s="240" t="s">
        <v>549</v>
      </c>
      <c r="B25" s="241" t="s">
        <f>=辅助表6.2全部经济评价参数一览表!B16</f>
        <v>550</v>
      </c>
      <c r="C25" s="242" t="s"/>
      <c r="D25" s="242" t="s"/>
      <c r="E25" s="242" t="s"/>
      <c r="F25" s="242" t="s"/>
      <c r="G25" s="242" t="s"/>
    </row>
    <row r="26" spans="1:7" ht="12" customHeight="true">
      <c r="A26" s="240">
        <f>=辅助表6.2全部经济评价参数一览表!A17</f>
        <v>1</v>
      </c>
      <c r="B26" s="241" t="s">
        <f>=辅助表6.2全部经济评价参数一览表!B17</f>
        <v>551</v>
      </c>
      <c r="C26" s="244" t="s"/>
      <c r="D26" s="244" t="s"/>
      <c r="E26" s="244" t="s"/>
      <c r="F26" s="244" t="s"/>
      <c r="G26" s="244" t="s"/>
    </row>
    <row r="27" spans="1:7" ht="12" customHeight="true">
      <c r="A27" s="240">
        <f>=辅助表6.2全部经济评价参数一览表!A18</f>
        <v>2</v>
      </c>
      <c r="B27" s="241" t="s">
        <f>=辅助表6.2全部经济评价参数一览表!B18</f>
        <v>552</v>
      </c>
      <c r="C27" s="244" t="s"/>
      <c r="D27" s="244" t="s"/>
      <c r="E27" s="244" t="s"/>
      <c r="F27" s="244" t="s"/>
      <c r="G27" s="244" t="s"/>
    </row>
    <row r="28" spans="1:7" ht="12" customHeight="true">
      <c r="A28" s="240">
        <f>=辅助表6.2全部经济评价参数一览表!A19</f>
        <v>3</v>
      </c>
      <c r="B28" s="241" t="s">
        <f>=辅助表6.2全部经济评价参数一览表!B19</f>
        <v>553</v>
      </c>
      <c r="C28" s="242" t="s"/>
      <c r="D28" s="242" t="s"/>
      <c r="E28" s="242" t="s"/>
      <c r="F28" s="242" t="s"/>
      <c r="G28" s="242" t="s"/>
    </row>
    <row r="29" spans="1:7" ht="12" customHeight="true">
      <c r="A29" s="240">
        <f>=辅助表6.2全部经济评价参数一览表!A20</f>
        <v>4</v>
      </c>
      <c r="B29" s="241" t="s">
        <f>=辅助表6.2全部经济评价参数一览表!B20</f>
        <v>554</v>
      </c>
      <c r="C29" s="244" t="s"/>
      <c r="D29" s="244" t="s"/>
      <c r="E29" s="244" t="s"/>
      <c r="F29" s="244" t="s"/>
      <c r="G29" s="244" t="s"/>
    </row>
    <row r="30" spans="1:7" ht="12" customHeight="true">
      <c r="A30" s="240">
        <f>=辅助表6.2全部经济评价参数一览表!A21</f>
        <v>5</v>
      </c>
      <c r="B30" s="241" t="s">
        <f>=辅助表6.2全部经济评价参数一览表!B21</f>
        <v>555</v>
      </c>
      <c r="C30" s="242" t="s"/>
      <c r="D30" s="242" t="s"/>
      <c r="E30" s="242" t="s"/>
      <c r="F30" s="242" t="s"/>
      <c r="G30" s="242" t="s"/>
    </row>
    <row r="31" spans="1:7" ht="12" customHeight="true">
      <c r="A31" s="240">
        <f>=辅助表6.2全部经济评价参数一览表!A22</f>
        <v>6</v>
      </c>
      <c r="B31" s="241" t="s">
        <f>=辅助表6.2全部经济评价参数一览表!B22</f>
        <v>556</v>
      </c>
      <c r="C31" s="244" t="s"/>
      <c r="D31" s="244" t="s"/>
      <c r="E31" s="244" t="s"/>
      <c r="F31" s="244" t="s"/>
      <c r="G31" s="244" t="s"/>
    </row>
    <row r="32" spans="1:7" ht="12" customHeight="true">
      <c r="A32" s="240">
        <f>=辅助表6.2全部经济评价参数一览表!A23</f>
        <v>7</v>
      </c>
      <c r="B32" s="241" t="s">
        <f>=辅助表6.2全部经济评价参数一览表!B23</f>
        <v>557</v>
      </c>
      <c r="C32" s="244" t="s"/>
      <c r="D32" s="244" t="s"/>
      <c r="E32" s="244" t="s"/>
      <c r="F32" s="244" t="s"/>
      <c r="G32" s="244" t="s"/>
    </row>
    <row r="33" spans="1:7" ht="12" customHeight="true">
      <c r="A33" s="240">
        <f>=辅助表6.2全部经济评价参数一览表!A24</f>
        <v>8</v>
      </c>
      <c r="B33" s="241" t="s">
        <f>=辅助表6.2全部经济评价参数一览表!B24</f>
        <v>558</v>
      </c>
      <c r="C33" s="242" t="s"/>
      <c r="D33" s="242" t="s"/>
      <c r="E33" s="242" t="s"/>
      <c r="F33" s="242" t="s"/>
      <c r="G33" s="242" t="s"/>
    </row>
    <row r="34" spans="1:7" ht="12" customHeight="true">
      <c r="A34" s="245">
        <f>=辅助表6.2全部经济评价参数一览表!A25</f>
        <v>0</v>
      </c>
      <c r="B34" s="246" t="s">
        <f>=辅助表6.2全部经济评价参数一览表!B25</f>
        <v>559</v>
      </c>
      <c r="C34" s="243" t="s"/>
      <c r="D34" s="243" t="s"/>
      <c r="E34" s="243" t="s"/>
      <c r="F34" s="243" t="s"/>
      <c r="G34" s="243" t="s"/>
    </row>
    <row r="35" spans="1:7" ht="12" customHeight="true">
      <c r="A35" s="245">
        <f>=辅助表6.2全部经济评价参数一览表!A26</f>
        <v>9</v>
      </c>
      <c r="B35" s="246" t="s">
        <f>=辅助表6.2全部经济评价参数一览表!B26</f>
        <v>560</v>
      </c>
      <c r="C35" s="242" t="s"/>
      <c r="D35" s="242" t="s"/>
      <c r="E35" s="242" t="s"/>
      <c r="F35" s="242" t="s"/>
      <c r="G35" s="242" t="s"/>
    </row>
    <row r="36" spans="1:7" ht="12" customHeight="true">
      <c r="A36" s="245">
        <f>=辅助表6.2全部经济评价参数一览表!A27</f>
        <v>0</v>
      </c>
      <c r="B36" s="246" t="s">
        <f>=辅助表6.2全部经济评价参数一览表!B27</f>
        <v>559</v>
      </c>
      <c r="C36" s="243" t="s"/>
      <c r="D36" s="243" t="s"/>
      <c r="E36" s="243" t="s"/>
      <c r="F36" s="243" t="s"/>
      <c r="G36" s="243" t="s"/>
    </row>
    <row r="37" spans="1:7" ht="12" customHeight="true">
      <c r="A37" s="245">
        <f>=辅助表6.2全部经济评价参数一览表!A28</f>
        <v>10</v>
      </c>
      <c r="B37" s="246" t="s">
        <f>=辅助表6.2全部经济评价参数一览表!B28</f>
        <v>561</v>
      </c>
      <c r="C37" s="244" t="s"/>
      <c r="D37" s="244" t="s"/>
      <c r="E37" s="244" t="s"/>
      <c r="F37" s="244" t="s"/>
      <c r="G37" s="244" t="s"/>
    </row>
    <row r="38" spans="1:7" ht="12" customHeight="true">
      <c r="A38" s="240">
        <f>=辅助表6.2全部经济评价参数一览表!A29</f>
        <v>11</v>
      </c>
      <c r="B38" s="241" t="s">
        <f>=辅助表6.2全部经济评价参数一览表!B29</f>
        <v>562</v>
      </c>
      <c r="C38" s="242" t="s"/>
      <c r="D38" s="242" t="s"/>
      <c r="E38" s="242" t="s"/>
      <c r="F38" s="242" t="s"/>
      <c r="G38" s="242" t="s"/>
    </row>
    <row r="39" spans="1:7" ht="12" hidden="true" customHeight="true">
      <c r="A39" s="240">
        <f>=辅助表6.2全部经济评价参数一览表!A30</f>
        <v>0</v>
      </c>
      <c r="B39" s="241">
        <f>=辅助表6.2全部经济评价参数一览表!B30</f>
        <v>0</v>
      </c>
      <c r="C39" s="242" t="s"/>
      <c r="D39" s="242" t="s"/>
      <c r="E39" s="242" t="s"/>
      <c r="F39" s="242" t="s"/>
      <c r="G39" s="242" t="s"/>
    </row>
    <row r="40" spans="1:7" ht="12" hidden="true" customHeight="true">
      <c r="A40" s="240">
        <f>=辅助表6.2全部经济评价参数一览表!A31</f>
        <v>0</v>
      </c>
      <c r="B40" s="241">
        <f>=辅助表6.2全部经济评价参数一览表!B31</f>
        <v>0</v>
      </c>
      <c r="C40" s="242" t="s"/>
      <c r="D40" s="242" t="s"/>
      <c r="E40" s="242" t="s"/>
      <c r="F40" s="242" t="s"/>
      <c r="G40" s="242" t="s"/>
    </row>
    <row r="41" spans="1:7" ht="12" hidden="true" customHeight="true">
      <c r="A41" s="240">
        <f>=辅助表6.2全部经济评价参数一览表!A32</f>
        <v>0</v>
      </c>
      <c r="B41" s="241">
        <f>=辅助表6.2全部经济评价参数一览表!B32</f>
        <v>0</v>
      </c>
      <c r="C41" s="242" t="s"/>
      <c r="D41" s="242" t="s"/>
      <c r="E41" s="242" t="s"/>
      <c r="F41" s="242" t="s"/>
      <c r="G41" s="242" t="s"/>
    </row>
    <row r="42" spans="1:7" ht="12" hidden="true" customHeight="true">
      <c r="A42" s="240">
        <f>=辅助表6.2全部经济评价参数一览表!A33</f>
        <v>0</v>
      </c>
      <c r="B42" s="241">
        <f>=辅助表6.2全部经济评价参数一览表!B33</f>
        <v>0</v>
      </c>
      <c r="C42" s="242" t="s"/>
      <c r="D42" s="242" t="s"/>
      <c r="E42" s="242" t="s"/>
      <c r="F42" s="242" t="s"/>
      <c r="G42" s="242" t="s"/>
    </row>
    <row r="43" spans="1:7" ht="12" hidden="true" customHeight="true">
      <c r="A43" s="240">
        <f>=辅助表6.2全部经济评价参数一览表!A34</f>
        <v>0</v>
      </c>
      <c r="B43" s="241">
        <f>=辅助表6.2全部经济评价参数一览表!B34</f>
        <v>0</v>
      </c>
      <c r="C43" s="242" t="s"/>
      <c r="D43" s="242" t="s"/>
      <c r="E43" s="242" t="s"/>
      <c r="F43" s="242" t="s"/>
      <c r="G43" s="242" t="s"/>
    </row>
    <row r="44" spans="1:7" ht="12" hidden="true" customHeight="true">
      <c r="A44" s="240">
        <f>=辅助表6.2全部经济评价参数一览表!A35</f>
        <v>0</v>
      </c>
      <c r="B44" s="241">
        <f>=辅助表6.2全部经济评价参数一览表!B35</f>
        <v>0</v>
      </c>
      <c r="C44" s="242" t="s"/>
      <c r="D44" s="242" t="s"/>
      <c r="E44" s="242" t="s"/>
      <c r="F44" s="242" t="s"/>
      <c r="G44" s="242" t="s"/>
    </row>
    <row r="45" spans="1:7" ht="12" hidden="true" customHeight="true">
      <c r="A45" s="240">
        <f>=辅助表6.2全部经济评价参数一览表!A36</f>
        <v>0</v>
      </c>
      <c r="B45" s="241">
        <f>=辅助表6.2全部经济评价参数一览表!B36</f>
        <v>0</v>
      </c>
      <c r="C45" s="242" t="s"/>
      <c r="D45" s="242" t="s"/>
      <c r="E45" s="242" t="s"/>
      <c r="F45" s="242" t="s"/>
      <c r="G45" s="242" t="s"/>
    </row>
    <row r="46" spans="1:7" ht="12" hidden="true" customHeight="true">
      <c r="A46" s="240">
        <f>=辅助表6.2全部经济评价参数一览表!A37</f>
        <v>0</v>
      </c>
      <c r="B46" s="241">
        <f>=辅助表6.2全部经济评价参数一览表!B37</f>
        <v>0</v>
      </c>
      <c r="C46" s="242" t="s"/>
      <c r="D46" s="242" t="s"/>
      <c r="E46" s="242" t="s"/>
      <c r="F46" s="242" t="s"/>
      <c r="G46" s="242" t="s"/>
    </row>
    <row r="47" spans="1:7" ht="12" hidden="true" customHeight="true">
      <c r="A47" s="240">
        <f>=辅助表6.2全部经济评价参数一览表!A38</f>
        <v>0</v>
      </c>
      <c r="B47" s="241">
        <f>=辅助表6.2全部经济评价参数一览表!B38</f>
        <v>0</v>
      </c>
      <c r="C47" s="242" t="s"/>
      <c r="D47" s="242" t="s"/>
      <c r="E47" s="242" t="s"/>
      <c r="F47" s="242" t="s"/>
      <c r="G47" s="242" t="s"/>
    </row>
    <row r="48" spans="1:7" ht="12" customHeight="true">
      <c r="A48" s="240" t="s">
        <v>563</v>
      </c>
      <c r="B48" s="241" t="s">
        <f>=辅助表6.2全部经济评价参数一览表!B39</f>
        <v>564</v>
      </c>
      <c r="C48" s="242" t="s"/>
      <c r="D48" s="242" t="s"/>
      <c r="E48" s="242" t="s"/>
      <c r="F48" s="242" t="s"/>
      <c r="G48" s="242" t="s"/>
    </row>
    <row r="49" spans="1:7" ht="12" customHeight="true">
      <c r="A49" s="240">
        <f>=辅助表6.2全部经济评价参数一览表!A40</f>
        <v>1</v>
      </c>
      <c r="B49" s="241" t="s">
        <f>=辅助表6.2全部经济评价参数一览表!B40</f>
        <v>499</v>
      </c>
      <c r="C49" s="244" t="s"/>
      <c r="D49" s="244" t="s"/>
      <c r="E49" s="244" t="s"/>
      <c r="F49" s="244" t="s"/>
      <c r="G49" s="244" t="s"/>
    </row>
    <row r="50" spans="1:7" ht="12" customHeight="true">
      <c r="A50" s="240" t="s">
        <v>565</v>
      </c>
      <c r="B50" s="241" t="s">
        <f>=辅助表6.2全部经济评价参数一览表!B41</f>
        <v>566</v>
      </c>
      <c r="C50" s="242" t="s"/>
      <c r="D50" s="242" t="s"/>
      <c r="E50" s="242" t="s"/>
      <c r="F50" s="242" t="s"/>
      <c r="G50" s="242" t="s"/>
    </row>
    <row r="51" spans="1:7" ht="12" customHeight="true">
      <c r="A51" s="240">
        <f>=辅助表6.2全部经济评价参数一览表!A42</f>
        <v>1</v>
      </c>
      <c r="B51" s="241" t="s">
        <f>=辅助表6.2全部经济评价参数一览表!B42</f>
        <v>567</v>
      </c>
      <c r="C51" s="244" t="s"/>
      <c r="D51" s="244" t="s"/>
      <c r="E51" s="244" t="s"/>
      <c r="F51" s="244" t="s"/>
      <c r="G51" s="244" t="s"/>
    </row>
    <row r="52" spans="1:7" ht="12" customHeight="true">
      <c r="A52" s="240">
        <f>=辅助表6.2全部经济评价参数一览表!A43</f>
        <v>2</v>
      </c>
      <c r="B52" s="241" t="s">
        <f>=辅助表6.2全部经济评价参数一览表!B43</f>
        <v>568</v>
      </c>
      <c r="C52" s="244" t="s"/>
      <c r="D52" s="244" t="s"/>
      <c r="E52" s="244" t="s"/>
      <c r="F52" s="244" t="s"/>
      <c r="G52" s="244" t="s"/>
    </row>
    <row r="53" spans="1:7" ht="12" customHeight="true">
      <c r="A53" s="240">
        <f>=辅助表6.2全部经济评价参数一览表!A44</f>
        <v>3</v>
      </c>
      <c r="B53" s="241" t="s">
        <f>=辅助表6.2全部经济评价参数一览表!B44</f>
        <v>569</v>
      </c>
      <c r="C53" s="242" t="s"/>
      <c r="D53" s="242" t="s"/>
      <c r="E53" s="242" t="s"/>
      <c r="F53" s="242" t="s"/>
      <c r="G53" s="242" t="s"/>
    </row>
    <row r="54" spans="1:7" ht="12" customHeight="true">
      <c r="A54" s="240">
        <f>=辅助表6.2全部经济评价参数一览表!A45</f>
        <v>4</v>
      </c>
      <c r="B54" s="241" t="s">
        <f>=辅助表6.2全部经济评价参数一览表!B45</f>
        <v>570</v>
      </c>
      <c r="C54" s="242" t="s"/>
      <c r="D54" s="242" t="s"/>
      <c r="E54" s="242" t="s"/>
      <c r="F54" s="242" t="s"/>
      <c r="G54" s="242" t="s"/>
    </row>
    <row r="55" spans="1:7" ht="12" hidden="true" customHeight="true">
      <c r="A55" s="240">
        <f>=辅助表6.2全部经济评价参数一览表!A46</f>
        <v>0</v>
      </c>
      <c r="B55" s="241">
        <f>=辅助表6.2全部经济评价参数一览表!B46</f>
        <v>0</v>
      </c>
      <c r="C55" s="244" t="s"/>
      <c r="D55" s="244" t="s"/>
      <c r="E55" s="244" t="s"/>
      <c r="F55" s="244" t="s"/>
      <c r="G55" s="244" t="s"/>
    </row>
    <row r="56" spans="1:7" ht="12" hidden="true" customHeight="true">
      <c r="A56" s="240">
        <f>=辅助表6.2全部经济评价参数一览表!A47</f>
        <v>0</v>
      </c>
      <c r="B56" s="241">
        <f>=辅助表6.2全部经济评价参数一览表!B47</f>
        <v>0</v>
      </c>
      <c r="C56" s="244" t="s"/>
      <c r="D56" s="244" t="s"/>
      <c r="E56" s="244" t="s"/>
      <c r="F56" s="244" t="s"/>
      <c r="G56" s="244" t="s"/>
    </row>
    <row r="57" spans="1:7" ht="12" hidden="true" customHeight="true">
      <c r="A57" s="240">
        <f>=辅助表6.2全部经济评价参数一览表!A48</f>
        <v>0</v>
      </c>
      <c r="B57" s="241">
        <f>=辅助表6.2全部经济评价参数一览表!B48</f>
        <v>0</v>
      </c>
      <c r="C57" s="242" t="s"/>
      <c r="D57" s="242" t="s"/>
      <c r="E57" s="242" t="s"/>
      <c r="F57" s="242" t="s"/>
      <c r="G57" s="242" t="s"/>
    </row>
    <row r="58" spans="1:7" ht="12" hidden="true" customHeight="true">
      <c r="A58" s="240">
        <f>=辅助表6.2全部经济评价参数一览表!A49</f>
        <v>0</v>
      </c>
      <c r="B58" s="241">
        <f>=辅助表6.2全部经济评价参数一览表!B49</f>
        <v>0</v>
      </c>
      <c r="C58" s="242" t="s"/>
      <c r="D58" s="242" t="s"/>
      <c r="E58" s="242" t="s"/>
      <c r="F58" s="242" t="s"/>
      <c r="G58" s="242" t="s"/>
    </row>
    <row r="59" spans="1:7" ht="12" hidden="true" customHeight="true">
      <c r="A59" s="240">
        <f>=辅助表6.2全部经济评价参数一览表!A50</f>
        <v>0</v>
      </c>
      <c r="B59" s="241">
        <f>=辅助表6.2全部经济评价参数一览表!B50</f>
        <v>0</v>
      </c>
      <c r="C59" s="242" t="s"/>
      <c r="D59" s="242" t="s"/>
      <c r="E59" s="242" t="s"/>
      <c r="F59" s="242" t="s"/>
      <c r="G59" s="242" t="s"/>
    </row>
    <row r="60" spans="1:7" ht="12" hidden="true" customHeight="true">
      <c r="A60" s="240">
        <f>=辅助表6.2全部经济评价参数一览表!A51</f>
        <v>0</v>
      </c>
      <c r="B60" s="241">
        <f>=辅助表6.2全部经济评价参数一览表!B51</f>
        <v>0</v>
      </c>
      <c r="C60" s="242" t="s"/>
      <c r="D60" s="242" t="s"/>
      <c r="E60" s="242" t="s"/>
      <c r="F60" s="242" t="s"/>
      <c r="G60" s="242" t="s"/>
    </row>
    <row r="61" spans="1:7" ht="12" hidden="true" customHeight="true">
      <c r="A61" s="240">
        <f>=辅助表6.2全部经济评价参数一览表!A52</f>
        <v>0</v>
      </c>
      <c r="B61" s="241">
        <f>=辅助表6.2全部经济评价参数一览表!B52</f>
        <v>0</v>
      </c>
      <c r="C61" s="242" t="s"/>
      <c r="D61" s="242" t="s"/>
      <c r="E61" s="242" t="s"/>
      <c r="F61" s="242" t="s"/>
      <c r="G61" s="242" t="s"/>
    </row>
    <row r="62" spans="1:7" ht="12" hidden="true" customHeight="true">
      <c r="A62" s="240">
        <f>=辅助表6.2全部经济评价参数一览表!A53</f>
        <v>0</v>
      </c>
      <c r="B62" s="241">
        <f>=辅助表6.2全部经济评价参数一览表!B53</f>
        <v>0</v>
      </c>
      <c r="C62" s="242" t="s"/>
      <c r="D62" s="242" t="s"/>
      <c r="E62" s="242" t="s"/>
      <c r="F62" s="242" t="s"/>
      <c r="G62" s="242" t="s"/>
    </row>
    <row r="63" spans="1:2" ht="12" customHeight="true">
      <c r="A63" s="247" t="s"/>
      <c r="B63" s="248" t="s"/>
    </row>
    <row r="64" spans="1:2" ht="12" customHeight="true">
      <c r="A64" s="247" t="s"/>
      <c r="B64" s="248" t="s"/>
    </row>
  </sheetData>
  <sheetProtection/>
  <printOptions horizontalCentered="true"/>
  <pageMargins left="0.748031" right="0.748031" top="0.984252" bottom="0.984252" header="0.511811" footer="0.511811"/>
  <pageSetup paperSize="9" scale="95" orientation="portrait" blackAndWhite="true" horizontalDpi="300" verticalDpi="300"/>
  <headerFooter alignWithMargins="false"/>
</worksheet>
</file>

<file path=xl/worksheets/sheet32.xml><?xml version="1.0" encoding="utf-8"?>
<worksheet xmlns="http://schemas.openxmlformats.org/spreadsheetml/2006/main">
  <sheetPr/>
  <dimension ref="AA41"/>
  <sheetViews>
    <sheetView showGridLines="false" showZeros="false" topLeftCell="B13" workbookViewId="0"/>
  </sheetViews>
  <sheetFormatPr defaultColWidth="9" defaultRowHeight="15.75"/>
  <cols>
    <col min="1" max="1" width="9.125" style="713" hidden="true"/>
    <col min="2" max="2" width="18.875" style="713"/>
    <col min="3" max="3" width="12.375" style="713"/>
    <col min="4" max="4" width="12.625" style="713"/>
    <col min="5" max="6" width="10.375" style="713"/>
    <col min="7" max="7" width="10.125" style="713"/>
    <col min="8" max="8" width="12.875" style="713"/>
    <col min="9" max="9" width="10.875" style="713"/>
    <col min="10" max="10" width="8.625" style="713"/>
    <col min="11" max="11" width="13.5" style="713"/>
    <col min="12" max="12" width="7.875" style="713"/>
    <col min="13" max="13" width="6.625" style="713"/>
    <col min="14" max="14" width="8.625" style="713"/>
    <col min="15" max="15" width="9" style="713"/>
    <col min="16" max="16" width="4.875" style="713"/>
    <col min="17" max="17" width="3.125" style="713"/>
    <col min="18" max="26" width="9" style="713"/>
  </cols>
  <sheetData>
    <row r="1" spans="1:2" ht="20.4">
      <c r="A1" s="41" t="s"/>
      <c r="B1" s="41" t="s">
        <v>3355</v>
      </c>
    </row>
    <row r="2" spans="1:4" ht="14.25" customHeight="true" thickBot="true">
      <c r="A2" s="42" t="s"/>
      <c r="B2" s="43" t="s">
        <v>1216</v>
      </c>
      <c r="C2" s="44" t="s">
        <v>185</v>
      </c>
      <c r="D2" s="41" t="s"/>
    </row>
    <row r="3" spans="1:11" ht="29.25" customHeight="true">
      <c r="A3" s="42" t="s"/>
      <c r="B3" s="45" t="s">
        <v>186</v>
      </c>
      <c r="C3" s="46" t="s"/>
      <c r="D3" s="47" t="s"/>
      <c r="E3" s="48" t="s">
        <v>187</v>
      </c>
      <c r="F3" s="49" t="s"/>
      <c r="G3" s="47" t="s"/>
      <c r="H3" s="50" t="s">
        <v>188</v>
      </c>
      <c r="I3" s="51" t="s"/>
      <c r="J3" s="46" t="s"/>
      <c r="K3" s="47" t="s"/>
    </row>
    <row r="4" spans="1:11" ht="29.25" customHeight="true">
      <c r="A4" s="42" t="s"/>
      <c r="B4" s="52" t="s">
        <v>189</v>
      </c>
      <c r="C4" s="53" t="s"/>
      <c r="D4" s="54" t="s"/>
      <c r="E4" s="58" t="s">
        <v>864</v>
      </c>
      <c r="F4" s="59" t="s"/>
      <c r="G4" s="54" t="s"/>
      <c r="H4" s="58" t="s">
        <v>190</v>
      </c>
      <c r="I4" s="59" t="s"/>
      <c r="J4" s="53" t="s"/>
      <c r="K4" s="54" t="s"/>
    </row>
    <row r="5" spans="1:11" ht="33.75" customHeight="true">
      <c r="A5" s="42" t="s"/>
      <c r="B5" s="60" t="s">
        <v>191</v>
      </c>
      <c r="C5" s="61" t="s"/>
      <c r="D5" s="62" t="s"/>
      <c r="E5" s="62" t="s"/>
      <c r="F5" s="62" t="s"/>
      <c r="G5" s="63" t="s">
        <v>192</v>
      </c>
      <c r="H5" s="62" t="s"/>
      <c r="I5" s="62" t="s"/>
      <c r="J5" s="62" t="s"/>
      <c r="K5" s="64" t="s"/>
    </row>
    <row r="6" spans="1:11" ht="33.75" customHeight="true" thickBot="true">
      <c r="A6" s="42" t="s"/>
      <c r="B6" s="65" t="s">
        <v>193</v>
      </c>
      <c r="C6" s="66" t="s">
        <v>194</v>
      </c>
      <c r="D6" s="67" t="s"/>
      <c r="E6" s="68" t="s"/>
      <c r="F6" s="68" t="s"/>
      <c r="G6" s="69" t="s">
        <v>195</v>
      </c>
      <c r="H6" s="67" t="s"/>
      <c r="I6" s="68" t="s"/>
      <c r="J6" s="70" t="s"/>
      <c r="K6" s="71" t="s"/>
    </row>
    <row r="7" spans="1:11" ht="16.5" customHeight="true">
      <c r="A7" s="42" t="s"/>
      <c r="B7" s="45" t="s">
        <v>196</v>
      </c>
      <c r="C7" s="58" t="s">
        <v>197</v>
      </c>
      <c r="D7" s="72" t="s"/>
      <c r="E7" s="73" t="s"/>
      <c r="F7" s="58" t="s">
        <v>198</v>
      </c>
      <c r="G7" s="72" t="s"/>
      <c r="H7" s="73" t="s"/>
      <c r="I7" s="74" t="s">
        <v>199</v>
      </c>
      <c r="J7" s="75" t="s"/>
      <c r="K7" s="76" t="s"/>
    </row>
    <row r="8" spans="1:11" ht="16.5" customHeight="true">
      <c r="A8" s="42" t="s"/>
      <c r="B8" s="77" t="s"/>
      <c r="C8" s="78" t="s">
        <v>43</v>
      </c>
      <c r="D8" s="79" t="s"/>
      <c r="E8" s="80" t="s"/>
      <c r="F8" s="78" t="e">
        <f>=INDEX(hyfl!A5:A1205,MATCH(pgtz!I8,hyfl!E5:E1205,0))</f>
        <v>#N/A</v>
      </c>
      <c r="G8" s="79" t="s"/>
      <c r="H8" s="80" t="s"/>
      <c r="I8" s="81" t="e">
        <f>=INDEX(hyfl!E5:E1205,MATCH(pgtz!I9,hyfl!F5:F1205,0))</f>
        <v>#N/A</v>
      </c>
      <c r="J8" s="82" t="s"/>
      <c r="K8" s="83" t="s"/>
    </row>
    <row r="9" spans="1:11" ht="16.5" customHeight="true">
      <c r="A9" s="42" t="s"/>
      <c r="B9" s="84" t="s"/>
      <c r="C9" s="78" t="s">
        <v>44</v>
      </c>
      <c r="D9" s="85" t="s"/>
      <c r="E9" s="86" t="s"/>
      <c r="F9" s="78" t="e">
        <f>=INDEX(hyfl!B5:B1205,MATCH(pgtz!I9,hyfl!F5:F1205,0))</f>
        <v>#N/A</v>
      </c>
      <c r="G9" s="85" t="s"/>
      <c r="H9" s="86" t="s"/>
      <c r="I9" s="78" t="e">
        <f>=INDEX(hyfl!F5:F1205,MATCH(pgtz!I10,hyfl!G5:G1205,0))</f>
        <v>#N/A</v>
      </c>
      <c r="J9" s="85" t="s"/>
      <c r="K9" s="87" t="s"/>
    </row>
    <row r="10" spans="1:11" ht="16.5" customHeight="true">
      <c r="A10" s="42" t="s"/>
      <c r="B10" s="84" t="s"/>
      <c r="C10" s="78" t="s">
        <v>45</v>
      </c>
      <c r="D10" s="85" t="s"/>
      <c r="E10" s="86" t="s"/>
      <c r="F10" s="78" t="e">
        <f>=INDEX(hyfl!C5:C1205,MATCH(pgtz!I10,hyfl!G5:G1205,0))</f>
        <v>#N/A</v>
      </c>
      <c r="G10" s="85" t="s"/>
      <c r="H10" s="86" t="s"/>
      <c r="I10" s="78" t="e">
        <f>=INDEX(hyfl!G5:G1205,MATCH(pgtz!I11,hyfl!H5:H1205,0))</f>
        <v>#N/A</v>
      </c>
      <c r="J10" s="85" t="s"/>
      <c r="K10" s="87" t="s"/>
    </row>
    <row r="11" spans="1:11" ht="16.5" customHeight="true" thickBot="true">
      <c r="A11" s="42" t="s"/>
      <c r="B11" s="88" t="s"/>
      <c r="C11" s="89" t="s">
        <v>46</v>
      </c>
      <c r="D11" s="90" t="s"/>
      <c r="E11" s="91" t="s"/>
      <c r="F11" s="89" t="e">
        <f>=INDEX(hyfl!D5:D1205,MATCH(pgtz!I11,hyfl!H5:H1205,0))</f>
        <v>#N/A</v>
      </c>
      <c r="G11" s="90" t="s"/>
      <c r="H11" s="91" t="s"/>
      <c r="I11" s="92" t="s"/>
      <c r="J11" s="93" t="s"/>
      <c r="K11" s="94" t="s"/>
    </row>
    <row r="12" spans="1:11" ht="16.5" customHeight="true">
      <c r="A12" s="42" t="s"/>
      <c r="B12" s="95" t="s">
        <v>200</v>
      </c>
      <c r="C12" s="96" t="s">
        <v>201</v>
      </c>
      <c r="D12" s="96" t="s"/>
      <c r="E12" s="96" t="s"/>
      <c r="F12" s="50" t="s">
        <v>202</v>
      </c>
      <c r="G12" s="50" t="s"/>
      <c r="H12" s="50" t="s"/>
      <c r="I12" s="97" t="s">
        <v>203</v>
      </c>
      <c r="J12" s="97" t="s"/>
      <c r="K12" s="98" t="s"/>
    </row>
    <row r="13" spans="1:11" ht="16.5" customHeight="true">
      <c r="A13" s="42" t="s"/>
      <c r="B13" s="52" t="s"/>
      <c r="C13" s="63" t="s">
        <v>204</v>
      </c>
      <c r="D13" s="99" t="s">
        <v>205</v>
      </c>
      <c r="E13" s="99" t="s">
        <v>206</v>
      </c>
      <c r="F13" s="63" t="s">
        <v>204</v>
      </c>
      <c r="G13" s="99" t="s">
        <v>205</v>
      </c>
      <c r="H13" s="99" t="s">
        <v>206</v>
      </c>
      <c r="I13" s="63" t="s">
        <v>204</v>
      </c>
      <c r="J13" s="99" t="s">
        <v>205</v>
      </c>
      <c r="K13" s="100" t="s">
        <v>206</v>
      </c>
    </row>
    <row r="14" spans="1:11" ht="16.5" customHeight="true" thickBot="true">
      <c r="A14" s="42" t="s"/>
      <c r="B14" s="101" t="s"/>
      <c r="C14" s="44" t="s"/>
      <c r="D14" s="44" t="s"/>
      <c r="E14" s="102" t="s"/>
      <c r="F14" s="44" t="s"/>
      <c r="G14" s="44" t="s"/>
      <c r="H14" s="102" t="s"/>
      <c r="I14" s="44" t="s"/>
      <c r="J14" s="44" t="s"/>
      <c r="K14" s="102" t="s"/>
    </row>
    <row r="15" spans="1:11" ht="16.5" customHeight="true">
      <c r="A15" s="42" t="s"/>
      <c r="B15" s="45" t="s">
        <v>207</v>
      </c>
      <c r="C15" s="103">
        <f>=评估表3投资计划与资金筹措表!E5</f>
        <v>8767.59401589645</v>
      </c>
      <c r="D15" s="96" t="s">
        <v>208</v>
      </c>
      <c r="E15" s="96" t="s"/>
      <c r="F15" s="96" t="s"/>
      <c r="G15" s="96" t="s"/>
      <c r="H15" s="96" t="s"/>
      <c r="I15" s="96" t="s"/>
      <c r="J15" s="96" t="s"/>
      <c r="K15" s="104" t="s"/>
    </row>
    <row r="16" spans="1:11" ht="16.5" customHeight="true" thickBot="true">
      <c r="A16" s="42" t="s"/>
      <c r="B16" s="88" t="s"/>
      <c r="C16" s="105" t="s"/>
      <c r="D16" s="43" t="s">
        <v>209</v>
      </c>
      <c r="E16" s="105">
        <f>=评估表3投资计划与资金筹措表!E7</f>
        <v>8767.59401589645</v>
      </c>
      <c r="F16" s="105" t="s"/>
      <c r="G16" s="106" t="s"/>
      <c r="H16" s="107" t="s">
        <v>210</v>
      </c>
      <c r="I16" s="106">
        <f>=评估表3投资计划与资金筹措表!E15</f>
        <v>0</v>
      </c>
      <c r="J16" s="106" t="s"/>
      <c r="K16" s="108" t="s"/>
    </row>
    <row r="17" spans="1:11" ht="16.5" customHeight="true">
      <c r="A17" s="42" t="s"/>
      <c r="B17" s="45" t="s">
        <v>211</v>
      </c>
      <c r="C17" s="50" t="s">
        <v>212</v>
      </c>
      <c r="D17" s="96" t="s"/>
      <c r="E17" s="109" t="s">
        <v>213</v>
      </c>
      <c r="F17" s="110" t="s"/>
      <c r="G17" s="111" t="s">
        <v>214</v>
      </c>
      <c r="H17" s="112" t="s"/>
      <c r="I17" s="111" t="s">
        <v>215</v>
      </c>
      <c r="J17" s="112" t="s"/>
      <c r="K17" s="113" t="s">
        <v>216</v>
      </c>
    </row>
    <row r="18" spans="1:11" ht="16.5" customHeight="true" thickBot="true">
      <c r="A18" s="42" t="s"/>
      <c r="B18" s="114" t="s"/>
      <c r="C18" s="115">
        <f>=评估表3投资计划与资金筹措表!E18</f>
        <v>1767.59401589645</v>
      </c>
      <c r="D18" s="115" t="s"/>
      <c r="E18" s="115">
        <f>=评估表3投资计划与资金筹措表!E26+评估表3投资计划与资金筹措表!E42+评估表3投资计划与资金筹措表!E43</f>
        <v>7000</v>
      </c>
      <c r="F18" s="115" t="s"/>
      <c r="G18" s="116">
        <f>=评估表3投资计划与资金筹措表!E28+评估表3投资计划与资金筹措表!E42</f>
        <v>7000</v>
      </c>
      <c r="H18" s="117" t="s"/>
      <c r="I18" s="116">
        <f>=SUM(评估表3投资计划与资金筹措表!E29:E32)+评估表3投资计划与资金筹措表!E33+评估表3投资计划与资金筹措表!E43</f>
        <v>0</v>
      </c>
      <c r="J18" s="117" t="s"/>
      <c r="K18" s="118">
        <f>=SUM(评估表3投资计划与资金筹措表!E38:E40)+评估表3投资计划与资金筹措表!E44+评估表3投资计划与资金筹措表!E45</f>
        <v>0</v>
      </c>
    </row>
    <row r="19" spans="1:11" ht="39.75" customHeight="true">
      <c r="A19" s="42" t="s"/>
      <c r="B19" s="45" t="s">
        <v>217</v>
      </c>
      <c r="C19" s="50" t="s">
        <v>218</v>
      </c>
      <c r="D19" s="96" t="s"/>
      <c r="E19" s="50" t="s">
        <v>219</v>
      </c>
      <c r="F19" s="96" t="s"/>
      <c r="G19" s="50" t="s">
        <v>220</v>
      </c>
      <c r="H19" s="96" t="s"/>
      <c r="I19" s="50" t="s">
        <v>221</v>
      </c>
      <c r="J19" s="96" t="s">
        <v>222</v>
      </c>
      <c r="K19" s="119" t="s">
        <v>223</v>
      </c>
    </row>
    <row r="20" spans="1:11" ht="16.5" customHeight="true" thickBot="true">
      <c r="A20" s="42" t="s"/>
      <c r="B20" s="114" t="s"/>
      <c r="C20" s="120">
        <f>=辅助表6.1经济评估基础数据及效益指标表!C22</f>
        <v>0.025922320930041</v>
      </c>
      <c r="D20" s="121" t="s"/>
      <c r="E20" s="121">
        <f>=辅助表6.1经济评估基础数据及效益指标表!C23</f>
        <v>0.192772912605028</v>
      </c>
      <c r="F20" s="121" t="s"/>
      <c r="G20" s="121">
        <f>=辅助表6.1经济评估基础数据及效益指标表!C18</f>
        <v>0.067638846121507</v>
      </c>
      <c r="H20" s="121" t="s"/>
      <c r="I20" s="105">
        <f>=辅助表6.1经济评估基础数据及效益指标表!C19</f>
        <v>980.360982032412</v>
      </c>
      <c r="J20" s="121">
        <f>=辅助表6.1经济评估基础数据及效益指标表!C17</f>
        <v>0.05</v>
      </c>
      <c r="K20" s="108">
        <f>=辅助表6.1经济评估基础数据及效益指标表!C24</f>
        <v>10.9436857937774</v>
      </c>
    </row>
    <row r="21" spans="1:11" ht="42" customHeight="true" thickBot="true">
      <c r="A21" s="42" t="s"/>
      <c r="B21" s="562" t="s">
        <v>866</v>
      </c>
      <c r="C21" s="563" t="s"/>
      <c r="D21" s="564" t="s"/>
      <c r="E21" s="565" t="s">
        <v>243</v>
      </c>
      <c r="F21" s="566" t="s"/>
      <c r="G21" s="564" t="s"/>
      <c r="H21" s="564" t="s"/>
      <c r="I21" s="127" t="s">
        <v>224</v>
      </c>
      <c r="J21" s="128" t="s"/>
      <c r="K21" s="129">
        <f>=辅助表6.2全部经济评价参数一览表!C43</f>
        <v>1.07517964771349</v>
      </c>
    </row>
    <row r="22" spans="1:11" ht="42" customHeight="true" thickBot="true">
      <c r="A22" s="42" t="s"/>
      <c r="B22" s="149" t="s">
        <v>1217</v>
      </c>
      <c r="C22" s="150" t="s"/>
      <c r="D22" s="151" t="s"/>
      <c r="E22" s="567" t="s">
        <v>1218</v>
      </c>
      <c r="F22" s="568" t="s"/>
      <c r="G22" s="150" t="s"/>
      <c r="H22" s="151" t="s"/>
      <c r="I22" s="569" t="s">
        <v>1219</v>
      </c>
      <c r="J22" s="568" t="s"/>
      <c r="K22" s="570" t="s"/>
    </row>
    <row r="23" spans="1:11" ht="16.5" customHeight="true">
      <c r="A23" s="42" t="s"/>
      <c r="B23" s="562" t="s">
        <v>867</v>
      </c>
      <c r="C23" s="50" t="s">
        <v>238</v>
      </c>
      <c r="D23" s="47" t="s"/>
      <c r="E23" s="47" t="s"/>
      <c r="F23" s="47" t="s"/>
      <c r="G23" s="111" t="s">
        <v>871</v>
      </c>
      <c r="H23" s="571" t="s"/>
      <c r="I23" s="47" t="s"/>
      <c r="J23" s="47" t="s"/>
      <c r="K23" s="143" t="s"/>
    </row>
    <row r="24" spans="1:11" ht="16.5" customHeight="true" thickBot="true">
      <c r="A24" s="42" t="s"/>
      <c r="B24" s="572" t="s"/>
      <c r="C24" s="43" t="s">
        <v>240</v>
      </c>
      <c r="D24" s="146" t="s"/>
      <c r="E24" s="146" t="s"/>
      <c r="F24" s="146" t="s"/>
      <c r="G24" s="573" t="s">
        <v>1220</v>
      </c>
      <c r="H24" s="574" t="s"/>
      <c r="I24" s="146" t="s"/>
      <c r="J24" s="146" t="s"/>
      <c r="K24" s="148" t="s"/>
    </row>
    <row r="25" spans="1:2" ht="16.5" customHeight="true">
      <c r="A25" s="42" t="s"/>
      <c r="B25" s="158" t="s">
        <v>244</v>
      </c>
    </row>
    <row r="26" spans="1:4" ht="16.5" customHeight="true">
      <c r="A26" s="42" t="s"/>
      <c r="B26" s="159" t="s">
        <v>245</v>
      </c>
      <c r="C26" s="160" t="s">
        <v>246</v>
      </c>
      <c r="D26" s="161" t="s"/>
    </row>
    <row r="27" spans="1:4" ht="15.75" customHeight="true">
      <c r="A27" s="42" t="s"/>
      <c r="B27" s="159" t="s">
        <v>247</v>
      </c>
      <c r="C27" s="160" t="s">
        <v>248</v>
      </c>
      <c r="D27" s="161" t="s"/>
    </row>
    <row r="28" spans="1:7" ht="16.5" customHeight="true">
      <c r="A28" s="42" t="s"/>
      <c r="B28" s="159" t="s">
        <v>249</v>
      </c>
      <c r="C28" s="160" t="s">
        <v>250</v>
      </c>
      <c r="D28" s="161" t="s"/>
      <c r="E28" s="161" t="s"/>
      <c r="F28" s="161" t="s"/>
      <c r="G28" s="161" t="s"/>
    </row>
    <row r="29" spans="1:6" ht="16.5" customHeight="true">
      <c r="A29" s="42" t="s"/>
      <c r="B29" s="158" t="s"/>
      <c r="C29" s="161" t="s"/>
      <c r="F29" s="162" t="s"/>
    </row>
    <row r="30" spans="1:4" ht="15.6">
      <c r="A30" s="163" t="s"/>
      <c r="B30" s="158" t="s"/>
      <c r="D30" s="161" t="s"/>
    </row>
    <row r="33" spans="4:13" ht="15.6">
      <c r="D33" s="164" t="s"/>
      <c r="E33" s="164" t="s"/>
      <c r="F33" s="164" t="s"/>
      <c r="G33" s="164" t="s"/>
      <c r="H33" s="164" t="s"/>
      <c r="I33" s="164" t="s"/>
      <c r="J33" s="164" t="s"/>
      <c r="K33" s="164" t="s"/>
      <c r="L33" s="164" t="s"/>
      <c r="M33" s="164" t="s"/>
    </row>
    <row r="34" spans="4:13" ht="25.5" customHeight="true">
      <c r="D34" s="164" t="s"/>
      <c r="E34" s="164" t="s"/>
      <c r="F34" s="164" t="s"/>
      <c r="G34" s="164" t="s"/>
      <c r="H34" s="164" t="s"/>
      <c r="I34" s="164" t="s"/>
      <c r="J34" s="164" t="s"/>
      <c r="K34" s="164" t="s"/>
      <c r="L34" s="164" t="s"/>
      <c r="M34" s="164" t="s"/>
    </row>
    <row r="35" spans="4:13" ht="16.5" customHeight="true">
      <c r="D35" s="164" t="s"/>
      <c r="E35" s="164" t="s"/>
      <c r="F35" s="164" t="s"/>
      <c r="G35" s="164" t="s"/>
      <c r="H35" s="164" t="s"/>
      <c r="I35" s="164" t="s"/>
      <c r="J35" s="164" t="s"/>
      <c r="K35" s="164" t="s"/>
      <c r="L35" s="164" t="s"/>
      <c r="M35" s="164" t="s"/>
    </row>
    <row r="36" spans="4:13" ht="30" customHeight="true">
      <c r="D36" s="164" t="s"/>
      <c r="E36" s="164" t="s"/>
      <c r="F36" s="164" t="s"/>
      <c r="G36" s="164" t="s"/>
      <c r="H36" s="164" t="s"/>
      <c r="I36" s="164" t="s"/>
      <c r="J36" s="164" t="s"/>
      <c r="K36" s="164" t="s"/>
      <c r="L36" s="164" t="s"/>
      <c r="M36" s="164" t="s"/>
    </row>
    <row r="37" spans="4:13" ht="15.6">
      <c r="D37" s="164" t="s"/>
      <c r="E37" s="164" t="s"/>
      <c r="F37" s="164" t="s"/>
      <c r="G37" s="164" t="s"/>
      <c r="H37" s="164" t="s"/>
      <c r="I37" s="164" t="s"/>
      <c r="J37" s="164" t="s"/>
      <c r="K37" s="164" t="s"/>
      <c r="L37" s="164" t="s"/>
      <c r="M37" s="164" t="s"/>
    </row>
    <row r="38" spans="1:13" ht="15.6">
      <c r="A38" s="158" t="s"/>
      <c r="B38" s="164" t="s"/>
      <c r="C38" s="164" t="s"/>
      <c r="D38" s="164" t="s"/>
      <c r="E38" s="164" t="s"/>
      <c r="F38" s="164" t="s"/>
      <c r="G38" s="164" t="s"/>
      <c r="H38" s="164" t="s"/>
      <c r="I38" s="164" t="s"/>
      <c r="J38" s="164" t="s"/>
      <c r="K38" s="164" t="s"/>
      <c r="L38" s="164" t="s"/>
      <c r="M38" s="164" t="s"/>
    </row>
    <row r="39" spans="1:1" ht="15.6">
      <c r="A39" s="158" t="s"/>
    </row>
    <row r="40" spans="1:1" ht="15.6">
      <c r="A40" s="158" t="s"/>
    </row>
    <row r="41" spans="1:1" ht="15.6">
      <c r="A41" s="158" t="s"/>
    </row>
  </sheetData>
  <sheetProtection/>
  <mergeCells count="71">
    <mergeCell ref="B1:K1"/>
    <mergeCell ref="C3:D3"/>
    <mergeCell ref="E3:F3"/>
    <mergeCell ref="H3:I3"/>
    <mergeCell ref="J3:K3"/>
    <mergeCell ref="C4:D4"/>
    <mergeCell ref="E4:F4"/>
    <mergeCell ref="H4:I4"/>
    <mergeCell ref="J4:K4"/>
    <mergeCell ref="C5:F5"/>
    <mergeCell ref="H5:K5"/>
    <mergeCell ref="C6:D6"/>
    <mergeCell ref="E6:F6"/>
    <mergeCell ref="G6:H6"/>
    <mergeCell ref="I6:K6"/>
    <mergeCell ref="C7:E7"/>
    <mergeCell ref="F7:H7"/>
    <mergeCell ref="I7:K7"/>
    <mergeCell ref="C8:E8"/>
    <mergeCell ref="F8:H8"/>
    <mergeCell ref="I8:K8"/>
    <mergeCell ref="C9:E9"/>
    <mergeCell ref="F9:H9"/>
    <mergeCell ref="I9:K9"/>
    <mergeCell ref="C10:E10"/>
    <mergeCell ref="F10:H10"/>
    <mergeCell ref="I10:K10"/>
    <mergeCell ref="C11:E11"/>
    <mergeCell ref="F11:H11"/>
    <mergeCell ref="I11:K11"/>
    <mergeCell ref="C12:E12"/>
    <mergeCell ref="F12:H12"/>
    <mergeCell ref="I12:K12"/>
    <mergeCell ref="D15:K15"/>
    <mergeCell ref="E16:G16"/>
    <mergeCell ref="I16:K16"/>
    <mergeCell ref="C17:D17"/>
    <mergeCell ref="E17:F17"/>
    <mergeCell ref="G17:H17"/>
    <mergeCell ref="I17:J17"/>
    <mergeCell ref="C18:D18"/>
    <mergeCell ref="E18:F18"/>
    <mergeCell ref="G18:H18"/>
    <mergeCell ref="I18:J18"/>
    <mergeCell ref="C19:D19"/>
    <mergeCell ref="E19:F19"/>
    <mergeCell ref="G19:H19"/>
    <mergeCell ref="C20:D20"/>
    <mergeCell ref="E20:F20"/>
    <mergeCell ref="G20:H20"/>
    <mergeCell ref="C21:D21"/>
    <mergeCell ref="E21:F21"/>
    <mergeCell ref="G21:H21"/>
    <mergeCell ref="I21:J21"/>
    <mergeCell ref="C22:D22"/>
    <mergeCell ref="E22:F22"/>
    <mergeCell ref="G22:H22"/>
    <mergeCell ref="I22:J22"/>
    <mergeCell ref="D23:F23"/>
    <mergeCell ref="G23:H23"/>
    <mergeCell ref="I23:K23"/>
    <mergeCell ref="D24:F24"/>
    <mergeCell ref="G24:H24"/>
    <mergeCell ref="I24:K24"/>
    <mergeCell ref="B7:B11"/>
    <mergeCell ref="B12:B14"/>
    <mergeCell ref="B15:B16"/>
    <mergeCell ref="B17:B18"/>
    <mergeCell ref="B19:B20"/>
    <mergeCell ref="B23:B24"/>
    <mergeCell ref="C15:C16"/>
  </mergeCells>
  <dataValidations>
    <dataValidation type="list" operator="between" allowBlank="true" showInputMessage="true" showErrorMessage="true" sqref="C2">
      <formula1>"是,否"</formula1>
    </dataValidation>
  </dataValidations>
  <printOptions horizontalCentered="true"/>
  <pageMargins left="0.511811" right="0.23622" top="0.393701" bottom="0.19685" header="0.23622" footer="0.511811"/>
  <pageSetup paperSize="9" orientation="landscape"/>
  <headerFooter alignWithMargins="false"/>
</worksheet>
</file>

<file path=xl/worksheets/sheet33.xml><?xml version="1.0" encoding="utf-8"?>
<worksheet xmlns="http://schemas.openxmlformats.org/spreadsheetml/2006/main">
  <sheetPr/>
  <dimension ref="AA46"/>
  <sheetViews>
    <sheetView showGridLines="false" showZeros="false" topLeftCell="B11" workbookViewId="0"/>
  </sheetViews>
  <sheetFormatPr defaultColWidth="9" defaultRowHeight="15.75"/>
  <cols>
    <col min="1" max="1" width="4.625" style="713" hidden="true"/>
    <col min="2" max="2" width="18.875" style="713"/>
    <col min="3" max="3" width="12.375" style="713"/>
    <col min="4" max="4" width="12.625" style="713"/>
    <col min="5" max="6" width="10.375" style="713"/>
    <col min="7" max="7" width="10.125" style="713"/>
    <col min="8" max="8" width="12.875" style="713"/>
    <col min="9" max="9" width="10.875" style="713"/>
    <col min="10" max="10" width="8.625" style="713"/>
    <col min="11" max="11" width="13.5" style="713"/>
    <col min="12" max="12" width="7.875" style="713"/>
    <col min="13" max="13" width="6.625" style="713"/>
    <col min="14" max="14" width="8.625" style="713"/>
    <col min="15" max="15" width="9" style="713"/>
    <col min="16" max="16" width="4.875" style="713"/>
    <col min="17" max="17" width="3.125" style="713"/>
    <col min="18" max="26" width="9" style="713"/>
  </cols>
  <sheetData>
    <row r="1" spans="1:2" ht="20.4">
      <c r="A1" s="41" t="s"/>
      <c r="B1" s="41" t="s">
        <v>3321</v>
      </c>
    </row>
    <row r="2" spans="1:4" ht="14.25" customHeight="true" thickBot="true">
      <c r="A2" s="42" t="s"/>
      <c r="B2" s="43" t="s">
        <v>184</v>
      </c>
      <c r="C2" s="44" t="s">
        <v>185</v>
      </c>
      <c r="D2" s="41" t="s"/>
    </row>
    <row r="3" spans="1:11" ht="29.25" customHeight="true">
      <c r="A3" s="42" t="s"/>
      <c r="B3" s="45" t="s">
        <v>186</v>
      </c>
      <c r="C3" s="46" t="s"/>
      <c r="D3" s="47" t="s"/>
      <c r="E3" s="48" t="s">
        <v>187</v>
      </c>
      <c r="F3" s="49" t="s"/>
      <c r="G3" s="47" t="s"/>
      <c r="H3" s="50" t="s">
        <v>188</v>
      </c>
      <c r="I3" s="51" t="s"/>
      <c r="J3" s="46" t="s"/>
      <c r="K3" s="47" t="s"/>
    </row>
    <row r="4" spans="1:11" ht="29.25" customHeight="true">
      <c r="A4" s="42" t="s"/>
      <c r="B4" s="52" t="s">
        <v>189</v>
      </c>
      <c r="C4" s="53" t="s"/>
      <c r="D4" s="54" t="s"/>
      <c r="E4" s="55" t="s"/>
      <c r="F4" s="56" t="s"/>
      <c r="G4" s="57" t="s"/>
      <c r="H4" s="58" t="s">
        <v>190</v>
      </c>
      <c r="I4" s="59" t="s"/>
      <c r="J4" s="53" t="s"/>
      <c r="K4" s="54" t="s"/>
    </row>
    <row r="5" spans="1:11" ht="33.75" customHeight="true">
      <c r="A5" s="42" t="s"/>
      <c r="B5" s="60" t="s">
        <v>191</v>
      </c>
      <c r="C5" s="61" t="s"/>
      <c r="D5" s="62" t="s"/>
      <c r="E5" s="62" t="s"/>
      <c r="F5" s="62" t="s"/>
      <c r="G5" s="63" t="s">
        <v>192</v>
      </c>
      <c r="H5" s="62" t="s"/>
      <c r="I5" s="62" t="s"/>
      <c r="J5" s="62" t="s"/>
      <c r="K5" s="64" t="s"/>
    </row>
    <row r="6" spans="1:11" ht="33.75" customHeight="true" thickBot="true">
      <c r="A6" s="42" t="s"/>
      <c r="B6" s="65" t="s">
        <v>193</v>
      </c>
      <c r="C6" s="66" t="s">
        <v>194</v>
      </c>
      <c r="D6" s="67" t="s"/>
      <c r="E6" s="68" t="s"/>
      <c r="F6" s="68" t="s"/>
      <c r="G6" s="69" t="s">
        <v>195</v>
      </c>
      <c r="H6" s="67" t="s"/>
      <c r="I6" s="68" t="s"/>
      <c r="J6" s="70" t="s"/>
      <c r="K6" s="71" t="s"/>
    </row>
    <row r="7" spans="1:11" ht="16.5" customHeight="true">
      <c r="A7" s="42" t="s"/>
      <c r="B7" s="45" t="s">
        <v>196</v>
      </c>
      <c r="C7" s="58" t="s">
        <v>197</v>
      </c>
      <c r="D7" s="72" t="s"/>
      <c r="E7" s="73" t="s"/>
      <c r="F7" s="58" t="s">
        <v>198</v>
      </c>
      <c r="G7" s="72" t="s"/>
      <c r="H7" s="73" t="s"/>
      <c r="I7" s="74" t="s">
        <v>199</v>
      </c>
      <c r="J7" s="75" t="s"/>
      <c r="K7" s="76" t="s"/>
    </row>
    <row r="8" spans="1:11" ht="16.5" customHeight="true">
      <c r="A8" s="42" t="s"/>
      <c r="B8" s="77" t="s"/>
      <c r="C8" s="78" t="s">
        <v>43</v>
      </c>
      <c r="D8" s="79" t="s"/>
      <c r="E8" s="80" t="s"/>
      <c r="F8" s="78" t="e">
        <f>=INDEX(hyfl!A5:A1205,MATCH(pgpjtz!I8,hyfl!E5:E1205,0))</f>
        <v>#N/A</v>
      </c>
      <c r="G8" s="79" t="s"/>
      <c r="H8" s="80" t="s"/>
      <c r="I8" s="81" t="e">
        <f>=INDEX(hyfl!E5:E1205,MATCH(pgpjtz!I9,hyfl!F5:F1205,0))</f>
        <v>#N/A</v>
      </c>
      <c r="J8" s="82" t="s"/>
      <c r="K8" s="83" t="s"/>
    </row>
    <row r="9" spans="1:11" ht="16.5" customHeight="true">
      <c r="A9" s="42" t="s"/>
      <c r="B9" s="84" t="s"/>
      <c r="C9" s="78" t="s">
        <v>44</v>
      </c>
      <c r="D9" s="85" t="s"/>
      <c r="E9" s="86" t="s"/>
      <c r="F9" s="78" t="e">
        <f>=INDEX(hyfl!B5:B1205,MATCH(pgpjtz!I9,hyfl!F5:F1205,0))</f>
        <v>#N/A</v>
      </c>
      <c r="G9" s="85" t="s"/>
      <c r="H9" s="86" t="s"/>
      <c r="I9" s="78" t="e">
        <f>=INDEX(hyfl!F5:F1205,MATCH(pgpjtz!I10,hyfl!G5:G1205,0))</f>
        <v>#N/A</v>
      </c>
      <c r="J9" s="85" t="s"/>
      <c r="K9" s="87" t="s"/>
    </row>
    <row r="10" spans="1:11" ht="16.5" customHeight="true">
      <c r="A10" s="42" t="s"/>
      <c r="B10" s="84" t="s"/>
      <c r="C10" s="78" t="s">
        <v>45</v>
      </c>
      <c r="D10" s="85" t="s"/>
      <c r="E10" s="86" t="s"/>
      <c r="F10" s="78" t="e">
        <f>=INDEX(hyfl!C5:C1205,MATCH(pgpjtz!I10,hyfl!G5:G1205,0))</f>
        <v>#N/A</v>
      </c>
      <c r="G10" s="85" t="s"/>
      <c r="H10" s="86" t="s"/>
      <c r="I10" s="78" t="e">
        <f>=INDEX(hyfl!G5:G1205,MATCH(pgpjtz!I11,hyfl!H5:H1205,0))</f>
        <v>#N/A</v>
      </c>
      <c r="J10" s="85" t="s"/>
      <c r="K10" s="87" t="s"/>
    </row>
    <row r="11" spans="1:11" ht="16.5" customHeight="true" thickBot="true">
      <c r="A11" s="42" t="s"/>
      <c r="B11" s="88" t="s"/>
      <c r="C11" s="89" t="s">
        <v>46</v>
      </c>
      <c r="D11" s="90" t="s"/>
      <c r="E11" s="91" t="s"/>
      <c r="F11" s="89" t="e">
        <f>=INDEX(hyfl!D5:D1205,MATCH(pgpjtz!I11,hyfl!H5:H1205,0))</f>
        <v>#N/A</v>
      </c>
      <c r="G11" s="90" t="s"/>
      <c r="H11" s="91" t="s"/>
      <c r="I11" s="92" t="s"/>
      <c r="J11" s="93" t="s"/>
      <c r="K11" s="94" t="s"/>
    </row>
    <row r="12" spans="1:11" ht="16.5" customHeight="true">
      <c r="A12" s="42" t="s"/>
      <c r="B12" s="95" t="s">
        <v>200</v>
      </c>
      <c r="C12" s="96" t="s">
        <v>201</v>
      </c>
      <c r="D12" s="96" t="s"/>
      <c r="E12" s="96" t="s"/>
      <c r="F12" s="50" t="s">
        <v>202</v>
      </c>
      <c r="G12" s="50" t="s"/>
      <c r="H12" s="50" t="s"/>
      <c r="I12" s="97" t="s">
        <v>203</v>
      </c>
      <c r="J12" s="97" t="s"/>
      <c r="K12" s="98" t="s"/>
    </row>
    <row r="13" spans="1:11" ht="16.5" customHeight="true">
      <c r="A13" s="42" t="s"/>
      <c r="B13" s="52" t="s"/>
      <c r="C13" s="63" t="s">
        <v>204</v>
      </c>
      <c r="D13" s="99" t="s">
        <v>205</v>
      </c>
      <c r="E13" s="99" t="s">
        <v>206</v>
      </c>
      <c r="F13" s="63" t="s">
        <v>204</v>
      </c>
      <c r="G13" s="99" t="s">
        <v>205</v>
      </c>
      <c r="H13" s="99" t="s">
        <v>206</v>
      </c>
      <c r="I13" s="63" t="s">
        <v>204</v>
      </c>
      <c r="J13" s="99" t="s">
        <v>205</v>
      </c>
      <c r="K13" s="100" t="s">
        <v>206</v>
      </c>
    </row>
    <row r="14" spans="1:11" ht="16.5" customHeight="true" thickBot="true">
      <c r="A14" s="42" t="s"/>
      <c r="B14" s="101" t="s"/>
      <c r="C14" s="44" t="s"/>
      <c r="D14" s="44" t="s"/>
      <c r="E14" s="102" t="s"/>
      <c r="F14" s="44" t="s"/>
      <c r="G14" s="44" t="s"/>
      <c r="H14" s="102" t="s"/>
      <c r="I14" s="44" t="s"/>
      <c r="J14" s="44" t="s"/>
      <c r="K14" s="102" t="s"/>
    </row>
    <row r="15" spans="1:11" ht="16.5" customHeight="true">
      <c r="A15" s="42" t="s"/>
      <c r="B15" s="45" t="s">
        <v>207</v>
      </c>
      <c r="C15" s="103">
        <f>=评估表3投资计划与资金筹措表!E5</f>
        <v>8767.59401589645</v>
      </c>
      <c r="D15" s="96" t="s">
        <v>208</v>
      </c>
      <c r="E15" s="96" t="s"/>
      <c r="F15" s="96" t="s"/>
      <c r="G15" s="96" t="s"/>
      <c r="H15" s="96" t="s"/>
      <c r="I15" s="96" t="s"/>
      <c r="J15" s="96" t="s"/>
      <c r="K15" s="104" t="s"/>
    </row>
    <row r="16" spans="1:11" ht="16.5" customHeight="true" thickBot="true">
      <c r="A16" s="42" t="s"/>
      <c r="B16" s="88" t="s"/>
      <c r="C16" s="105" t="s"/>
      <c r="D16" s="43" t="s">
        <v>209</v>
      </c>
      <c r="E16" s="105">
        <f>=评估表3投资计划与资金筹措表!E7</f>
        <v>8767.59401589645</v>
      </c>
      <c r="F16" s="105" t="s"/>
      <c r="G16" s="106" t="s"/>
      <c r="H16" s="107" t="s">
        <v>210</v>
      </c>
      <c r="I16" s="106">
        <f>=评估表3投资计划与资金筹措表!E15</f>
        <v>0</v>
      </c>
      <c r="J16" s="106" t="s"/>
      <c r="K16" s="108" t="s"/>
    </row>
    <row r="17" spans="1:11" ht="16.5" customHeight="true">
      <c r="A17" s="42" t="s"/>
      <c r="B17" s="45" t="s">
        <v>211</v>
      </c>
      <c r="C17" s="50" t="s">
        <v>212</v>
      </c>
      <c r="D17" s="96" t="s"/>
      <c r="E17" s="109" t="s">
        <v>213</v>
      </c>
      <c r="F17" s="110" t="s"/>
      <c r="G17" s="111" t="s">
        <v>214</v>
      </c>
      <c r="H17" s="112" t="s"/>
      <c r="I17" s="111" t="s">
        <v>215</v>
      </c>
      <c r="J17" s="112" t="s"/>
      <c r="K17" s="113" t="s">
        <v>216</v>
      </c>
    </row>
    <row r="18" spans="1:11" ht="16.5" customHeight="true" thickBot="true">
      <c r="A18" s="42" t="s"/>
      <c r="B18" s="114" t="s"/>
      <c r="C18" s="115">
        <f>=评估表3投资计划与资金筹措表!E18</f>
        <v>1767.59401589645</v>
      </c>
      <c r="D18" s="115" t="s"/>
      <c r="E18" s="115">
        <f>=评估表3投资计划与资金筹措表!E26+评估表3投资计划与资金筹措表!E42+评估表3投资计划与资金筹措表!E43</f>
        <v>7000</v>
      </c>
      <c r="F18" s="115" t="s"/>
      <c r="G18" s="116">
        <f>=评估表3投资计划与资金筹措表!E28+评估表3投资计划与资金筹措表!E42</f>
        <v>7000</v>
      </c>
      <c r="H18" s="117" t="s"/>
      <c r="I18" s="116">
        <f>=SUM(评估表3投资计划与资金筹措表!E29:E32)+评估表3投资计划与资金筹措表!E33+评估表3投资计划与资金筹措表!E43</f>
        <v>0</v>
      </c>
      <c r="J18" s="117" t="s"/>
      <c r="K18" s="118">
        <f>=SUM(评估表3投资计划与资金筹措表!E38:E40)+评估表3投资计划与资金筹措表!E44+评估表3投资计划与资金筹措表!E45</f>
        <v>0</v>
      </c>
    </row>
    <row r="19" spans="1:11" ht="39.75" customHeight="true">
      <c r="A19" s="42" t="s"/>
      <c r="B19" s="45" t="s">
        <v>217</v>
      </c>
      <c r="C19" s="50" t="s">
        <v>218</v>
      </c>
      <c r="D19" s="96" t="s"/>
      <c r="E19" s="50" t="s">
        <v>219</v>
      </c>
      <c r="F19" s="96" t="s"/>
      <c r="G19" s="50" t="s">
        <v>220</v>
      </c>
      <c r="H19" s="96" t="s"/>
      <c r="I19" s="50" t="s">
        <v>221</v>
      </c>
      <c r="J19" s="96" t="s">
        <v>222</v>
      </c>
      <c r="K19" s="119" t="s">
        <v>223</v>
      </c>
    </row>
    <row r="20" spans="1:11" ht="16.5" customHeight="true" thickBot="true">
      <c r="A20" s="42" t="s"/>
      <c r="B20" s="114" t="s"/>
      <c r="C20" s="120">
        <f>=辅助表6.1经济评估基础数据及效益指标表!C22</f>
        <v>0.025922320930041</v>
      </c>
      <c r="D20" s="121" t="s"/>
      <c r="E20" s="121">
        <f>=辅助表6.1经济评估基础数据及效益指标表!C23</f>
        <v>0.192772912605028</v>
      </c>
      <c r="F20" s="121" t="s"/>
      <c r="G20" s="121">
        <f>=辅助表6.1经济评估基础数据及效益指标表!C18</f>
        <v>0.067638846121507</v>
      </c>
      <c r="H20" s="121" t="s"/>
      <c r="I20" s="105">
        <f>=辅助表6.1经济评估基础数据及效益指标表!C19</f>
        <v>980.360982032412</v>
      </c>
      <c r="J20" s="121">
        <f>=辅助表6.1经济评估基础数据及效益指标表!C17</f>
        <v>0.05</v>
      </c>
      <c r="K20" s="108">
        <f>=辅助表6.1经济评估基础数据及效益指标表!C24</f>
        <v>10.9436857937774</v>
      </c>
    </row>
    <row r="21" spans="1:11" ht="16.5" customHeight="true" thickBot="true">
      <c r="A21" s="42" t="s"/>
      <c r="B21" s="122" t="s"/>
      <c r="C21" s="123" t="s"/>
      <c r="D21" s="124" t="s"/>
      <c r="E21" s="125" t="s"/>
      <c r="F21" s="126" t="s"/>
      <c r="G21" s="124" t="s"/>
      <c r="H21" s="124" t="s"/>
      <c r="I21" s="127" t="s">
        <v>224</v>
      </c>
      <c r="J21" s="128" t="s"/>
      <c r="K21" s="129">
        <f>=辅助表6.2全部经济评价参数一览表!C43</f>
        <v>1.07517964771349</v>
      </c>
    </row>
    <row r="22" spans="1:11" ht="42" customHeight="true">
      <c r="A22" s="42" t="s"/>
      <c r="B22" s="45" t="s">
        <v>225</v>
      </c>
      <c r="C22" s="130" t="s"/>
      <c r="D22" s="131" t="s"/>
      <c r="E22" s="97" t="s">
        <v>226</v>
      </c>
      <c r="F22" s="51" t="s"/>
      <c r="G22" s="130" t="s"/>
      <c r="H22" s="131" t="s"/>
      <c r="I22" s="50" t="s">
        <v>227</v>
      </c>
      <c r="J22" s="51" t="s"/>
      <c r="K22" s="132" t="s"/>
    </row>
    <row r="23" spans="1:11" ht="42" customHeight="true">
      <c r="A23" s="42" t="s"/>
      <c r="B23" s="60" t="s">
        <v>228</v>
      </c>
      <c r="C23" s="133" t="s"/>
      <c r="D23" s="134" t="s"/>
      <c r="E23" s="135" t="s">
        <v>229</v>
      </c>
      <c r="F23" s="136" t="s"/>
      <c r="G23" s="133" t="s"/>
      <c r="H23" s="134" t="s"/>
      <c r="I23" s="63" t="s">
        <v>230</v>
      </c>
      <c r="J23" s="136" t="s"/>
      <c r="K23" s="137" t="s"/>
    </row>
    <row r="24" spans="1:11" ht="42" customHeight="true">
      <c r="A24" s="42" t="s"/>
      <c r="B24" s="60" t="s">
        <v>231</v>
      </c>
      <c r="C24" s="133" t="s"/>
      <c r="D24" s="134" t="s"/>
      <c r="E24" s="135" t="s">
        <v>232</v>
      </c>
      <c r="F24" s="136" t="s"/>
      <c r="G24" s="133" t="s"/>
      <c r="H24" s="134" t="s"/>
      <c r="I24" s="63" t="s">
        <v>233</v>
      </c>
      <c r="J24" s="136" t="s"/>
      <c r="K24" s="137" t="s"/>
    </row>
    <row r="25" spans="1:11" ht="42" customHeight="true" thickBot="true">
      <c r="A25" s="42" t="s"/>
      <c r="B25" s="114" t="s">
        <v>234</v>
      </c>
      <c r="C25" s="138" t="s"/>
      <c r="D25" s="139" t="s"/>
      <c r="E25" s="140" t="s">
        <v>235</v>
      </c>
      <c r="F25" s="141" t="s"/>
      <c r="G25" s="138" t="s"/>
      <c r="H25" s="139" t="s"/>
      <c r="I25" s="43" t="s">
        <v>236</v>
      </c>
      <c r="J25" s="141" t="s"/>
      <c r="K25" s="142" t="s"/>
    </row>
    <row r="26" spans="1:11" ht="16.5" customHeight="true">
      <c r="A26" s="42" t="s"/>
      <c r="B26" s="45" t="s">
        <v>237</v>
      </c>
      <c r="C26" s="50" t="s">
        <v>238</v>
      </c>
      <c r="D26" s="47" t="s"/>
      <c r="E26" s="47" t="s"/>
      <c r="F26" s="47" t="s"/>
      <c r="G26" s="96" t="s">
        <v>239</v>
      </c>
      <c r="H26" s="96" t="s"/>
      <c r="I26" s="47" t="s"/>
      <c r="J26" s="47" t="s"/>
      <c r="K26" s="143" t="s"/>
    </row>
    <row r="27" spans="1:11" ht="16.5" customHeight="true">
      <c r="A27" s="42" t="s"/>
      <c r="B27" s="144" t="s"/>
      <c r="C27" s="63" t="s">
        <v>240</v>
      </c>
      <c r="D27" s="62" t="s"/>
      <c r="E27" s="62" t="s"/>
      <c r="F27" s="62" t="s"/>
      <c r="G27" s="99" t="s">
        <v>241</v>
      </c>
      <c r="H27" s="99" t="s"/>
      <c r="I27" s="62" t="s"/>
      <c r="J27" s="62" t="s"/>
      <c r="K27" s="64" t="s"/>
    </row>
    <row r="28" spans="1:11" ht="16.5" customHeight="true" thickBot="true">
      <c r="A28" s="42" t="s"/>
      <c r="B28" s="145" t="s"/>
      <c r="C28" s="43" t="s"/>
      <c r="D28" s="146" t="s"/>
      <c r="E28" s="146" t="s"/>
      <c r="F28" s="146" t="s"/>
      <c r="G28" s="147" t="s">
        <v>242</v>
      </c>
      <c r="H28" s="147" t="s"/>
      <c r="I28" s="146" t="s"/>
      <c r="J28" s="146" t="s"/>
      <c r="K28" s="148" t="s"/>
    </row>
    <row r="29" spans="1:11" ht="42" customHeight="true" thickBot="true">
      <c r="A29" s="42" t="s"/>
      <c r="B29" s="149" t="s">
        <v>243</v>
      </c>
      <c r="C29" s="150" t="s"/>
      <c r="D29" s="151" t="s"/>
      <c r="E29" s="152" t="s"/>
      <c r="F29" s="153" t="s"/>
      <c r="G29" s="154" t="s"/>
      <c r="H29" s="155" t="s"/>
      <c r="I29" s="156" t="s"/>
      <c r="J29" s="153" t="s"/>
      <c r="K29" s="157" t="s"/>
    </row>
    <row r="30" spans="1:2" ht="16.5" customHeight="true">
      <c r="A30" s="42" t="s"/>
      <c r="B30" s="158" t="s">
        <v>244</v>
      </c>
    </row>
    <row r="31" spans="1:4" ht="16.5" customHeight="true">
      <c r="A31" s="42" t="s"/>
      <c r="B31" s="159" t="s">
        <v>245</v>
      </c>
      <c r="C31" s="160" t="s">
        <v>246</v>
      </c>
      <c r="D31" s="161" t="s"/>
    </row>
    <row r="32" spans="1:4" ht="15.75" customHeight="true">
      <c r="A32" s="42" t="s"/>
      <c r="B32" s="159" t="s">
        <v>247</v>
      </c>
      <c r="C32" s="160" t="s">
        <v>248</v>
      </c>
      <c r="D32" s="161" t="s"/>
    </row>
    <row r="33" spans="1:7" ht="16.5" customHeight="true">
      <c r="A33" s="42" t="s"/>
      <c r="B33" s="159" t="s">
        <v>249</v>
      </c>
      <c r="C33" s="160" t="s">
        <v>250</v>
      </c>
      <c r="D33" s="161" t="s"/>
      <c r="E33" s="161" t="s"/>
      <c r="F33" s="161" t="s"/>
      <c r="G33" s="161" t="s"/>
    </row>
    <row r="34" spans="1:6" ht="16.5" customHeight="true">
      <c r="A34" s="42" t="s"/>
      <c r="B34" s="158" t="s"/>
      <c r="C34" s="161" t="s"/>
      <c r="F34" s="162" t="s"/>
    </row>
    <row r="35" spans="1:4" ht="15.6">
      <c r="A35" s="163" t="s"/>
      <c r="B35" s="158" t="s"/>
      <c r="D35" s="161" t="s"/>
    </row>
    <row r="38" spans="4:13" ht="15.6">
      <c r="D38" s="164" t="s"/>
      <c r="E38" s="164" t="s"/>
      <c r="F38" s="164" t="s"/>
      <c r="G38" s="164" t="s"/>
      <c r="H38" s="164" t="s"/>
      <c r="I38" s="164" t="s"/>
      <c r="J38" s="164" t="s"/>
      <c r="K38" s="164" t="s"/>
      <c r="L38" s="164" t="s"/>
      <c r="M38" s="164" t="s"/>
    </row>
    <row r="39" spans="4:13" ht="25.5" customHeight="true">
      <c r="D39" s="164" t="s"/>
      <c r="E39" s="164" t="s"/>
      <c r="F39" s="164" t="s"/>
      <c r="G39" s="164" t="s"/>
      <c r="H39" s="164" t="s"/>
      <c r="I39" s="164" t="s"/>
      <c r="J39" s="164" t="s"/>
      <c r="K39" s="164" t="s"/>
      <c r="L39" s="164" t="s"/>
      <c r="M39" s="164" t="s"/>
    </row>
    <row r="40" spans="4:13" ht="16.5" customHeight="true">
      <c r="D40" s="164" t="s"/>
      <c r="E40" s="164" t="s"/>
      <c r="F40" s="164" t="s"/>
      <c r="G40" s="164" t="s"/>
      <c r="H40" s="164" t="s"/>
      <c r="I40" s="164" t="s"/>
      <c r="J40" s="164" t="s"/>
      <c r="K40" s="164" t="s"/>
      <c r="L40" s="164" t="s"/>
      <c r="M40" s="164" t="s"/>
    </row>
    <row r="41" spans="4:13" ht="30" customHeight="true">
      <c r="D41" s="164" t="s"/>
      <c r="E41" s="164" t="s"/>
      <c r="F41" s="164" t="s"/>
      <c r="G41" s="164" t="s"/>
      <c r="H41" s="164" t="s"/>
      <c r="I41" s="164" t="s"/>
      <c r="J41" s="164" t="s"/>
      <c r="K41" s="164" t="s"/>
      <c r="L41" s="164" t="s"/>
      <c r="M41" s="164" t="s"/>
    </row>
    <row r="42" spans="4:13" ht="15.6">
      <c r="D42" s="164" t="s"/>
      <c r="E42" s="164" t="s"/>
      <c r="F42" s="164" t="s"/>
      <c r="G42" s="164" t="s"/>
      <c r="H42" s="164" t="s"/>
      <c r="I42" s="164" t="s"/>
      <c r="J42" s="164" t="s"/>
      <c r="K42" s="164" t="s"/>
      <c r="L42" s="164" t="s"/>
      <c r="M42" s="164" t="s"/>
    </row>
    <row r="43" spans="1:13" ht="15.6">
      <c r="A43" s="158" t="s"/>
      <c r="B43" s="164" t="s"/>
      <c r="C43" s="164" t="s"/>
      <c r="D43" s="164" t="s"/>
      <c r="E43" s="164" t="s"/>
      <c r="F43" s="164" t="s"/>
      <c r="G43" s="164" t="s"/>
      <c r="H43" s="164" t="s"/>
      <c r="I43" s="164" t="s"/>
      <c r="J43" s="164" t="s"/>
      <c r="K43" s="164" t="s"/>
      <c r="L43" s="164" t="s"/>
      <c r="M43" s="164" t="s"/>
    </row>
    <row r="44" spans="1:1" ht="15.6">
      <c r="A44" s="158" t="s"/>
    </row>
    <row r="45" spans="1:1" ht="15.6">
      <c r="A45" s="158" t="s"/>
    </row>
    <row r="46" spans="1:1" ht="15.6">
      <c r="A46" s="158" t="s"/>
    </row>
  </sheetData>
  <sheetProtection/>
  <mergeCells count="90">
    <mergeCell ref="B1:K1"/>
    <mergeCell ref="C3:D3"/>
    <mergeCell ref="E3:F3"/>
    <mergeCell ref="H3:I3"/>
    <mergeCell ref="J3:K3"/>
    <mergeCell ref="C4:D4"/>
    <mergeCell ref="E4:F4"/>
    <mergeCell ref="H4:I4"/>
    <mergeCell ref="J4:K4"/>
    <mergeCell ref="C5:F5"/>
    <mergeCell ref="H5:K5"/>
    <mergeCell ref="C6:D6"/>
    <mergeCell ref="E6:F6"/>
    <mergeCell ref="G6:H6"/>
    <mergeCell ref="I6:K6"/>
    <mergeCell ref="C7:E7"/>
    <mergeCell ref="F7:H7"/>
    <mergeCell ref="I7:K7"/>
    <mergeCell ref="C8:E8"/>
    <mergeCell ref="F8:H8"/>
    <mergeCell ref="I8:K8"/>
    <mergeCell ref="C9:E9"/>
    <mergeCell ref="F9:H9"/>
    <mergeCell ref="I9:K9"/>
    <mergeCell ref="C10:E10"/>
    <mergeCell ref="F10:H10"/>
    <mergeCell ref="I10:K10"/>
    <mergeCell ref="C11:E11"/>
    <mergeCell ref="F11:H11"/>
    <mergeCell ref="I11:K11"/>
    <mergeCell ref="C12:E12"/>
    <mergeCell ref="F12:H12"/>
    <mergeCell ref="I12:K12"/>
    <mergeCell ref="D15:K15"/>
    <mergeCell ref="E16:G16"/>
    <mergeCell ref="I16:K16"/>
    <mergeCell ref="C17:D17"/>
    <mergeCell ref="E17:F17"/>
    <mergeCell ref="G17:H17"/>
    <mergeCell ref="I17:J17"/>
    <mergeCell ref="C18:D18"/>
    <mergeCell ref="E18:F18"/>
    <mergeCell ref="G18:H18"/>
    <mergeCell ref="I18:J18"/>
    <mergeCell ref="C19:D19"/>
    <mergeCell ref="E19:F19"/>
    <mergeCell ref="G19:H19"/>
    <mergeCell ref="C20:D20"/>
    <mergeCell ref="E20:F20"/>
    <mergeCell ref="G20:H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D26:F26"/>
    <mergeCell ref="G26:H26"/>
    <mergeCell ref="I26:K26"/>
    <mergeCell ref="D27:F27"/>
    <mergeCell ref="G27:H27"/>
    <mergeCell ref="I27:K27"/>
    <mergeCell ref="D28:F28"/>
    <mergeCell ref="G28:H28"/>
    <mergeCell ref="I28:K28"/>
    <mergeCell ref="C29:D29"/>
    <mergeCell ref="E29:F29"/>
    <mergeCell ref="G29:H29"/>
    <mergeCell ref="I29:J29"/>
    <mergeCell ref="B7:B11"/>
    <mergeCell ref="B12:B14"/>
    <mergeCell ref="B15:B16"/>
    <mergeCell ref="B17:B18"/>
    <mergeCell ref="B19:B20"/>
    <mergeCell ref="B26:B28"/>
    <mergeCell ref="C15:C16"/>
  </mergeCells>
  <dataValidations>
    <dataValidation type="list" operator="between" allowBlank="true" showInputMessage="true" showErrorMessage="true" sqref="C2">
      <formula1>"是,否"</formula1>
    </dataValidation>
  </dataValidations>
  <printOptions horizontalCentered="true"/>
  <pageMargins left="0.511811" right="0.23622" top="0.393701" bottom="0.19685" header="0.23622" footer="0.511811"/>
  <pageSetup paperSize="9" orientation="landscape"/>
  <headerFooter alignWithMargins="false"/>
</worksheet>
</file>

<file path=xl/worksheets/sheet34.xml><?xml version="1.0" encoding="utf-8"?>
<worksheet xmlns="http://schemas.openxmlformats.org/spreadsheetml/2006/main">
  <sheetPr/>
  <dimension ref="K1205"/>
  <sheetViews>
    <sheetView showGridLines="true" showZeros="false" topLeftCell="A1" workbookViewId="0">
      <pane ySplit="4" topLeftCell="A5" activePane="bottomLeft" state="frozen"/>
    </sheetView>
  </sheetViews>
  <sheetFormatPr defaultColWidth="8.66406" defaultRowHeight="15.75"/>
  <cols>
    <col min="5" max="5" width="11.375"/>
    <col min="7" max="7" width="10.375"/>
    <col min="8" max="9" width="11.125"/>
    <col min="10" max="10" width="45"/>
  </cols>
  <sheetData>
    <row r="1" spans="1:10" ht="26.55" thickBot="true">
      <c r="A1" s="4" t="s">
        <v>40</v>
      </c>
      <c r="B1" s="4" t="s"/>
      <c r="C1" s="5" t="s">
        <v>41</v>
      </c>
      <c r="D1" s="6" t="s"/>
      <c r="E1" s="6" t="s"/>
      <c r="F1" s="6" t="s"/>
      <c r="G1" s="6" t="s"/>
      <c r="H1" s="4" t="s"/>
      <c r="I1" s="4" t="s"/>
      <c r="J1" s="4" t="s"/>
    </row>
    <row r="2" spans="1:10" ht="16.35" thickBot="true">
      <c r="A2" s="7" t="s">
        <v>1510</v>
      </c>
      <c r="B2" s="8" t="s"/>
      <c r="C2" s="8" t="s"/>
      <c r="D2" s="9" t="s"/>
      <c r="E2" s="10" t="s">
        <v>1511</v>
      </c>
      <c r="F2" s="11" t="s"/>
      <c r="G2" s="11" t="s"/>
      <c r="H2" s="11" t="s"/>
      <c r="I2" s="10" t="s">
        <v>42</v>
      </c>
      <c r="J2" s="12" t="s">
        <v>1512</v>
      </c>
    </row>
    <row r="3" spans="1:10" ht="16.35" thickBot="true">
      <c r="A3" s="13" t="s">
        <v>43</v>
      </c>
      <c r="B3" s="14" t="s">
        <v>44</v>
      </c>
      <c r="C3" s="14" t="s">
        <v>45</v>
      </c>
      <c r="D3" s="14" t="s">
        <v>46</v>
      </c>
      <c r="E3" s="15" t="s">
        <v>43</v>
      </c>
      <c r="F3" s="15" t="s">
        <v>44</v>
      </c>
      <c r="G3" s="15" t="s">
        <v>45</v>
      </c>
      <c r="H3" s="10" t="s">
        <v>46</v>
      </c>
      <c r="I3" s="11" t="s"/>
      <c r="J3" s="16" t="s"/>
    </row>
    <row r="4" spans="1:10" ht="16.35" thickBot="true">
      <c r="A4" s="15" t="s"/>
      <c r="B4" s="15" t="s"/>
      <c r="C4" s="15" t="s"/>
      <c r="D4" s="15" t="s"/>
      <c r="E4" s="15" t="s"/>
      <c r="F4" s="15" t="s"/>
      <c r="G4" s="15" t="s"/>
      <c r="H4" s="10" t="s"/>
      <c r="I4" s="10" t="s"/>
      <c r="J4" s="10" t="s"/>
    </row>
    <row r="5" spans="1:10" ht="28.8">
      <c r="A5" s="17" t="s">
        <v>47</v>
      </c>
      <c r="B5" s="17" t="s"/>
      <c r="C5" s="17" t="s"/>
      <c r="D5" s="17" t="s"/>
      <c r="E5" s="18" t="s">
        <v>48</v>
      </c>
      <c r="F5" s="17" t="s"/>
      <c r="G5" s="17" t="s"/>
      <c r="H5" s="18" t="s"/>
      <c r="I5" s="18" t="s">
        <v>48</v>
      </c>
      <c r="J5" s="19" t="s">
        <v>1513</v>
      </c>
    </row>
    <row r="6" spans="1:10" ht="28.8">
      <c r="A6" s="17" t="s">
        <v>47</v>
      </c>
      <c r="B6" s="20">
        <v>1</v>
      </c>
      <c r="C6" s="20" t="s"/>
      <c r="D6" s="20" t="s"/>
      <c r="E6" s="18" t="s">
        <v>48</v>
      </c>
      <c r="F6" s="21" t="s">
        <v>49</v>
      </c>
      <c r="G6" s="20" t="s"/>
      <c r="H6" s="21" t="s"/>
      <c r="I6" s="21" t="s">
        <v>49</v>
      </c>
      <c r="J6" s="19" t="s">
        <v>1514</v>
      </c>
    </row>
    <row r="7" spans="1:10" ht="28.8">
      <c r="A7" s="17" t="s">
        <v>47</v>
      </c>
      <c r="B7" s="20">
        <v>1</v>
      </c>
      <c r="C7" s="22">
        <v>11</v>
      </c>
      <c r="D7" s="22" t="s"/>
      <c r="E7" s="18" t="s">
        <v>48</v>
      </c>
      <c r="F7" s="21" t="s">
        <v>49</v>
      </c>
      <c r="G7" s="19" t="s">
        <v>1515</v>
      </c>
      <c r="H7" s="23" t="s"/>
      <c r="I7" s="19" t="s">
        <v>1515</v>
      </c>
      <c r="J7" s="24" t="s"/>
    </row>
    <row r="8" spans="1:10" ht="28.8">
      <c r="A8" s="17" t="s">
        <v>47</v>
      </c>
      <c r="B8" s="20">
        <v>1</v>
      </c>
      <c r="C8" s="22">
        <v>11</v>
      </c>
      <c r="D8" s="22">
        <v>111</v>
      </c>
      <c r="E8" s="18" t="s">
        <v>48</v>
      </c>
      <c r="F8" s="21" t="s">
        <v>49</v>
      </c>
      <c r="G8" s="19" t="s">
        <v>1515</v>
      </c>
      <c r="H8" s="25" t="s">
        <v>1516</v>
      </c>
      <c r="I8" s="19" t="s">
        <v>1516</v>
      </c>
      <c r="J8" s="19" t="s">
        <v>1517</v>
      </c>
    </row>
    <row r="9" spans="1:10" ht="28.8">
      <c r="A9" s="17" t="s">
        <v>47</v>
      </c>
      <c r="B9" s="20">
        <v>1</v>
      </c>
      <c r="C9" s="22">
        <v>11</v>
      </c>
      <c r="D9" s="22">
        <v>112</v>
      </c>
      <c r="E9" s="18" t="s">
        <v>48</v>
      </c>
      <c r="F9" s="21" t="s">
        <v>49</v>
      </c>
      <c r="G9" s="19" t="s">
        <v>1515</v>
      </c>
      <c r="H9" s="25" t="s">
        <v>1518</v>
      </c>
      <c r="I9" s="19" t="s">
        <v>1518</v>
      </c>
      <c r="J9" s="19" t="s"/>
    </row>
    <row r="10" spans="1:10" ht="28.8">
      <c r="A10" s="17" t="s">
        <v>47</v>
      </c>
      <c r="B10" s="20">
        <v>1</v>
      </c>
      <c r="C10" s="22">
        <v>11</v>
      </c>
      <c r="D10" s="22">
        <v>113</v>
      </c>
      <c r="E10" s="18" t="s">
        <v>48</v>
      </c>
      <c r="F10" s="21" t="s">
        <v>49</v>
      </c>
      <c r="G10" s="19" t="s">
        <v>1515</v>
      </c>
      <c r="H10" s="25" t="s">
        <v>1519</v>
      </c>
      <c r="I10" s="19" t="s">
        <v>1519</v>
      </c>
      <c r="J10" s="19" t="s"/>
    </row>
    <row r="11" spans="1:10" ht="28.8">
      <c r="A11" s="17" t="s">
        <v>47</v>
      </c>
      <c r="B11" s="20">
        <v>1</v>
      </c>
      <c r="C11" s="22">
        <v>11</v>
      </c>
      <c r="D11" s="22">
        <v>114</v>
      </c>
      <c r="E11" s="18" t="s">
        <v>48</v>
      </c>
      <c r="F11" s="21" t="s">
        <v>49</v>
      </c>
      <c r="G11" s="19" t="s">
        <v>1515</v>
      </c>
      <c r="H11" s="19" t="s">
        <v>1520</v>
      </c>
      <c r="I11" s="19" t="s">
        <v>1520</v>
      </c>
      <c r="J11" s="19" t="s"/>
    </row>
    <row r="12" spans="1:10" ht="28.8">
      <c r="A12" s="17" t="s">
        <v>47</v>
      </c>
      <c r="B12" s="20">
        <v>1</v>
      </c>
      <c r="C12" s="22">
        <v>11</v>
      </c>
      <c r="D12" s="22">
        <v>115</v>
      </c>
      <c r="E12" s="18" t="s">
        <v>48</v>
      </c>
      <c r="F12" s="21" t="s">
        <v>49</v>
      </c>
      <c r="G12" s="19" t="s">
        <v>1515</v>
      </c>
      <c r="H12" s="19" t="s">
        <v>1521</v>
      </c>
      <c r="I12" s="19" t="s">
        <v>1521</v>
      </c>
      <c r="J12" s="19" t="s"/>
    </row>
    <row r="13" spans="1:10" ht="28.8">
      <c r="A13" s="17" t="s">
        <v>47</v>
      </c>
      <c r="B13" s="20">
        <v>1</v>
      </c>
      <c r="C13" s="22">
        <v>11</v>
      </c>
      <c r="D13" s="22">
        <v>116</v>
      </c>
      <c r="E13" s="18" t="s">
        <v>48</v>
      </c>
      <c r="F13" s="21" t="s">
        <v>49</v>
      </c>
      <c r="G13" s="19" t="s">
        <v>1515</v>
      </c>
      <c r="H13" s="19" t="s">
        <v>1522</v>
      </c>
      <c r="I13" s="19" t="s">
        <v>1522</v>
      </c>
      <c r="J13" s="19" t="s"/>
    </row>
    <row r="14" spans="1:10" ht="28.8">
      <c r="A14" s="17" t="s">
        <v>47</v>
      </c>
      <c r="B14" s="20">
        <v>1</v>
      </c>
      <c r="C14" s="22">
        <v>11</v>
      </c>
      <c r="D14" s="22">
        <v>117</v>
      </c>
      <c r="E14" s="18" t="s">
        <v>48</v>
      </c>
      <c r="F14" s="21" t="s">
        <v>49</v>
      </c>
      <c r="G14" s="19" t="s">
        <v>1515</v>
      </c>
      <c r="H14" s="19" t="s">
        <v>1523</v>
      </c>
      <c r="I14" s="19" t="s">
        <v>1523</v>
      </c>
      <c r="J14" s="19" t="s"/>
    </row>
    <row r="15" spans="1:10" ht="28.8">
      <c r="A15" s="17" t="s">
        <v>47</v>
      </c>
      <c r="B15" s="20">
        <v>1</v>
      </c>
      <c r="C15" s="22">
        <v>11</v>
      </c>
      <c r="D15" s="22">
        <v>118</v>
      </c>
      <c r="E15" s="18" t="s">
        <v>48</v>
      </c>
      <c r="F15" s="21" t="s">
        <v>49</v>
      </c>
      <c r="G15" s="19" t="s">
        <v>1515</v>
      </c>
      <c r="H15" s="19" t="s">
        <v>1524</v>
      </c>
      <c r="I15" s="19" t="s">
        <v>1524</v>
      </c>
      <c r="J15" s="19" t="s"/>
    </row>
    <row r="16" spans="1:10" ht="28.8">
      <c r="A16" s="17" t="s">
        <v>47</v>
      </c>
      <c r="B16" s="20">
        <v>1</v>
      </c>
      <c r="C16" s="22">
        <v>11</v>
      </c>
      <c r="D16" s="22">
        <v>119</v>
      </c>
      <c r="E16" s="18" t="s">
        <v>48</v>
      </c>
      <c r="F16" s="21" t="s">
        <v>49</v>
      </c>
      <c r="G16" s="19" t="s">
        <v>1515</v>
      </c>
      <c r="H16" s="19" t="s">
        <v>1525</v>
      </c>
      <c r="I16" s="19" t="s">
        <v>1525</v>
      </c>
      <c r="J16" s="19" t="s"/>
    </row>
    <row r="17" spans="1:10" ht="28.8">
      <c r="A17" s="17" t="s">
        <v>47</v>
      </c>
      <c r="B17" s="20">
        <v>1</v>
      </c>
      <c r="C17" s="22">
        <v>12</v>
      </c>
      <c r="D17" s="22" t="s"/>
      <c r="E17" s="18" t="s">
        <v>48</v>
      </c>
      <c r="F17" s="21" t="s">
        <v>49</v>
      </c>
      <c r="G17" s="19" t="s">
        <v>1526</v>
      </c>
      <c r="H17" s="19" t="s"/>
      <c r="I17" s="19" t="s">
        <v>1526</v>
      </c>
      <c r="J17" s="19" t="s"/>
    </row>
    <row r="18" spans="1:10" ht="28.8">
      <c r="A18" s="17" t="s">
        <v>47</v>
      </c>
      <c r="B18" s="20">
        <v>1</v>
      </c>
      <c r="C18" s="22">
        <v>12</v>
      </c>
      <c r="D18" s="22">
        <v>121</v>
      </c>
      <c r="E18" s="18" t="s">
        <v>48</v>
      </c>
      <c r="F18" s="21" t="s">
        <v>49</v>
      </c>
      <c r="G18" s="19" t="s">
        <v>1526</v>
      </c>
      <c r="H18" s="19" t="s">
        <v>1527</v>
      </c>
      <c r="I18" s="19" t="s">
        <v>1527</v>
      </c>
      <c r="J18" s="19" t="s"/>
    </row>
    <row r="19" spans="1:10" ht="28.8">
      <c r="A19" s="17" t="s">
        <v>47</v>
      </c>
      <c r="B19" s="20">
        <v>1</v>
      </c>
      <c r="C19" s="22">
        <v>12</v>
      </c>
      <c r="D19" s="22">
        <v>122</v>
      </c>
      <c r="E19" s="18" t="s">
        <v>48</v>
      </c>
      <c r="F19" s="21" t="s">
        <v>49</v>
      </c>
      <c r="G19" s="19" t="s">
        <v>1526</v>
      </c>
      <c r="H19" s="19" t="s">
        <v>1528</v>
      </c>
      <c r="I19" s="19" t="s">
        <v>1528</v>
      </c>
      <c r="J19" s="19" t="s"/>
    </row>
    <row r="20" spans="1:10" ht="28.8">
      <c r="A20" s="17" t="s">
        <v>47</v>
      </c>
      <c r="B20" s="20">
        <v>1</v>
      </c>
      <c r="C20" s="22">
        <v>12</v>
      </c>
      <c r="D20" s="22">
        <v>123</v>
      </c>
      <c r="E20" s="18" t="s">
        <v>48</v>
      </c>
      <c r="F20" s="21" t="s">
        <v>49</v>
      </c>
      <c r="G20" s="19" t="s">
        <v>1526</v>
      </c>
      <c r="H20" s="19" t="s">
        <v>1529</v>
      </c>
      <c r="I20" s="19" t="s">
        <v>1529</v>
      </c>
      <c r="J20" s="19" t="s"/>
    </row>
    <row r="21" spans="1:10" ht="33.6">
      <c r="A21" s="17" t="s">
        <v>47</v>
      </c>
      <c r="B21" s="20">
        <v>1</v>
      </c>
      <c r="C21" s="22">
        <v>13</v>
      </c>
      <c r="D21" s="22" t="s"/>
      <c r="E21" s="18" t="s">
        <v>48</v>
      </c>
      <c r="F21" s="21" t="s">
        <v>49</v>
      </c>
      <c r="G21" s="19" t="s">
        <v>1530</v>
      </c>
      <c r="H21" s="19" t="s"/>
      <c r="I21" s="19" t="s">
        <v>1530</v>
      </c>
      <c r="J21" s="19" t="s"/>
    </row>
    <row r="22" spans="1:10" ht="33.6">
      <c r="A22" s="17" t="s">
        <v>47</v>
      </c>
      <c r="B22" s="20">
        <v>1</v>
      </c>
      <c r="C22" s="22">
        <v>13</v>
      </c>
      <c r="D22" s="22">
        <v>131</v>
      </c>
      <c r="E22" s="18" t="s">
        <v>48</v>
      </c>
      <c r="F22" s="21" t="s">
        <v>49</v>
      </c>
      <c r="G22" s="19" t="s">
        <v>1530</v>
      </c>
      <c r="H22" s="19" t="s">
        <v>1531</v>
      </c>
      <c r="I22" s="19" t="s">
        <v>1531</v>
      </c>
      <c r="J22" s="19" t="s"/>
    </row>
    <row r="23" spans="1:10" ht="33.6">
      <c r="A23" s="17" t="s">
        <v>47</v>
      </c>
      <c r="B23" s="20">
        <v>1</v>
      </c>
      <c r="C23" s="22">
        <v>13</v>
      </c>
      <c r="D23" s="22">
        <v>132</v>
      </c>
      <c r="E23" s="18" t="s">
        <v>48</v>
      </c>
      <c r="F23" s="21" t="s">
        <v>49</v>
      </c>
      <c r="G23" s="19" t="s">
        <v>1530</v>
      </c>
      <c r="H23" s="19" t="s">
        <v>1532</v>
      </c>
      <c r="I23" s="19" t="s">
        <v>1532</v>
      </c>
      <c r="J23" s="19" t="s"/>
    </row>
    <row r="24" spans="1:10" ht="33.6">
      <c r="A24" s="17" t="s">
        <v>47</v>
      </c>
      <c r="B24" s="20">
        <v>1</v>
      </c>
      <c r="C24" s="22">
        <v>13</v>
      </c>
      <c r="D24" s="22">
        <v>133</v>
      </c>
      <c r="E24" s="18" t="s">
        <v>48</v>
      </c>
      <c r="F24" s="21" t="s">
        <v>49</v>
      </c>
      <c r="G24" s="19" t="s">
        <v>1530</v>
      </c>
      <c r="H24" s="19" t="s">
        <v>1533</v>
      </c>
      <c r="I24" s="19" t="s">
        <v>1533</v>
      </c>
      <c r="J24" s="19" t="s"/>
    </row>
    <row r="25" spans="1:10" ht="28.8">
      <c r="A25" s="17" t="s">
        <v>47</v>
      </c>
      <c r="B25" s="20">
        <v>1</v>
      </c>
      <c r="C25" s="22">
        <v>14</v>
      </c>
      <c r="D25" s="22">
        <v>140</v>
      </c>
      <c r="E25" s="18" t="s">
        <v>48</v>
      </c>
      <c r="F25" s="21" t="s">
        <v>49</v>
      </c>
      <c r="G25" s="19" t="s">
        <v>1534</v>
      </c>
      <c r="H25" s="19" t="s">
        <v>1534</v>
      </c>
      <c r="I25" s="19" t="s">
        <v>1534</v>
      </c>
      <c r="J25" s="19" t="s">
        <v>1535</v>
      </c>
    </row>
    <row r="26" spans="1:10" ht="28.8">
      <c r="A26" s="17" t="s">
        <v>47</v>
      </c>
      <c r="B26" s="20">
        <v>2</v>
      </c>
      <c r="C26" s="20" t="s"/>
      <c r="D26" s="20" t="s"/>
      <c r="E26" s="18" t="s">
        <v>48</v>
      </c>
      <c r="F26" s="21" t="s">
        <v>50</v>
      </c>
      <c r="G26" s="20" t="s"/>
      <c r="H26" s="21" t="s"/>
      <c r="I26" s="21" t="s">
        <v>50</v>
      </c>
      <c r="J26" s="19" t="s"/>
    </row>
    <row r="27" spans="1:10" ht="28.8">
      <c r="A27" s="17" t="s">
        <v>47</v>
      </c>
      <c r="B27" s="20">
        <v>2</v>
      </c>
      <c r="C27" s="22">
        <v>21</v>
      </c>
      <c r="D27" s="22" t="s"/>
      <c r="E27" s="18" t="s">
        <v>48</v>
      </c>
      <c r="F27" s="21" t="s">
        <v>50</v>
      </c>
      <c r="G27" s="19" t="s">
        <v>1536</v>
      </c>
      <c r="H27" s="19" t="s"/>
      <c r="I27" s="19" t="s">
        <v>1536</v>
      </c>
      <c r="J27" s="19" t="s"/>
    </row>
    <row r="28" spans="1:10" ht="28.8">
      <c r="A28" s="17" t="s">
        <v>47</v>
      </c>
      <c r="B28" s="20">
        <v>2</v>
      </c>
      <c r="C28" s="22">
        <v>21</v>
      </c>
      <c r="D28" s="22">
        <v>211</v>
      </c>
      <c r="E28" s="18" t="s">
        <v>48</v>
      </c>
      <c r="F28" s="21" t="s">
        <v>50</v>
      </c>
      <c r="G28" s="19" t="s">
        <v>1536</v>
      </c>
      <c r="H28" s="19" t="s">
        <v>1537</v>
      </c>
      <c r="I28" s="19" t="s">
        <v>1537</v>
      </c>
      <c r="J28" s="19" t="s"/>
    </row>
    <row r="29" spans="1:10" ht="28.8">
      <c r="A29" s="17" t="s">
        <v>47</v>
      </c>
      <c r="B29" s="20">
        <v>2</v>
      </c>
      <c r="C29" s="22">
        <v>21</v>
      </c>
      <c r="D29" s="22">
        <v>212</v>
      </c>
      <c r="E29" s="18" t="s">
        <v>48</v>
      </c>
      <c r="F29" s="21" t="s">
        <v>50</v>
      </c>
      <c r="G29" s="19" t="s">
        <v>1536</v>
      </c>
      <c r="H29" s="19" t="s">
        <v>1538</v>
      </c>
      <c r="I29" s="19" t="s">
        <v>1538</v>
      </c>
      <c r="J29" s="19" t="s">
        <v>1539</v>
      </c>
    </row>
    <row r="30" spans="1:10" ht="28.8">
      <c r="A30" s="17" t="s">
        <v>47</v>
      </c>
      <c r="B30" s="20">
        <v>2</v>
      </c>
      <c r="C30" s="22">
        <v>21</v>
      </c>
      <c r="D30" s="22">
        <v>213</v>
      </c>
      <c r="E30" s="18" t="s">
        <v>48</v>
      </c>
      <c r="F30" s="21" t="s">
        <v>50</v>
      </c>
      <c r="G30" s="19" t="s">
        <v>1536</v>
      </c>
      <c r="H30" s="19" t="s">
        <v>1540</v>
      </c>
      <c r="I30" s="19" t="s">
        <v>1540</v>
      </c>
      <c r="J30" s="19" t="s">
        <v>1541</v>
      </c>
    </row>
    <row r="31" spans="1:10" ht="28.8">
      <c r="A31" s="17" t="s">
        <v>47</v>
      </c>
      <c r="B31" s="20">
        <v>2</v>
      </c>
      <c r="C31" s="22">
        <v>22</v>
      </c>
      <c r="D31" s="22" t="s"/>
      <c r="E31" s="18" t="s">
        <v>48</v>
      </c>
      <c r="F31" s="21" t="s">
        <v>50</v>
      </c>
      <c r="G31" s="19" t="s">
        <v>1542</v>
      </c>
      <c r="H31" s="19" t="s"/>
      <c r="I31" s="19" t="s">
        <v>1542</v>
      </c>
      <c r="J31" s="19" t="s">
        <v>1543</v>
      </c>
    </row>
    <row r="32" spans="1:10" ht="28.8">
      <c r="A32" s="17" t="s">
        <v>47</v>
      </c>
      <c r="B32" s="20">
        <v>2</v>
      </c>
      <c r="C32" s="22">
        <v>22</v>
      </c>
      <c r="D32" s="22">
        <v>221</v>
      </c>
      <c r="E32" s="18" t="s">
        <v>48</v>
      </c>
      <c r="F32" s="21" t="s">
        <v>50</v>
      </c>
      <c r="G32" s="19" t="s">
        <v>1542</v>
      </c>
      <c r="H32" s="19" t="s">
        <v>1544</v>
      </c>
      <c r="I32" s="19" t="s">
        <v>1544</v>
      </c>
      <c r="J32" s="19" t="s"/>
    </row>
    <row r="33" spans="1:10" ht="28.8">
      <c r="A33" s="17" t="s">
        <v>47</v>
      </c>
      <c r="B33" s="20">
        <v>2</v>
      </c>
      <c r="C33" s="22">
        <v>22</v>
      </c>
      <c r="D33" s="22">
        <v>222</v>
      </c>
      <c r="E33" s="18" t="s">
        <v>48</v>
      </c>
      <c r="F33" s="21" t="s">
        <v>50</v>
      </c>
      <c r="G33" s="19" t="s">
        <v>1542</v>
      </c>
      <c r="H33" s="19" t="s">
        <v>1545</v>
      </c>
      <c r="I33" s="19" t="s">
        <v>1545</v>
      </c>
      <c r="J33" s="19" t="s"/>
    </row>
    <row r="34" spans="1:10" ht="28.8">
      <c r="A34" s="17" t="s">
        <v>47</v>
      </c>
      <c r="B34" s="20">
        <v>2</v>
      </c>
      <c r="C34" s="22">
        <v>23</v>
      </c>
      <c r="D34" s="22">
        <v>230</v>
      </c>
      <c r="E34" s="18" t="s">
        <v>48</v>
      </c>
      <c r="F34" s="21" t="s">
        <v>50</v>
      </c>
      <c r="G34" s="19" t="s">
        <v>1546</v>
      </c>
      <c r="H34" s="19" t="s">
        <v>1546</v>
      </c>
      <c r="I34" s="19" t="s">
        <v>1546</v>
      </c>
      <c r="J34" s="19" t="s">
        <v>1547</v>
      </c>
    </row>
    <row r="35" spans="1:10" ht="28.8">
      <c r="A35" s="17" t="s">
        <v>47</v>
      </c>
      <c r="B35" s="20">
        <v>3</v>
      </c>
      <c r="C35" s="20" t="s">
        <v>51</v>
      </c>
      <c r="D35" s="20" t="s">
        <v>51</v>
      </c>
      <c r="E35" s="18" t="s">
        <v>48</v>
      </c>
      <c r="F35" s="21" t="s">
        <v>52</v>
      </c>
      <c r="G35" s="20" t="s"/>
      <c r="H35" s="21" t="s"/>
      <c r="I35" s="21" t="s">
        <v>52</v>
      </c>
      <c r="J35" s="19" t="s">
        <v>1548</v>
      </c>
    </row>
    <row r="36" spans="1:10" ht="28.8">
      <c r="A36" s="17" t="s">
        <v>47</v>
      </c>
      <c r="B36" s="20">
        <v>3</v>
      </c>
      <c r="C36" s="22">
        <v>31</v>
      </c>
      <c r="D36" s="22">
        <v>310</v>
      </c>
      <c r="E36" s="18" t="s">
        <v>48</v>
      </c>
      <c r="F36" s="21" t="s">
        <v>52</v>
      </c>
      <c r="G36" s="19" t="s">
        <v>1549</v>
      </c>
      <c r="H36" s="19" t="s">
        <v>1549</v>
      </c>
      <c r="I36" s="19" t="s">
        <v>1549</v>
      </c>
      <c r="J36" s="19" t="s">
        <v>1550</v>
      </c>
    </row>
    <row r="37" spans="1:10" ht="28.8">
      <c r="A37" s="17" t="s">
        <v>47</v>
      </c>
      <c r="B37" s="20">
        <v>3</v>
      </c>
      <c r="C37" s="22">
        <v>32</v>
      </c>
      <c r="D37" s="22">
        <v>320</v>
      </c>
      <c r="E37" s="18" t="s">
        <v>48</v>
      </c>
      <c r="F37" s="21" t="s">
        <v>52</v>
      </c>
      <c r="G37" s="19" t="s">
        <v>1551</v>
      </c>
      <c r="H37" s="19" t="s">
        <v>1551</v>
      </c>
      <c r="I37" s="19" t="s">
        <v>1551</v>
      </c>
      <c r="J37" s="19" t="s"/>
    </row>
    <row r="38" spans="1:10" ht="28.8">
      <c r="A38" s="17" t="s">
        <v>47</v>
      </c>
      <c r="B38" s="20">
        <v>3</v>
      </c>
      <c r="C38" s="22">
        <v>33</v>
      </c>
      <c r="D38" s="22">
        <v>330</v>
      </c>
      <c r="E38" s="18" t="s">
        <v>48</v>
      </c>
      <c r="F38" s="21" t="s">
        <v>52</v>
      </c>
      <c r="G38" s="19" t="s">
        <v>1552</v>
      </c>
      <c r="H38" s="19" t="s">
        <v>1552</v>
      </c>
      <c r="I38" s="19" t="s">
        <v>1552</v>
      </c>
      <c r="J38" s="19" t="s"/>
    </row>
    <row r="39" spans="1:10" ht="28.8">
      <c r="A39" s="17" t="s">
        <v>47</v>
      </c>
      <c r="B39" s="20">
        <v>3</v>
      </c>
      <c r="C39" s="22">
        <v>34</v>
      </c>
      <c r="D39" s="22">
        <v>340</v>
      </c>
      <c r="E39" s="18" t="s">
        <v>48</v>
      </c>
      <c r="F39" s="21" t="s">
        <v>52</v>
      </c>
      <c r="G39" s="19" t="s">
        <v>1553</v>
      </c>
      <c r="H39" s="19" t="s">
        <v>1553</v>
      </c>
      <c r="I39" s="19" t="s">
        <v>1553</v>
      </c>
      <c r="J39" s="19" t="s">
        <v>1554</v>
      </c>
    </row>
    <row r="40" spans="1:10" ht="28.8">
      <c r="A40" s="17" t="s">
        <v>47</v>
      </c>
      <c r="B40" s="20">
        <v>3</v>
      </c>
      <c r="C40" s="22">
        <v>39</v>
      </c>
      <c r="D40" s="22">
        <v>390</v>
      </c>
      <c r="E40" s="18" t="s">
        <v>48</v>
      </c>
      <c r="F40" s="21" t="s">
        <v>52</v>
      </c>
      <c r="G40" s="19" t="s">
        <v>1555</v>
      </c>
      <c r="H40" s="19" t="s">
        <v>1555</v>
      </c>
      <c r="I40" s="19" t="s">
        <v>1555</v>
      </c>
      <c r="J40" s="19" t="s"/>
    </row>
    <row r="41" spans="1:10" ht="28.8">
      <c r="A41" s="17" t="s">
        <v>47</v>
      </c>
      <c r="B41" s="20">
        <v>4</v>
      </c>
      <c r="C41" s="20" t="s"/>
      <c r="D41" s="20" t="s"/>
      <c r="E41" s="18" t="s">
        <v>48</v>
      </c>
      <c r="F41" s="21" t="s">
        <v>53</v>
      </c>
      <c r="G41" s="20" t="s"/>
      <c r="H41" s="21" t="s"/>
      <c r="I41" s="21" t="s">
        <v>53</v>
      </c>
      <c r="J41" s="19" t="s"/>
    </row>
    <row r="42" spans="1:10" ht="28.8">
      <c r="A42" s="17" t="s">
        <v>47</v>
      </c>
      <c r="B42" s="20">
        <v>4</v>
      </c>
      <c r="C42" s="22">
        <v>41</v>
      </c>
      <c r="D42" s="22" t="s"/>
      <c r="E42" s="18" t="s">
        <v>48</v>
      </c>
      <c r="F42" s="21" t="s">
        <v>53</v>
      </c>
      <c r="G42" s="19" t="s">
        <v>1556</v>
      </c>
      <c r="H42" s="19" t="s"/>
      <c r="I42" s="19" t="s">
        <v>1556</v>
      </c>
      <c r="J42" s="19" t="s"/>
    </row>
    <row r="43" spans="1:10" ht="28.8">
      <c r="A43" s="17" t="s">
        <v>47</v>
      </c>
      <c r="B43" s="20">
        <v>4</v>
      </c>
      <c r="C43" s="22">
        <v>41</v>
      </c>
      <c r="D43" s="22">
        <v>411</v>
      </c>
      <c r="E43" s="18" t="s">
        <v>48</v>
      </c>
      <c r="F43" s="21" t="s">
        <v>53</v>
      </c>
      <c r="G43" s="19" t="s">
        <v>1556</v>
      </c>
      <c r="H43" s="19" t="s">
        <v>1557</v>
      </c>
      <c r="I43" s="19" t="s">
        <v>1557</v>
      </c>
      <c r="J43" s="19" t="s">
        <v>1558</v>
      </c>
    </row>
    <row r="44" spans="1:10" ht="28.8">
      <c r="A44" s="17" t="s">
        <v>47</v>
      </c>
      <c r="B44" s="20">
        <v>4</v>
      </c>
      <c r="C44" s="22">
        <v>41</v>
      </c>
      <c r="D44" s="22">
        <v>412</v>
      </c>
      <c r="E44" s="18" t="s">
        <v>48</v>
      </c>
      <c r="F44" s="21" t="s">
        <v>53</v>
      </c>
      <c r="G44" s="19" t="s">
        <v>1556</v>
      </c>
      <c r="H44" s="19" t="s">
        <v>1559</v>
      </c>
      <c r="I44" s="19" t="s">
        <v>1559</v>
      </c>
      <c r="J44" s="19" t="s">
        <v>1560</v>
      </c>
    </row>
    <row r="45" spans="1:10" ht="28.8">
      <c r="A45" s="17" t="s">
        <v>47</v>
      </c>
      <c r="B45" s="20">
        <v>4</v>
      </c>
      <c r="C45" s="22">
        <v>42</v>
      </c>
      <c r="D45" s="22" t="s"/>
      <c r="E45" s="18" t="s">
        <v>48</v>
      </c>
      <c r="F45" s="21" t="s">
        <v>53</v>
      </c>
      <c r="G45" s="19" t="s">
        <v>1561</v>
      </c>
      <c r="H45" s="19" t="s"/>
      <c r="I45" s="19" t="s">
        <v>1561</v>
      </c>
      <c r="J45" s="19" t="s"/>
    </row>
    <row r="46" spans="1:10" ht="28.8">
      <c r="A46" s="17" t="s">
        <v>47</v>
      </c>
      <c r="B46" s="20">
        <v>4</v>
      </c>
      <c r="C46" s="22">
        <v>42</v>
      </c>
      <c r="D46" s="22">
        <v>421</v>
      </c>
      <c r="E46" s="18" t="s">
        <v>48</v>
      </c>
      <c r="F46" s="21" t="s">
        <v>53</v>
      </c>
      <c r="G46" s="19" t="s">
        <v>1561</v>
      </c>
      <c r="H46" s="19" t="s">
        <v>1562</v>
      </c>
      <c r="I46" s="19" t="s">
        <v>1562</v>
      </c>
      <c r="J46" s="19" t="s">
        <v>1563</v>
      </c>
    </row>
    <row r="47" spans="1:10" ht="28.8">
      <c r="A47" s="17" t="s">
        <v>47</v>
      </c>
      <c r="B47" s="20">
        <v>4</v>
      </c>
      <c r="C47" s="22">
        <v>42</v>
      </c>
      <c r="D47" s="22">
        <v>422</v>
      </c>
      <c r="E47" s="18" t="s">
        <v>48</v>
      </c>
      <c r="F47" s="21" t="s">
        <v>53</v>
      </c>
      <c r="G47" s="19" t="s">
        <v>1561</v>
      </c>
      <c r="H47" s="19" t="s">
        <v>1564</v>
      </c>
      <c r="I47" s="19" t="s">
        <v>1564</v>
      </c>
      <c r="J47" s="19" t="s">
        <v>1565</v>
      </c>
    </row>
    <row r="48" spans="1:10" ht="32.4">
      <c r="A48" s="17" t="s">
        <v>47</v>
      </c>
      <c r="B48" s="20">
        <v>5</v>
      </c>
      <c r="C48" s="20" t="s"/>
      <c r="D48" s="20" t="s"/>
      <c r="E48" s="18" t="s">
        <v>48</v>
      </c>
      <c r="F48" s="21" t="s">
        <v>54</v>
      </c>
      <c r="G48" s="20" t="s"/>
      <c r="H48" s="21" t="s"/>
      <c r="I48" s="21" t="s">
        <v>54</v>
      </c>
      <c r="J48" s="19" t="s">
        <v>1566</v>
      </c>
    </row>
    <row r="49" spans="1:10" ht="32.4">
      <c r="A49" s="17" t="s">
        <v>47</v>
      </c>
      <c r="B49" s="20">
        <v>5</v>
      </c>
      <c r="C49" s="22">
        <v>51</v>
      </c>
      <c r="D49" s="22" t="s"/>
      <c r="E49" s="18" t="s">
        <v>48</v>
      </c>
      <c r="F49" s="21" t="s">
        <v>54</v>
      </c>
      <c r="G49" s="19" t="s">
        <v>1567</v>
      </c>
      <c r="H49" s="19" t="s"/>
      <c r="I49" s="19" t="s">
        <v>1567</v>
      </c>
      <c r="J49" s="19" t="s"/>
    </row>
    <row r="50" spans="1:10" ht="32.4">
      <c r="A50" s="17" t="s">
        <v>47</v>
      </c>
      <c r="B50" s="20">
        <v>5</v>
      </c>
      <c r="C50" s="22">
        <v>51</v>
      </c>
      <c r="D50" s="22">
        <v>511</v>
      </c>
      <c r="E50" s="18" t="s">
        <v>48</v>
      </c>
      <c r="F50" s="21" t="s">
        <v>54</v>
      </c>
      <c r="G50" s="19" t="s">
        <v>1567</v>
      </c>
      <c r="H50" s="19" t="s">
        <v>1568</v>
      </c>
      <c r="I50" s="19" t="s">
        <v>1568</v>
      </c>
      <c r="J50" s="19" t="s">
        <v>1569</v>
      </c>
    </row>
    <row r="51" spans="1:10" ht="33.6">
      <c r="A51" s="17" t="s">
        <v>47</v>
      </c>
      <c r="B51" s="20">
        <v>5</v>
      </c>
      <c r="C51" s="22">
        <v>51</v>
      </c>
      <c r="D51" s="22">
        <v>512</v>
      </c>
      <c r="E51" s="18" t="s">
        <v>48</v>
      </c>
      <c r="F51" s="21" t="s">
        <v>54</v>
      </c>
      <c r="G51" s="19" t="s">
        <v>1567</v>
      </c>
      <c r="H51" s="19" t="s">
        <v>1570</v>
      </c>
      <c r="I51" s="19" t="s">
        <v>1570</v>
      </c>
      <c r="J51" s="19" t="s">
        <v>1571</v>
      </c>
    </row>
    <row r="52" spans="1:10" ht="32.4">
      <c r="A52" s="17" t="s">
        <v>47</v>
      </c>
      <c r="B52" s="20">
        <v>5</v>
      </c>
      <c r="C52" s="22">
        <v>51</v>
      </c>
      <c r="D52" s="22">
        <v>519</v>
      </c>
      <c r="E52" s="18" t="s">
        <v>48</v>
      </c>
      <c r="F52" s="21" t="s">
        <v>54</v>
      </c>
      <c r="G52" s="19" t="s">
        <v>1567</v>
      </c>
      <c r="H52" s="19" t="s">
        <v>1572</v>
      </c>
      <c r="I52" s="19" t="s">
        <v>1572</v>
      </c>
      <c r="J52" s="19" t="s">
        <v>1573</v>
      </c>
    </row>
    <row r="53" spans="1:10" ht="32.4">
      <c r="A53" s="17" t="s">
        <v>47</v>
      </c>
      <c r="B53" s="20">
        <v>5</v>
      </c>
      <c r="C53" s="22">
        <v>52</v>
      </c>
      <c r="D53" s="22">
        <v>520</v>
      </c>
      <c r="E53" s="18" t="s">
        <v>48</v>
      </c>
      <c r="F53" s="21" t="s">
        <v>54</v>
      </c>
      <c r="G53" s="19" t="s">
        <v>1574</v>
      </c>
      <c r="H53" s="19" t="s">
        <v>1574</v>
      </c>
      <c r="I53" s="19" t="s">
        <v>1574</v>
      </c>
      <c r="J53" s="19" t="s">
        <v>1575</v>
      </c>
    </row>
    <row r="54" spans="1:10" ht="32.4">
      <c r="A54" s="17" t="s">
        <v>47</v>
      </c>
      <c r="B54" s="20">
        <v>5</v>
      </c>
      <c r="C54" s="22">
        <v>53</v>
      </c>
      <c r="D54" s="22" t="s"/>
      <c r="E54" s="18" t="s">
        <v>48</v>
      </c>
      <c r="F54" s="21" t="s">
        <v>54</v>
      </c>
      <c r="G54" s="19" t="s">
        <v>1576</v>
      </c>
      <c r="H54" s="19" t="s"/>
      <c r="I54" s="19" t="s">
        <v>1576</v>
      </c>
      <c r="J54" s="19" t="s"/>
    </row>
    <row r="55" spans="1:10" ht="32.4">
      <c r="A55" s="17" t="s">
        <v>47</v>
      </c>
      <c r="B55" s="20">
        <v>5</v>
      </c>
      <c r="C55" s="22">
        <v>53</v>
      </c>
      <c r="D55" s="22">
        <v>531</v>
      </c>
      <c r="E55" s="18" t="s">
        <v>48</v>
      </c>
      <c r="F55" s="21" t="s">
        <v>54</v>
      </c>
      <c r="G55" s="19" t="s">
        <v>1576</v>
      </c>
      <c r="H55" s="19" t="s">
        <v>1577</v>
      </c>
      <c r="I55" s="19" t="s">
        <v>1577</v>
      </c>
      <c r="J55" s="19" t="s">
        <v>1578</v>
      </c>
    </row>
    <row r="56" spans="1:10" ht="32.4">
      <c r="A56" s="17" t="s">
        <v>47</v>
      </c>
      <c r="B56" s="20">
        <v>5</v>
      </c>
      <c r="C56" s="22">
        <v>53</v>
      </c>
      <c r="D56" s="22">
        <v>539</v>
      </c>
      <c r="E56" s="18" t="s">
        <v>48</v>
      </c>
      <c r="F56" s="21" t="s">
        <v>54</v>
      </c>
      <c r="G56" s="19" t="s">
        <v>1576</v>
      </c>
      <c r="H56" s="19" t="s">
        <v>1579</v>
      </c>
      <c r="I56" s="19" t="s">
        <v>1579</v>
      </c>
      <c r="J56" s="19" t="s">
        <v>1580</v>
      </c>
    </row>
    <row r="57" spans="1:10" ht="32.4">
      <c r="A57" s="17" t="s">
        <v>47</v>
      </c>
      <c r="B57" s="20">
        <v>5</v>
      </c>
      <c r="C57" s="22">
        <v>54</v>
      </c>
      <c r="D57" s="22">
        <v>540</v>
      </c>
      <c r="E57" s="18" t="s">
        <v>48</v>
      </c>
      <c r="F57" s="21" t="s">
        <v>54</v>
      </c>
      <c r="G57" s="19" t="s">
        <v>1581</v>
      </c>
      <c r="H57" s="19" t="s">
        <v>1581</v>
      </c>
      <c r="I57" s="19" t="s">
        <v>1581</v>
      </c>
      <c r="J57" s="19" t="s">
        <v>1582</v>
      </c>
    </row>
    <row r="58" spans="1:10" ht="66">
      <c r="A58" s="17" t="s">
        <v>55</v>
      </c>
      <c r="B58" s="17" t="s"/>
      <c r="C58" s="26" t="s"/>
      <c r="D58" s="17" t="s"/>
      <c r="E58" s="18" t="s">
        <v>56</v>
      </c>
      <c r="F58" s="17" t="s"/>
      <c r="G58" s="17" t="s"/>
      <c r="H58" s="18" t="s"/>
      <c r="I58" s="18" t="s">
        <v>56</v>
      </c>
      <c r="J58" s="19" t="s">
        <v>57</v>
      </c>
    </row>
    <row r="59" spans="1:10" ht="24">
      <c r="A59" s="17" t="s">
        <v>55</v>
      </c>
      <c r="B59" s="20">
        <v>6</v>
      </c>
      <c r="C59" s="22" t="s"/>
      <c r="D59" s="20" t="s"/>
      <c r="E59" s="18" t="s">
        <v>56</v>
      </c>
      <c r="F59" s="21" t="s">
        <v>58</v>
      </c>
      <c r="G59" s="20" t="s"/>
      <c r="H59" s="21" t="s"/>
      <c r="I59" s="21" t="s">
        <v>58</v>
      </c>
      <c r="J59" s="19" t="s">
        <v>1583</v>
      </c>
    </row>
    <row r="60" spans="1:10" ht="22.8">
      <c r="A60" s="17" t="s">
        <v>55</v>
      </c>
      <c r="B60" s="20">
        <v>6</v>
      </c>
      <c r="C60" s="22">
        <v>61</v>
      </c>
      <c r="D60" s="22">
        <v>610</v>
      </c>
      <c r="E60" s="18" t="s">
        <v>56</v>
      </c>
      <c r="F60" s="21" t="s">
        <v>58</v>
      </c>
      <c r="G60" s="19" t="s">
        <v>1584</v>
      </c>
      <c r="H60" s="19" t="s">
        <v>1584</v>
      </c>
      <c r="I60" s="19" t="s">
        <v>1584</v>
      </c>
      <c r="J60" s="19" t="s">
        <v>1585</v>
      </c>
    </row>
    <row r="61" spans="1:10" ht="22.8">
      <c r="A61" s="17" t="s">
        <v>55</v>
      </c>
      <c r="B61" s="20">
        <v>6</v>
      </c>
      <c r="C61" s="22">
        <v>62</v>
      </c>
      <c r="D61" s="22">
        <v>620</v>
      </c>
      <c r="E61" s="18" t="s">
        <v>56</v>
      </c>
      <c r="F61" s="21" t="s">
        <v>58</v>
      </c>
      <c r="G61" s="19" t="s">
        <v>1586</v>
      </c>
      <c r="H61" s="19" t="s">
        <v>1586</v>
      </c>
      <c r="I61" s="19" t="s">
        <v>1586</v>
      </c>
      <c r="J61" s="19" t="s">
        <v>1587</v>
      </c>
    </row>
    <row r="62" spans="1:10" ht="22.8">
      <c r="A62" s="17" t="s">
        <v>55</v>
      </c>
      <c r="B62" s="20">
        <v>6</v>
      </c>
      <c r="C62" s="22">
        <v>69</v>
      </c>
      <c r="D62" s="22">
        <v>690</v>
      </c>
      <c r="E62" s="18" t="s">
        <v>56</v>
      </c>
      <c r="F62" s="21" t="s">
        <v>58</v>
      </c>
      <c r="G62" s="19" t="s">
        <v>1588</v>
      </c>
      <c r="H62" s="19" t="s">
        <v>1588</v>
      </c>
      <c r="I62" s="19" t="s">
        <v>1588</v>
      </c>
      <c r="J62" s="19" t="s">
        <v>1589</v>
      </c>
    </row>
    <row r="63" spans="1:10" ht="32.4">
      <c r="A63" s="17" t="s">
        <v>55</v>
      </c>
      <c r="B63" s="20">
        <v>7</v>
      </c>
      <c r="C63" s="22" t="s"/>
      <c r="D63" s="20" t="s"/>
      <c r="E63" s="18" t="s">
        <v>56</v>
      </c>
      <c r="F63" s="21" t="s">
        <v>59</v>
      </c>
      <c r="G63" s="20" t="s"/>
      <c r="H63" s="21" t="s"/>
      <c r="I63" s="21" t="s">
        <v>59</v>
      </c>
      <c r="J63" s="27" t="s"/>
    </row>
    <row r="64" spans="1:10" ht="44.4">
      <c r="A64" s="17" t="s">
        <v>55</v>
      </c>
      <c r="B64" s="20">
        <v>7</v>
      </c>
      <c r="C64" s="22">
        <v>71</v>
      </c>
      <c r="D64" s="22">
        <v>710</v>
      </c>
      <c r="E64" s="18" t="s">
        <v>56</v>
      </c>
      <c r="F64" s="21" t="s">
        <v>59</v>
      </c>
      <c r="G64" s="19" t="s">
        <v>1590</v>
      </c>
      <c r="H64" s="19" t="s">
        <v>1590</v>
      </c>
      <c r="I64" s="19" t="s">
        <v>1590</v>
      </c>
      <c r="J64" s="19" t="s">
        <v>1591</v>
      </c>
    </row>
    <row r="65" spans="1:10" ht="33.6">
      <c r="A65" s="17" t="s">
        <v>55</v>
      </c>
      <c r="B65" s="20">
        <v>7</v>
      </c>
      <c r="C65" s="22">
        <v>79</v>
      </c>
      <c r="D65" s="22">
        <v>790</v>
      </c>
      <c r="E65" s="18" t="s">
        <v>56</v>
      </c>
      <c r="F65" s="21" t="s">
        <v>59</v>
      </c>
      <c r="G65" s="19" t="s">
        <v>1592</v>
      </c>
      <c r="H65" s="19" t="s">
        <v>1592</v>
      </c>
      <c r="I65" s="19" t="s">
        <v>1592</v>
      </c>
      <c r="J65" s="19" t="s">
        <v>1593</v>
      </c>
    </row>
    <row r="66" spans="1:10" ht="21.6">
      <c r="A66" s="17" t="s">
        <v>55</v>
      </c>
      <c r="B66" s="20">
        <v>8</v>
      </c>
      <c r="C66" s="22" t="s"/>
      <c r="D66" s="20" t="s"/>
      <c r="E66" s="18" t="s">
        <v>56</v>
      </c>
      <c r="F66" s="21" t="s">
        <v>60</v>
      </c>
      <c r="G66" s="20" t="s"/>
      <c r="H66" s="21" t="s"/>
      <c r="I66" s="21" t="s">
        <v>60</v>
      </c>
      <c r="J66" s="27" t="s"/>
    </row>
    <row r="67" spans="1:10" ht="21.6">
      <c r="A67" s="17" t="s">
        <v>55</v>
      </c>
      <c r="B67" s="20">
        <v>8</v>
      </c>
      <c r="C67" s="22">
        <v>81</v>
      </c>
      <c r="D67" s="22">
        <v>810</v>
      </c>
      <c r="E67" s="18" t="s">
        <v>56</v>
      </c>
      <c r="F67" s="21" t="s">
        <v>60</v>
      </c>
      <c r="G67" s="19" t="s">
        <v>1594</v>
      </c>
      <c r="H67" s="19" t="s">
        <v>1594</v>
      </c>
      <c r="I67" s="19" t="s">
        <v>1594</v>
      </c>
      <c r="J67" s="19" t="s">
        <v>1595</v>
      </c>
    </row>
    <row r="68" spans="1:10" ht="22.8">
      <c r="A68" s="17" t="s">
        <v>55</v>
      </c>
      <c r="B68" s="20">
        <v>8</v>
      </c>
      <c r="C68" s="22">
        <v>89</v>
      </c>
      <c r="D68" s="22">
        <v>890</v>
      </c>
      <c r="E68" s="18" t="s">
        <v>56</v>
      </c>
      <c r="F68" s="21" t="s">
        <v>60</v>
      </c>
      <c r="G68" s="19" t="s">
        <v>1596</v>
      </c>
      <c r="H68" s="19" t="s">
        <v>1596</v>
      </c>
      <c r="I68" s="19" t="s">
        <v>1596</v>
      </c>
      <c r="J68" s="19" t="s">
        <v>1597</v>
      </c>
    </row>
    <row r="69" spans="1:10" ht="22.8">
      <c r="A69" s="17" t="s">
        <v>55</v>
      </c>
      <c r="B69" s="20">
        <v>9</v>
      </c>
      <c r="C69" s="22" t="s"/>
      <c r="D69" s="20" t="s"/>
      <c r="E69" s="18" t="s">
        <v>56</v>
      </c>
      <c r="F69" s="21" t="s">
        <v>61</v>
      </c>
      <c r="G69" s="20" t="s"/>
      <c r="H69" s="21" t="s"/>
      <c r="I69" s="21" t="s">
        <v>61</v>
      </c>
      <c r="J69" s="19" t="s">
        <v>1598</v>
      </c>
    </row>
    <row r="70" spans="1:10" ht="22.8">
      <c r="A70" s="17" t="s">
        <v>55</v>
      </c>
      <c r="B70" s="20">
        <v>9</v>
      </c>
      <c r="C70" s="22">
        <v>91</v>
      </c>
      <c r="D70" s="20" t="s"/>
      <c r="E70" s="18" t="s">
        <v>56</v>
      </c>
      <c r="F70" s="21" t="s">
        <v>61</v>
      </c>
      <c r="G70" s="19" t="s">
        <v>1599</v>
      </c>
      <c r="H70" s="19" t="s"/>
      <c r="I70" s="19" t="s">
        <v>1599</v>
      </c>
      <c r="J70" s="19" t="s">
        <v>1600</v>
      </c>
    </row>
    <row r="71" spans="1:10" ht="22.8">
      <c r="A71" s="17" t="s">
        <v>55</v>
      </c>
      <c r="B71" s="20">
        <v>9</v>
      </c>
      <c r="C71" s="22">
        <v>91</v>
      </c>
      <c r="D71" s="22">
        <v>911</v>
      </c>
      <c r="E71" s="18" t="s">
        <v>56</v>
      </c>
      <c r="F71" s="21" t="s">
        <v>61</v>
      </c>
      <c r="G71" s="19" t="s">
        <v>1599</v>
      </c>
      <c r="H71" s="19" t="s">
        <v>1601</v>
      </c>
      <c r="I71" s="19" t="s">
        <v>1601</v>
      </c>
      <c r="J71" s="19" t="s">
        <v>62</v>
      </c>
    </row>
    <row r="72" spans="1:10" ht="22.8">
      <c r="A72" s="17" t="s">
        <v>55</v>
      </c>
      <c r="B72" s="20">
        <v>9</v>
      </c>
      <c r="C72" s="22">
        <v>91</v>
      </c>
      <c r="D72" s="22">
        <v>912</v>
      </c>
      <c r="E72" s="18" t="s">
        <v>56</v>
      </c>
      <c r="F72" s="21" t="s">
        <v>61</v>
      </c>
      <c r="G72" s="19" t="s">
        <v>1599</v>
      </c>
      <c r="H72" s="19" t="s">
        <v>1602</v>
      </c>
      <c r="I72" s="19" t="s">
        <v>1602</v>
      </c>
      <c r="J72" s="19" t="s">
        <v>62</v>
      </c>
    </row>
    <row r="73" spans="1:10" ht="22.8">
      <c r="A73" s="17" t="s">
        <v>55</v>
      </c>
      <c r="B73" s="20">
        <v>9</v>
      </c>
      <c r="C73" s="22">
        <v>91</v>
      </c>
      <c r="D73" s="22">
        <v>913</v>
      </c>
      <c r="E73" s="18" t="s">
        <v>56</v>
      </c>
      <c r="F73" s="21" t="s">
        <v>61</v>
      </c>
      <c r="G73" s="19" t="s">
        <v>1599</v>
      </c>
      <c r="H73" s="19" t="s">
        <v>1603</v>
      </c>
      <c r="I73" s="19" t="s">
        <v>1603</v>
      </c>
      <c r="J73" s="27" t="s"/>
    </row>
    <row r="74" spans="1:10" ht="22.8">
      <c r="A74" s="17" t="s">
        <v>55</v>
      </c>
      <c r="B74" s="20">
        <v>9</v>
      </c>
      <c r="C74" s="22">
        <v>91</v>
      </c>
      <c r="D74" s="22">
        <v>914</v>
      </c>
      <c r="E74" s="18" t="s">
        <v>56</v>
      </c>
      <c r="F74" s="21" t="s">
        <v>61</v>
      </c>
      <c r="G74" s="19" t="s">
        <v>1599</v>
      </c>
      <c r="H74" s="19" t="s">
        <v>1604</v>
      </c>
      <c r="I74" s="19" t="s">
        <v>1604</v>
      </c>
      <c r="J74" s="19" t="s">
        <v>63</v>
      </c>
    </row>
    <row r="75" spans="1:10" ht="22.8">
      <c r="A75" s="17" t="s">
        <v>55</v>
      </c>
      <c r="B75" s="20">
        <v>9</v>
      </c>
      <c r="C75" s="22">
        <v>91</v>
      </c>
      <c r="D75" s="22">
        <v>915</v>
      </c>
      <c r="E75" s="18" t="s">
        <v>56</v>
      </c>
      <c r="F75" s="21" t="s">
        <v>61</v>
      </c>
      <c r="G75" s="19" t="s">
        <v>1599</v>
      </c>
      <c r="H75" s="19" t="s">
        <v>1605</v>
      </c>
      <c r="I75" s="19" t="s">
        <v>1605</v>
      </c>
      <c r="J75" s="19" t="s">
        <v>63</v>
      </c>
    </row>
    <row r="76" spans="1:10" ht="22.8">
      <c r="A76" s="17" t="s">
        <v>55</v>
      </c>
      <c r="B76" s="20">
        <v>9</v>
      </c>
      <c r="C76" s="22">
        <v>91</v>
      </c>
      <c r="D76" s="22">
        <v>916</v>
      </c>
      <c r="E76" s="18" t="s">
        <v>56</v>
      </c>
      <c r="F76" s="21" t="s">
        <v>61</v>
      </c>
      <c r="G76" s="19" t="s">
        <v>1599</v>
      </c>
      <c r="H76" s="19" t="s">
        <v>1606</v>
      </c>
      <c r="I76" s="19" t="s">
        <v>1606</v>
      </c>
      <c r="J76" s="19" t="s">
        <v>63</v>
      </c>
    </row>
    <row r="77" spans="1:10" ht="22.8">
      <c r="A77" s="17" t="s">
        <v>55</v>
      </c>
      <c r="B77" s="20">
        <v>9</v>
      </c>
      <c r="C77" s="22">
        <v>91</v>
      </c>
      <c r="D77" s="22">
        <v>917</v>
      </c>
      <c r="E77" s="18" t="s">
        <v>56</v>
      </c>
      <c r="F77" s="21" t="s">
        <v>61</v>
      </c>
      <c r="G77" s="19" t="s">
        <v>1599</v>
      </c>
      <c r="H77" s="19" t="s">
        <v>1607</v>
      </c>
      <c r="I77" s="19" t="s">
        <v>1607</v>
      </c>
      <c r="J77" s="19" t="s">
        <v>62</v>
      </c>
    </row>
    <row r="78" spans="1:10" ht="22.8">
      <c r="A78" s="17" t="s">
        <v>55</v>
      </c>
      <c r="B78" s="20">
        <v>9</v>
      </c>
      <c r="C78" s="22">
        <v>91</v>
      </c>
      <c r="D78" s="22">
        <v>919</v>
      </c>
      <c r="E78" s="18" t="s">
        <v>56</v>
      </c>
      <c r="F78" s="21" t="s">
        <v>61</v>
      </c>
      <c r="G78" s="19" t="s">
        <v>1599</v>
      </c>
      <c r="H78" s="19" t="s">
        <v>1608</v>
      </c>
      <c r="I78" s="19" t="s">
        <v>1608</v>
      </c>
      <c r="J78" s="27" t="s"/>
    </row>
    <row r="79" spans="1:10" ht="22.8">
      <c r="A79" s="17" t="s">
        <v>55</v>
      </c>
      <c r="B79" s="20">
        <v>9</v>
      </c>
      <c r="C79" s="22">
        <v>92</v>
      </c>
      <c r="D79" s="22" t="s"/>
      <c r="E79" s="18" t="s">
        <v>56</v>
      </c>
      <c r="F79" s="21" t="s">
        <v>61</v>
      </c>
      <c r="G79" s="19" t="s">
        <v>1609</v>
      </c>
      <c r="H79" s="19" t="s"/>
      <c r="I79" s="19" t="s">
        <v>1609</v>
      </c>
      <c r="J79" s="19" t="s">
        <v>1610</v>
      </c>
    </row>
    <row r="80" spans="1:10" ht="21.6">
      <c r="A80" s="17" t="s">
        <v>55</v>
      </c>
      <c r="B80" s="20">
        <v>9</v>
      </c>
      <c r="C80" s="22">
        <v>92</v>
      </c>
      <c r="D80" s="22">
        <v>921</v>
      </c>
      <c r="E80" s="18" t="s">
        <v>56</v>
      </c>
      <c r="F80" s="21" t="s">
        <v>61</v>
      </c>
      <c r="G80" s="19" t="s">
        <v>1609</v>
      </c>
      <c r="H80" s="19" t="s">
        <v>1611</v>
      </c>
      <c r="I80" s="19" t="s">
        <v>1611</v>
      </c>
      <c r="J80" s="19" t="s">
        <v>64</v>
      </c>
    </row>
    <row r="81" spans="1:10" ht="21.6">
      <c r="A81" s="17" t="s">
        <v>55</v>
      </c>
      <c r="B81" s="20">
        <v>9</v>
      </c>
      <c r="C81" s="22">
        <v>92</v>
      </c>
      <c r="D81" s="22">
        <v>922</v>
      </c>
      <c r="E81" s="18" t="s">
        <v>56</v>
      </c>
      <c r="F81" s="21" t="s">
        <v>61</v>
      </c>
      <c r="G81" s="19" t="s">
        <v>1609</v>
      </c>
      <c r="H81" s="19" t="s">
        <v>1612</v>
      </c>
      <c r="I81" s="19" t="s">
        <v>1612</v>
      </c>
      <c r="J81" s="19" t="s">
        <v>64</v>
      </c>
    </row>
    <row r="82" spans="1:10" ht="22.8">
      <c r="A82" s="17" t="s">
        <v>55</v>
      </c>
      <c r="B82" s="20">
        <v>9</v>
      </c>
      <c r="C82" s="22">
        <v>92</v>
      </c>
      <c r="D82" s="22">
        <v>929</v>
      </c>
      <c r="E82" s="18" t="s">
        <v>56</v>
      </c>
      <c r="F82" s="21" t="s">
        <v>61</v>
      </c>
      <c r="G82" s="19" t="s">
        <v>1609</v>
      </c>
      <c r="H82" s="19" t="s">
        <v>1613</v>
      </c>
      <c r="I82" s="19" t="s">
        <v>1613</v>
      </c>
      <c r="J82" s="27" t="s"/>
    </row>
    <row r="83" spans="1:10" ht="22.8">
      <c r="A83" s="17" t="s">
        <v>55</v>
      </c>
      <c r="B83" s="20">
        <v>9</v>
      </c>
      <c r="C83" s="22">
        <v>93</v>
      </c>
      <c r="D83" s="22" t="s"/>
      <c r="E83" s="18" t="s">
        <v>56</v>
      </c>
      <c r="F83" s="21" t="s">
        <v>61</v>
      </c>
      <c r="G83" s="19" t="s">
        <v>1614</v>
      </c>
      <c r="H83" s="19" t="s"/>
      <c r="I83" s="19" t="s">
        <v>1614</v>
      </c>
      <c r="J83" s="19" t="s">
        <v>1615</v>
      </c>
    </row>
    <row r="84" spans="1:10" ht="22.8">
      <c r="A84" s="17" t="s">
        <v>55</v>
      </c>
      <c r="B84" s="20">
        <v>9</v>
      </c>
      <c r="C84" s="22">
        <v>93</v>
      </c>
      <c r="D84" s="22">
        <v>931</v>
      </c>
      <c r="E84" s="18" t="s">
        <v>56</v>
      </c>
      <c r="F84" s="21" t="s">
        <v>61</v>
      </c>
      <c r="G84" s="19" t="s">
        <v>1614</v>
      </c>
      <c r="H84" s="19" t="s">
        <v>1616</v>
      </c>
      <c r="I84" s="19" t="s">
        <v>1616</v>
      </c>
      <c r="J84" s="19" t="s"/>
    </row>
    <row r="85" spans="1:10" ht="22.8">
      <c r="A85" s="17" t="s">
        <v>55</v>
      </c>
      <c r="B85" s="20">
        <v>9</v>
      </c>
      <c r="C85" s="22">
        <v>93</v>
      </c>
      <c r="D85" s="22">
        <v>932</v>
      </c>
      <c r="E85" s="18" t="s">
        <v>56</v>
      </c>
      <c r="F85" s="21" t="s">
        <v>61</v>
      </c>
      <c r="G85" s="19" t="s">
        <v>1614</v>
      </c>
      <c r="H85" s="19" t="s">
        <v>1617</v>
      </c>
      <c r="I85" s="19" t="s">
        <v>1617</v>
      </c>
      <c r="J85" s="19" t="s">
        <v>1618</v>
      </c>
    </row>
    <row r="86" spans="1:10" ht="22.8">
      <c r="A86" s="17" t="s">
        <v>55</v>
      </c>
      <c r="B86" s="20">
        <v>9</v>
      </c>
      <c r="C86" s="22">
        <v>93</v>
      </c>
      <c r="D86" s="22">
        <v>933</v>
      </c>
      <c r="E86" s="18" t="s">
        <v>56</v>
      </c>
      <c r="F86" s="21" t="s">
        <v>61</v>
      </c>
      <c r="G86" s="19" t="s">
        <v>1614</v>
      </c>
      <c r="H86" s="19" t="s">
        <v>1619</v>
      </c>
      <c r="I86" s="19" t="s">
        <v>1619</v>
      </c>
      <c r="J86" s="19" t="s">
        <v>1620</v>
      </c>
    </row>
    <row r="87" spans="1:10" ht="22.8">
      <c r="A87" s="17" t="s">
        <v>55</v>
      </c>
      <c r="B87" s="20">
        <v>9</v>
      </c>
      <c r="C87" s="22">
        <v>93</v>
      </c>
      <c r="D87" s="22">
        <v>939</v>
      </c>
      <c r="E87" s="18" t="s">
        <v>56</v>
      </c>
      <c r="F87" s="21" t="s">
        <v>61</v>
      </c>
      <c r="G87" s="19" t="s">
        <v>1614</v>
      </c>
      <c r="H87" s="19" t="s">
        <v>1621</v>
      </c>
      <c r="I87" s="19" t="s">
        <v>1621</v>
      </c>
      <c r="J87" s="19" t="s">
        <v>1622</v>
      </c>
    </row>
    <row r="88" spans="1:10" ht="22.2">
      <c r="A88" s="17" t="s">
        <v>55</v>
      </c>
      <c r="B88" s="20">
        <v>10</v>
      </c>
      <c r="C88" s="22" t="s"/>
      <c r="D88" s="20" t="s"/>
      <c r="E88" s="18" t="s">
        <v>56</v>
      </c>
      <c r="F88" s="21" t="s">
        <v>1623</v>
      </c>
      <c r="G88" s="20" t="s"/>
      <c r="H88" s="21" t="s"/>
      <c r="I88" s="21" t="s">
        <v>1623</v>
      </c>
      <c r="J88" s="27" t="s"/>
    </row>
    <row r="89" spans="1:10" ht="22.2">
      <c r="A89" s="17" t="s">
        <v>55</v>
      </c>
      <c r="B89" s="20">
        <v>10</v>
      </c>
      <c r="C89" s="22">
        <v>101</v>
      </c>
      <c r="D89" s="22" t="s"/>
      <c r="E89" s="18" t="s">
        <v>56</v>
      </c>
      <c r="F89" s="21" t="s">
        <v>1623</v>
      </c>
      <c r="G89" s="19" t="s">
        <v>1624</v>
      </c>
      <c r="H89" s="19" t="s"/>
      <c r="I89" s="19" t="s">
        <v>1624</v>
      </c>
      <c r="J89" s="27" t="s"/>
    </row>
    <row r="90" spans="1:10" ht="22.8">
      <c r="A90" s="17" t="s">
        <v>55</v>
      </c>
      <c r="B90" s="20">
        <v>10</v>
      </c>
      <c r="C90" s="22">
        <v>101</v>
      </c>
      <c r="D90" s="22">
        <v>1011</v>
      </c>
      <c r="E90" s="18" t="s">
        <v>56</v>
      </c>
      <c r="F90" s="21" t="s">
        <v>1623</v>
      </c>
      <c r="G90" s="19" t="s">
        <v>1624</v>
      </c>
      <c r="H90" s="19" t="s">
        <v>1625</v>
      </c>
      <c r="I90" s="19" t="s">
        <v>1625</v>
      </c>
      <c r="J90" s="19" t="s">
        <v>1626</v>
      </c>
    </row>
    <row r="91" spans="1:10" ht="22.8">
      <c r="A91" s="17" t="s">
        <v>55</v>
      </c>
      <c r="B91" s="20">
        <v>10</v>
      </c>
      <c r="C91" s="22">
        <v>101</v>
      </c>
      <c r="D91" s="22">
        <v>1012</v>
      </c>
      <c r="E91" s="18" t="s">
        <v>56</v>
      </c>
      <c r="F91" s="21" t="s">
        <v>1623</v>
      </c>
      <c r="G91" s="19" t="s">
        <v>1624</v>
      </c>
      <c r="H91" s="19" t="s">
        <v>1627</v>
      </c>
      <c r="I91" s="19" t="s">
        <v>1627</v>
      </c>
      <c r="J91" s="19" t="s">
        <v>1628</v>
      </c>
    </row>
    <row r="92" spans="1:10" ht="22.2">
      <c r="A92" s="17" t="s">
        <v>55</v>
      </c>
      <c r="B92" s="20">
        <v>10</v>
      </c>
      <c r="C92" s="22">
        <v>101</v>
      </c>
      <c r="D92" s="22">
        <v>1013</v>
      </c>
      <c r="E92" s="18" t="s">
        <v>56</v>
      </c>
      <c r="F92" s="21" t="s">
        <v>1623</v>
      </c>
      <c r="G92" s="19" t="s">
        <v>1624</v>
      </c>
      <c r="H92" s="19" t="s">
        <v>1629</v>
      </c>
      <c r="I92" s="19" t="s">
        <v>1629</v>
      </c>
      <c r="J92" s="27" t="s"/>
    </row>
    <row r="93" spans="1:10" ht="22.8">
      <c r="A93" s="17" t="s">
        <v>55</v>
      </c>
      <c r="B93" s="20">
        <v>10</v>
      </c>
      <c r="C93" s="22">
        <v>101</v>
      </c>
      <c r="D93" s="22">
        <v>1019</v>
      </c>
      <c r="E93" s="18" t="s">
        <v>56</v>
      </c>
      <c r="F93" s="21" t="s">
        <v>1623</v>
      </c>
      <c r="G93" s="19" t="s">
        <v>1624</v>
      </c>
      <c r="H93" s="19" t="s">
        <v>1630</v>
      </c>
      <c r="I93" s="19" t="s">
        <v>1630</v>
      </c>
      <c r="J93" s="19" t="s">
        <v>1631</v>
      </c>
    </row>
    <row r="94" spans="1:10" ht="22.2">
      <c r="A94" s="17" t="s">
        <v>55</v>
      </c>
      <c r="B94" s="20">
        <v>10</v>
      </c>
      <c r="C94" s="22">
        <v>102</v>
      </c>
      <c r="D94" s="22">
        <v>1020</v>
      </c>
      <c r="E94" s="18" t="s">
        <v>56</v>
      </c>
      <c r="F94" s="21" t="s">
        <v>1623</v>
      </c>
      <c r="G94" s="19" t="s">
        <v>1632</v>
      </c>
      <c r="H94" s="19" t="s">
        <v>1632</v>
      </c>
      <c r="I94" s="19" t="s">
        <v>1632</v>
      </c>
      <c r="J94" s="19" t="s">
        <v>1633</v>
      </c>
    </row>
    <row r="95" spans="1:10" ht="44.4">
      <c r="A95" s="17" t="s">
        <v>55</v>
      </c>
      <c r="B95" s="20">
        <v>10</v>
      </c>
      <c r="C95" s="22">
        <v>103</v>
      </c>
      <c r="D95" s="22">
        <v>1030</v>
      </c>
      <c r="E95" s="18" t="s">
        <v>56</v>
      </c>
      <c r="F95" s="21" t="s">
        <v>1623</v>
      </c>
      <c r="G95" s="19" t="s">
        <v>1634</v>
      </c>
      <c r="H95" s="19" t="s">
        <v>1634</v>
      </c>
      <c r="I95" s="19" t="s">
        <v>1634</v>
      </c>
      <c r="J95" s="19" t="s">
        <v>1635</v>
      </c>
    </row>
    <row r="96" spans="1:10" ht="22.8">
      <c r="A96" s="17" t="s">
        <v>55</v>
      </c>
      <c r="B96" s="20">
        <v>10</v>
      </c>
      <c r="C96" s="22">
        <v>109</v>
      </c>
      <c r="D96" s="22" t="s"/>
      <c r="E96" s="18" t="s">
        <v>56</v>
      </c>
      <c r="F96" s="21" t="s">
        <v>1623</v>
      </c>
      <c r="G96" s="19" t="s">
        <v>1636</v>
      </c>
      <c r="H96" s="19" t="s"/>
      <c r="I96" s="19" t="s">
        <v>1636</v>
      </c>
      <c r="J96" s="19" t="s">
        <v>1637</v>
      </c>
    </row>
    <row r="97" spans="1:10" ht="22.8">
      <c r="A97" s="17" t="s">
        <v>55</v>
      </c>
      <c r="B97" s="20">
        <v>10</v>
      </c>
      <c r="C97" s="22">
        <v>109</v>
      </c>
      <c r="D97" s="22">
        <v>1091</v>
      </c>
      <c r="E97" s="18" t="s">
        <v>56</v>
      </c>
      <c r="F97" s="21" t="s">
        <v>1623</v>
      </c>
      <c r="G97" s="19" t="s">
        <v>1636</v>
      </c>
      <c r="H97" s="19" t="s">
        <v>1638</v>
      </c>
      <c r="I97" s="19" t="s">
        <v>1638</v>
      </c>
      <c r="J97" s="19" t="s">
        <v>65</v>
      </c>
    </row>
    <row r="98" spans="1:10" ht="22.8">
      <c r="A98" s="17" t="s">
        <v>55</v>
      </c>
      <c r="B98" s="20">
        <v>10</v>
      </c>
      <c r="C98" s="22">
        <v>109</v>
      </c>
      <c r="D98" s="22">
        <v>1092</v>
      </c>
      <c r="E98" s="18" t="s">
        <v>56</v>
      </c>
      <c r="F98" s="21" t="s">
        <v>1623</v>
      </c>
      <c r="G98" s="19" t="s">
        <v>1636</v>
      </c>
      <c r="H98" s="19" t="s">
        <v>1639</v>
      </c>
      <c r="I98" s="19" t="s">
        <v>1639</v>
      </c>
      <c r="J98" s="19" t="s">
        <v>1640</v>
      </c>
    </row>
    <row r="99" spans="1:10" ht="22.8">
      <c r="A99" s="17" t="s">
        <v>55</v>
      </c>
      <c r="B99" s="20">
        <v>10</v>
      </c>
      <c r="C99" s="22">
        <v>109</v>
      </c>
      <c r="D99" s="22">
        <v>1093</v>
      </c>
      <c r="E99" s="18" t="s">
        <v>56</v>
      </c>
      <c r="F99" s="21" t="s">
        <v>1623</v>
      </c>
      <c r="G99" s="19" t="s">
        <v>1636</v>
      </c>
      <c r="H99" s="19" t="s">
        <v>1641</v>
      </c>
      <c r="I99" s="19" t="s">
        <v>1641</v>
      </c>
      <c r="J99" s="19" t="s">
        <v>1642</v>
      </c>
    </row>
    <row r="100" spans="1:10" ht="22.8">
      <c r="A100" s="17" t="s">
        <v>55</v>
      </c>
      <c r="B100" s="20">
        <v>10</v>
      </c>
      <c r="C100" s="22">
        <v>109</v>
      </c>
      <c r="D100" s="22">
        <v>1099</v>
      </c>
      <c r="E100" s="18" t="s">
        <v>56</v>
      </c>
      <c r="F100" s="21" t="s">
        <v>1623</v>
      </c>
      <c r="G100" s="19" t="s">
        <v>1636</v>
      </c>
      <c r="H100" s="19" t="s">
        <v>1643</v>
      </c>
      <c r="I100" s="19" t="s">
        <v>1643</v>
      </c>
      <c r="J100" s="19" t="s">
        <v>64</v>
      </c>
    </row>
    <row r="101" spans="1:10" ht="22.2">
      <c r="A101" s="17" t="s">
        <v>55</v>
      </c>
      <c r="B101" s="20">
        <v>11</v>
      </c>
      <c r="C101" s="22" t="s"/>
      <c r="D101" s="22" t="s"/>
      <c r="E101" s="18" t="s">
        <v>56</v>
      </c>
      <c r="F101" s="21" t="s">
        <v>1644</v>
      </c>
      <c r="G101" s="22" t="s"/>
      <c r="H101" s="21" t="s"/>
      <c r="I101" s="21" t="s">
        <v>1644</v>
      </c>
      <c r="J101" s="19" t="s"/>
    </row>
    <row r="102" spans="1:10" ht="22.8">
      <c r="A102" s="17" t="s">
        <v>55</v>
      </c>
      <c r="B102" s="20">
        <v>11</v>
      </c>
      <c r="C102" s="22">
        <v>110</v>
      </c>
      <c r="D102" s="22">
        <v>1100</v>
      </c>
      <c r="E102" s="18" t="s">
        <v>56</v>
      </c>
      <c r="F102" s="21" t="s">
        <v>1644</v>
      </c>
      <c r="G102" s="19" t="s">
        <v>1645</v>
      </c>
      <c r="H102" s="19" t="s">
        <v>1645</v>
      </c>
      <c r="I102" s="19" t="s">
        <v>1645</v>
      </c>
      <c r="J102" s="19" t="s">
        <v>1646</v>
      </c>
    </row>
    <row r="103" spans="1:10" ht="33.6">
      <c r="A103" s="17" t="s">
        <v>66</v>
      </c>
      <c r="B103" s="26" t="s"/>
      <c r="C103" s="26" t="s"/>
      <c r="D103" s="26" t="s"/>
      <c r="E103" s="18" t="s">
        <v>67</v>
      </c>
      <c r="F103" s="26" t="s"/>
      <c r="G103" s="26" t="s"/>
      <c r="H103" s="18" t="s"/>
      <c r="I103" s="18" t="s">
        <v>67</v>
      </c>
      <c r="J103" s="19" t="s">
        <v>1647</v>
      </c>
    </row>
    <row r="104" spans="1:10" ht="55.2">
      <c r="A104" s="17" t="s"/>
      <c r="B104" s="26" t="s"/>
      <c r="C104" s="26" t="s"/>
      <c r="D104" s="26" t="s"/>
      <c r="E104" s="18" t="s"/>
      <c r="F104" s="26" t="s"/>
      <c r="G104" s="26" t="s"/>
      <c r="H104" s="18" t="s"/>
      <c r="I104" s="18" t="s"/>
      <c r="J104" s="19" t="s">
        <v>1648</v>
      </c>
    </row>
    <row r="105" spans="1:10" ht="22.8">
      <c r="A105" s="17" t="s"/>
      <c r="B105" s="26" t="s"/>
      <c r="C105" s="26" t="s"/>
      <c r="D105" s="26" t="s"/>
      <c r="E105" s="18" t="s"/>
      <c r="F105" s="26" t="s"/>
      <c r="G105" s="26" t="s"/>
      <c r="H105" s="18" t="s"/>
      <c r="I105" s="18" t="s"/>
      <c r="J105" s="19" t="s">
        <v>1649</v>
      </c>
    </row>
    <row r="106" spans="1:10" ht="33.6">
      <c r="A106" s="17" t="s">
        <v>66</v>
      </c>
      <c r="B106" s="20">
        <v>13</v>
      </c>
      <c r="C106" s="22" t="s"/>
      <c r="D106" s="20" t="s"/>
      <c r="E106" s="28" t="s">
        <v>67</v>
      </c>
      <c r="F106" s="21" t="s">
        <v>68</v>
      </c>
      <c r="G106" s="20" t="s"/>
      <c r="H106" s="21" t="s"/>
      <c r="I106" s="21" t="s">
        <v>68</v>
      </c>
      <c r="J106" s="19" t="s">
        <v>1650</v>
      </c>
    </row>
    <row r="107" spans="1:10" ht="22.8">
      <c r="A107" s="17" t="s">
        <v>66</v>
      </c>
      <c r="B107" s="20">
        <v>13</v>
      </c>
      <c r="C107" s="22">
        <v>131</v>
      </c>
      <c r="D107" s="22">
        <v>1310</v>
      </c>
      <c r="E107" s="28" t="s">
        <v>67</v>
      </c>
      <c r="F107" s="21" t="s">
        <v>68</v>
      </c>
      <c r="G107" s="19" t="s">
        <v>1651</v>
      </c>
      <c r="H107" s="19" t="s">
        <v>1651</v>
      </c>
      <c r="I107" s="19" t="s">
        <v>1651</v>
      </c>
      <c r="J107" s="19" t="s">
        <v>1652</v>
      </c>
    </row>
    <row r="108" spans="1:10" ht="22.8">
      <c r="A108" s="17" t="s">
        <v>66</v>
      </c>
      <c r="B108" s="20">
        <v>13</v>
      </c>
      <c r="C108" s="22">
        <v>132</v>
      </c>
      <c r="D108" s="22">
        <v>1320</v>
      </c>
      <c r="E108" s="28" t="s">
        <v>67</v>
      </c>
      <c r="F108" s="21" t="s">
        <v>68</v>
      </c>
      <c r="G108" s="19" t="s">
        <v>1653</v>
      </c>
      <c r="H108" s="19" t="s">
        <v>1653</v>
      </c>
      <c r="I108" s="19" t="s">
        <v>1653</v>
      </c>
      <c r="J108" s="19" t="s">
        <v>1654</v>
      </c>
    </row>
    <row r="109" spans="1:10" ht="21.6">
      <c r="A109" s="17" t="s">
        <v>66</v>
      </c>
      <c r="B109" s="20">
        <v>13</v>
      </c>
      <c r="C109" s="22">
        <v>133</v>
      </c>
      <c r="D109" s="22" t="s"/>
      <c r="E109" s="28" t="s">
        <v>67</v>
      </c>
      <c r="F109" s="21" t="s">
        <v>68</v>
      </c>
      <c r="G109" s="19" t="s">
        <v>1655</v>
      </c>
      <c r="H109" s="19" t="s"/>
      <c r="I109" s="19" t="s">
        <v>1655</v>
      </c>
      <c r="J109" s="27" t="s"/>
    </row>
    <row r="110" spans="1:10" ht="22.8">
      <c r="A110" s="17" t="s">
        <v>66</v>
      </c>
      <c r="B110" s="20">
        <v>13</v>
      </c>
      <c r="C110" s="22">
        <v>133</v>
      </c>
      <c r="D110" s="22">
        <v>1331</v>
      </c>
      <c r="E110" s="28" t="s">
        <v>67</v>
      </c>
      <c r="F110" s="21" t="s">
        <v>68</v>
      </c>
      <c r="G110" s="19" t="s">
        <v>1655</v>
      </c>
      <c r="H110" s="19" t="s">
        <v>1656</v>
      </c>
      <c r="I110" s="19" t="s">
        <v>1656</v>
      </c>
      <c r="J110" s="19" t="s">
        <v>1657</v>
      </c>
    </row>
    <row r="111" spans="1:10" ht="22.8">
      <c r="A111" s="17" t="s">
        <v>66</v>
      </c>
      <c r="B111" s="20">
        <v>13</v>
      </c>
      <c r="C111" s="22">
        <v>133</v>
      </c>
      <c r="D111" s="22">
        <v>1332</v>
      </c>
      <c r="E111" s="28" t="s">
        <v>67</v>
      </c>
      <c r="F111" s="21" t="s">
        <v>68</v>
      </c>
      <c r="G111" s="19" t="s">
        <v>1655</v>
      </c>
      <c r="H111" s="19" t="s">
        <v>1658</v>
      </c>
      <c r="I111" s="19" t="s">
        <v>1658</v>
      </c>
      <c r="J111" s="19" t="s">
        <v>1659</v>
      </c>
    </row>
    <row r="112" spans="1:10" ht="22.8">
      <c r="A112" s="17" t="s">
        <v>66</v>
      </c>
      <c r="B112" s="20">
        <v>13</v>
      </c>
      <c r="C112" s="22">
        <v>134</v>
      </c>
      <c r="D112" s="22">
        <v>1340</v>
      </c>
      <c r="E112" s="28" t="s">
        <v>67</v>
      </c>
      <c r="F112" s="21" t="s">
        <v>68</v>
      </c>
      <c r="G112" s="19" t="s">
        <v>1660</v>
      </c>
      <c r="H112" s="19" t="s">
        <v>1660</v>
      </c>
      <c r="I112" s="19" t="s">
        <v>1660</v>
      </c>
      <c r="J112" s="19" t="s">
        <v>1661</v>
      </c>
    </row>
    <row r="113" spans="1:10" ht="22.8">
      <c r="A113" s="17" t="s">
        <v>66</v>
      </c>
      <c r="B113" s="20">
        <v>13</v>
      </c>
      <c r="C113" s="22">
        <v>135</v>
      </c>
      <c r="D113" s="22" t="s"/>
      <c r="E113" s="28" t="s">
        <v>67</v>
      </c>
      <c r="F113" s="21" t="s">
        <v>68</v>
      </c>
      <c r="G113" s="19" t="s">
        <v>1662</v>
      </c>
      <c r="H113" s="19" t="s"/>
      <c r="I113" s="19" t="s">
        <v>1662</v>
      </c>
      <c r="J113" s="27" t="s"/>
    </row>
    <row r="114" spans="1:10" ht="22.8">
      <c r="A114" s="17" t="s">
        <v>66</v>
      </c>
      <c r="B114" s="20">
        <v>13</v>
      </c>
      <c r="C114" s="22">
        <v>135</v>
      </c>
      <c r="D114" s="22">
        <v>1351</v>
      </c>
      <c r="E114" s="28" t="s">
        <v>67</v>
      </c>
      <c r="F114" s="21" t="s">
        <v>68</v>
      </c>
      <c r="G114" s="19" t="s">
        <v>1662</v>
      </c>
      <c r="H114" s="19" t="s">
        <v>1663</v>
      </c>
      <c r="I114" s="19" t="s">
        <v>1663</v>
      </c>
      <c r="J114" s="19" t="s">
        <v>1664</v>
      </c>
    </row>
    <row r="115" spans="1:10" ht="22.8">
      <c r="A115" s="17" t="s">
        <v>66</v>
      </c>
      <c r="B115" s="20">
        <v>13</v>
      </c>
      <c r="C115" s="22">
        <v>135</v>
      </c>
      <c r="D115" s="22">
        <v>1352</v>
      </c>
      <c r="E115" s="28" t="s">
        <v>67</v>
      </c>
      <c r="F115" s="21" t="s">
        <v>68</v>
      </c>
      <c r="G115" s="19" t="s">
        <v>1662</v>
      </c>
      <c r="H115" s="19" t="s">
        <v>1665</v>
      </c>
      <c r="I115" s="19" t="s">
        <v>1665</v>
      </c>
      <c r="J115" s="19" t="s">
        <v>1666</v>
      </c>
    </row>
    <row r="116" spans="1:10" ht="21.6">
      <c r="A116" s="17" t="s">
        <v>66</v>
      </c>
      <c r="B116" s="20">
        <v>13</v>
      </c>
      <c r="C116" s="22">
        <v>136</v>
      </c>
      <c r="D116" s="22" t="s"/>
      <c r="E116" s="28" t="s">
        <v>67</v>
      </c>
      <c r="F116" s="21" t="s">
        <v>68</v>
      </c>
      <c r="G116" s="19" t="s">
        <v>1667</v>
      </c>
      <c r="H116" s="19" t="s"/>
      <c r="I116" s="19" t="s">
        <v>1667</v>
      </c>
      <c r="J116" s="27" t="s"/>
    </row>
    <row r="117" spans="1:10" ht="33.6">
      <c r="A117" s="17" t="s">
        <v>66</v>
      </c>
      <c r="B117" s="20">
        <v>13</v>
      </c>
      <c r="C117" s="22">
        <v>136</v>
      </c>
      <c r="D117" s="22">
        <v>1361</v>
      </c>
      <c r="E117" s="28" t="s">
        <v>67</v>
      </c>
      <c r="F117" s="21" t="s">
        <v>68</v>
      </c>
      <c r="G117" s="19" t="s">
        <v>1667</v>
      </c>
      <c r="H117" s="19" t="s">
        <v>1668</v>
      </c>
      <c r="I117" s="19" t="s">
        <v>1668</v>
      </c>
      <c r="J117" s="19" t="s">
        <v>1669</v>
      </c>
    </row>
    <row r="118" spans="1:10" ht="22.8">
      <c r="A118" s="17" t="s">
        <v>66</v>
      </c>
      <c r="B118" s="20">
        <v>13</v>
      </c>
      <c r="C118" s="22">
        <v>136</v>
      </c>
      <c r="D118" s="22">
        <v>1362</v>
      </c>
      <c r="E118" s="28" t="s">
        <v>67</v>
      </c>
      <c r="F118" s="21" t="s">
        <v>68</v>
      </c>
      <c r="G118" s="19" t="s">
        <v>1667</v>
      </c>
      <c r="H118" s="19" t="s">
        <v>1670</v>
      </c>
      <c r="I118" s="19" t="s">
        <v>1670</v>
      </c>
      <c r="J118" s="19" t="s">
        <v>1671</v>
      </c>
    </row>
    <row r="119" spans="1:10" ht="21.6">
      <c r="A119" s="17" t="s">
        <v>66</v>
      </c>
      <c r="B119" s="20">
        <v>13</v>
      </c>
      <c r="C119" s="22">
        <v>136</v>
      </c>
      <c r="D119" s="22">
        <v>1363</v>
      </c>
      <c r="E119" s="28" t="s">
        <v>67</v>
      </c>
      <c r="F119" s="21" t="s">
        <v>68</v>
      </c>
      <c r="G119" s="19" t="s">
        <v>1667</v>
      </c>
      <c r="H119" s="19" t="s">
        <v>1672</v>
      </c>
      <c r="I119" s="19" t="s">
        <v>1672</v>
      </c>
      <c r="J119" s="19" t="s">
        <v>1673</v>
      </c>
    </row>
    <row r="120" spans="1:10" ht="22.8">
      <c r="A120" s="17" t="s">
        <v>66</v>
      </c>
      <c r="B120" s="20">
        <v>13</v>
      </c>
      <c r="C120" s="22">
        <v>136</v>
      </c>
      <c r="D120" s="22">
        <v>1364</v>
      </c>
      <c r="E120" s="28" t="s">
        <v>67</v>
      </c>
      <c r="F120" s="21" t="s">
        <v>68</v>
      </c>
      <c r="G120" s="19" t="s">
        <v>1667</v>
      </c>
      <c r="H120" s="19" t="s">
        <v>1674</v>
      </c>
      <c r="I120" s="19" t="s">
        <v>1674</v>
      </c>
      <c r="J120" s="19" t="s">
        <v>1675</v>
      </c>
    </row>
    <row r="121" spans="1:10" ht="22.8">
      <c r="A121" s="17" t="s">
        <v>66</v>
      </c>
      <c r="B121" s="20">
        <v>13</v>
      </c>
      <c r="C121" s="22">
        <v>136</v>
      </c>
      <c r="D121" s="22">
        <v>1369</v>
      </c>
      <c r="E121" s="28" t="s">
        <v>67</v>
      </c>
      <c r="F121" s="21" t="s">
        <v>68</v>
      </c>
      <c r="G121" s="19" t="s">
        <v>1667</v>
      </c>
      <c r="H121" s="19" t="s">
        <v>1676</v>
      </c>
      <c r="I121" s="19" t="s">
        <v>1676</v>
      </c>
      <c r="J121" s="19" t="s">
        <v>1677</v>
      </c>
    </row>
    <row r="122" spans="1:10" ht="22.8">
      <c r="A122" s="17" t="s">
        <v>66</v>
      </c>
      <c r="B122" s="20">
        <v>13</v>
      </c>
      <c r="C122" s="22">
        <v>137</v>
      </c>
      <c r="D122" s="22">
        <v>1370</v>
      </c>
      <c r="E122" s="28" t="s">
        <v>67</v>
      </c>
      <c r="F122" s="21" t="s">
        <v>68</v>
      </c>
      <c r="G122" s="19" t="s">
        <v>1678</v>
      </c>
      <c r="H122" s="19" t="s">
        <v>1678</v>
      </c>
      <c r="I122" s="19" t="s">
        <v>1678</v>
      </c>
      <c r="J122" s="19" t="s">
        <v>1679</v>
      </c>
    </row>
    <row r="123" spans="1:10" ht="24">
      <c r="A123" s="17" t="s">
        <v>66</v>
      </c>
      <c r="B123" s="20">
        <v>13</v>
      </c>
      <c r="C123" s="22">
        <v>139</v>
      </c>
      <c r="D123" s="22" t="s"/>
      <c r="E123" s="28" t="s">
        <v>67</v>
      </c>
      <c r="F123" s="21" t="s">
        <v>68</v>
      </c>
      <c r="G123" s="19" t="s">
        <v>1680</v>
      </c>
      <c r="H123" s="19" t="s"/>
      <c r="I123" s="19" t="s">
        <v>1680</v>
      </c>
      <c r="J123" s="19" t="s"/>
    </row>
    <row r="124" spans="1:10" ht="24">
      <c r="A124" s="17" t="s">
        <v>66</v>
      </c>
      <c r="B124" s="20">
        <v>13</v>
      </c>
      <c r="C124" s="22">
        <v>139</v>
      </c>
      <c r="D124" s="22">
        <v>1391</v>
      </c>
      <c r="E124" s="28" t="s">
        <v>67</v>
      </c>
      <c r="F124" s="21" t="s">
        <v>68</v>
      </c>
      <c r="G124" s="19" t="s">
        <v>1680</v>
      </c>
      <c r="H124" s="19" t="s">
        <v>1681</v>
      </c>
      <c r="I124" s="19" t="s">
        <v>1681</v>
      </c>
      <c r="J124" s="19" t="s">
        <v>1682</v>
      </c>
    </row>
    <row r="125" spans="1:10" ht="24">
      <c r="A125" s="17" t="s">
        <v>66</v>
      </c>
      <c r="B125" s="20">
        <v>13</v>
      </c>
      <c r="C125" s="22">
        <v>139</v>
      </c>
      <c r="D125" s="22">
        <v>1392</v>
      </c>
      <c r="E125" s="28" t="s">
        <v>67</v>
      </c>
      <c r="F125" s="21" t="s">
        <v>68</v>
      </c>
      <c r="G125" s="19" t="s">
        <v>1680</v>
      </c>
      <c r="H125" s="19" t="s">
        <v>1683</v>
      </c>
      <c r="I125" s="19" t="s">
        <v>1683</v>
      </c>
      <c r="J125" s="19" t="s">
        <v>1684</v>
      </c>
    </row>
    <row r="126" spans="1:10" ht="24">
      <c r="A126" s="17" t="s">
        <v>66</v>
      </c>
      <c r="B126" s="20">
        <v>13</v>
      </c>
      <c r="C126" s="22">
        <v>139</v>
      </c>
      <c r="D126" s="22">
        <v>1393</v>
      </c>
      <c r="E126" s="28" t="s">
        <v>67</v>
      </c>
      <c r="F126" s="21" t="s">
        <v>68</v>
      </c>
      <c r="G126" s="19" t="s">
        <v>1680</v>
      </c>
      <c r="H126" s="19" t="s">
        <v>1685</v>
      </c>
      <c r="I126" s="19" t="s">
        <v>1685</v>
      </c>
      <c r="J126" s="27" t="s"/>
    </row>
    <row r="127" spans="1:10" ht="24">
      <c r="A127" s="17" t="s">
        <v>66</v>
      </c>
      <c r="B127" s="20">
        <v>13</v>
      </c>
      <c r="C127" s="22">
        <v>139</v>
      </c>
      <c r="D127" s="22">
        <v>1399</v>
      </c>
      <c r="E127" s="28" t="s">
        <v>67</v>
      </c>
      <c r="F127" s="21" t="s">
        <v>68</v>
      </c>
      <c r="G127" s="19" t="s">
        <v>1680</v>
      </c>
      <c r="H127" s="19" t="s">
        <v>1686</v>
      </c>
      <c r="I127" s="19" t="s">
        <v>1686</v>
      </c>
      <c r="J127" s="27" t="s"/>
    </row>
    <row r="128" spans="1:10" ht="21.6">
      <c r="A128" s="17" t="s">
        <v>66</v>
      </c>
      <c r="B128" s="20">
        <v>14</v>
      </c>
      <c r="C128" s="22" t="s"/>
      <c r="D128" s="20" t="s"/>
      <c r="E128" s="28" t="s">
        <v>67</v>
      </c>
      <c r="F128" s="21" t="s">
        <v>69</v>
      </c>
      <c r="G128" s="20" t="s"/>
      <c r="H128" s="21" t="s"/>
      <c r="I128" s="21" t="s">
        <v>69</v>
      </c>
      <c r="J128" s="27" t="s"/>
    </row>
    <row r="129" spans="1:10" ht="21.6">
      <c r="A129" s="17" t="s">
        <v>66</v>
      </c>
      <c r="B129" s="20">
        <v>14</v>
      </c>
      <c r="C129" s="22">
        <v>141</v>
      </c>
      <c r="D129" s="22" t="s"/>
      <c r="E129" s="28" t="s">
        <v>67</v>
      </c>
      <c r="F129" s="21" t="s">
        <v>69</v>
      </c>
      <c r="G129" s="19" t="s">
        <v>1687</v>
      </c>
      <c r="H129" s="19" t="s"/>
      <c r="I129" s="19" t="s">
        <v>1687</v>
      </c>
      <c r="J129" s="27" t="s"/>
    </row>
    <row r="130" spans="1:10" ht="22.8">
      <c r="A130" s="17" t="s">
        <v>66</v>
      </c>
      <c r="B130" s="20">
        <v>14</v>
      </c>
      <c r="C130" s="22">
        <v>141</v>
      </c>
      <c r="D130" s="22">
        <v>1411</v>
      </c>
      <c r="E130" s="28" t="s">
        <v>67</v>
      </c>
      <c r="F130" s="21" t="s">
        <v>69</v>
      </c>
      <c r="G130" s="19" t="s">
        <v>1687</v>
      </c>
      <c r="H130" s="19" t="s">
        <v>1688</v>
      </c>
      <c r="I130" s="19" t="s">
        <v>1688</v>
      </c>
      <c r="J130" s="19" t="s">
        <v>1689</v>
      </c>
    </row>
    <row r="131" spans="1:10" ht="44.4">
      <c r="A131" s="17" t="s">
        <v>66</v>
      </c>
      <c r="B131" s="20">
        <v>14</v>
      </c>
      <c r="C131" s="22">
        <v>141</v>
      </c>
      <c r="D131" s="22">
        <v>1419</v>
      </c>
      <c r="E131" s="28" t="s">
        <v>67</v>
      </c>
      <c r="F131" s="21" t="s">
        <v>69</v>
      </c>
      <c r="G131" s="19" t="s">
        <v>1687</v>
      </c>
      <c r="H131" s="19" t="s">
        <v>1690</v>
      </c>
      <c r="I131" s="19" t="s">
        <v>1690</v>
      </c>
      <c r="J131" s="19" t="s">
        <v>1691</v>
      </c>
    </row>
    <row r="132" spans="1:10" ht="22.8">
      <c r="A132" s="17" t="s">
        <v>66</v>
      </c>
      <c r="B132" s="20">
        <v>14</v>
      </c>
      <c r="C132" s="22">
        <v>142</v>
      </c>
      <c r="D132" s="22" t="s"/>
      <c r="E132" s="28" t="s">
        <v>67</v>
      </c>
      <c r="F132" s="21" t="s">
        <v>69</v>
      </c>
      <c r="G132" s="19" t="s">
        <v>1692</v>
      </c>
      <c r="H132" s="29" t="s"/>
      <c r="I132" s="19" t="s">
        <v>1692</v>
      </c>
      <c r="J132" s="27" t="s"/>
    </row>
    <row r="133" spans="1:10" ht="45.6">
      <c r="A133" s="17" t="s">
        <v>66</v>
      </c>
      <c r="B133" s="20">
        <v>14</v>
      </c>
      <c r="C133" s="22">
        <v>142</v>
      </c>
      <c r="D133" s="22">
        <v>1421</v>
      </c>
      <c r="E133" s="28" t="s">
        <v>67</v>
      </c>
      <c r="F133" s="21" t="s">
        <v>69</v>
      </c>
      <c r="G133" s="19" t="s">
        <v>1692</v>
      </c>
      <c r="H133" s="19" t="s">
        <v>1693</v>
      </c>
      <c r="I133" s="19" t="s">
        <v>1693</v>
      </c>
      <c r="J133" s="19" t="s">
        <v>1694</v>
      </c>
    </row>
    <row r="134" spans="1:10" ht="22.8">
      <c r="A134" s="17" t="s">
        <v>66</v>
      </c>
      <c r="B134" s="20">
        <v>14</v>
      </c>
      <c r="C134" s="22">
        <v>142</v>
      </c>
      <c r="D134" s="22">
        <v>1422</v>
      </c>
      <c r="E134" s="28" t="s">
        <v>67</v>
      </c>
      <c r="F134" s="21" t="s">
        <v>69</v>
      </c>
      <c r="G134" s="19" t="s">
        <v>1692</v>
      </c>
      <c r="H134" s="19" t="s">
        <v>1695</v>
      </c>
      <c r="I134" s="19" t="s">
        <v>1695</v>
      </c>
      <c r="J134" s="19" t="s">
        <v>1696</v>
      </c>
    </row>
    <row r="135" spans="1:10" ht="22.8">
      <c r="A135" s="17" t="s">
        <v>66</v>
      </c>
      <c r="B135" s="20">
        <v>14</v>
      </c>
      <c r="C135" s="22">
        <v>143</v>
      </c>
      <c r="D135" s="22" t="s"/>
      <c r="E135" s="28" t="s">
        <v>67</v>
      </c>
      <c r="F135" s="21" t="s">
        <v>69</v>
      </c>
      <c r="G135" s="19" t="s">
        <v>1697</v>
      </c>
      <c r="H135" s="29" t="s"/>
      <c r="I135" s="19" t="s">
        <v>1697</v>
      </c>
      <c r="J135" s="19" t="s">
        <v>1698</v>
      </c>
    </row>
    <row r="136" spans="1:10" ht="22.8">
      <c r="A136" s="17" t="s">
        <v>66</v>
      </c>
      <c r="B136" s="20">
        <v>14</v>
      </c>
      <c r="C136" s="22">
        <v>143</v>
      </c>
      <c r="D136" s="22">
        <v>1431</v>
      </c>
      <c r="E136" s="28" t="s">
        <v>67</v>
      </c>
      <c r="F136" s="21" t="s">
        <v>69</v>
      </c>
      <c r="G136" s="19" t="s">
        <v>1697</v>
      </c>
      <c r="H136" s="19" t="s">
        <v>1699</v>
      </c>
      <c r="I136" s="19" t="s">
        <v>1699</v>
      </c>
      <c r="J136" s="19" t="s">
        <v>1700</v>
      </c>
    </row>
    <row r="137" spans="1:10" ht="33.6">
      <c r="A137" s="17" t="s">
        <v>66</v>
      </c>
      <c r="B137" s="20">
        <v>14</v>
      </c>
      <c r="C137" s="22">
        <v>143</v>
      </c>
      <c r="D137" s="22">
        <v>1432</v>
      </c>
      <c r="E137" s="28" t="s">
        <v>67</v>
      </c>
      <c r="F137" s="21" t="s">
        <v>69</v>
      </c>
      <c r="G137" s="19" t="s">
        <v>1697</v>
      </c>
      <c r="H137" s="19" t="s">
        <v>1701</v>
      </c>
      <c r="I137" s="19" t="s">
        <v>1701</v>
      </c>
      <c r="J137" s="19" t="s">
        <v>1702</v>
      </c>
    </row>
    <row r="138" spans="1:10" ht="33.6">
      <c r="A138" s="17" t="s">
        <v>66</v>
      </c>
      <c r="B138" s="20">
        <v>14</v>
      </c>
      <c r="C138" s="22">
        <v>143</v>
      </c>
      <c r="D138" s="22">
        <v>1439</v>
      </c>
      <c r="E138" s="28" t="s">
        <v>67</v>
      </c>
      <c r="F138" s="21" t="s">
        <v>69</v>
      </c>
      <c r="G138" s="19" t="s">
        <v>1697</v>
      </c>
      <c r="H138" s="19" t="s">
        <v>1703</v>
      </c>
      <c r="I138" s="19" t="s">
        <v>1703</v>
      </c>
      <c r="J138" s="19" t="s">
        <v>1704</v>
      </c>
    </row>
    <row r="139" spans="1:10" ht="22.8">
      <c r="A139" s="17" t="s">
        <v>66</v>
      </c>
      <c r="B139" s="20">
        <v>14</v>
      </c>
      <c r="C139" s="22">
        <v>144</v>
      </c>
      <c r="D139" s="22">
        <v>1440</v>
      </c>
      <c r="E139" s="28" t="s">
        <v>67</v>
      </c>
      <c r="F139" s="21" t="s">
        <v>69</v>
      </c>
      <c r="G139" s="19" t="s">
        <v>1705</v>
      </c>
      <c r="H139" s="19" t="s">
        <v>1705</v>
      </c>
      <c r="I139" s="19" t="s">
        <v>1705</v>
      </c>
      <c r="J139" s="19" t="s">
        <v>1706</v>
      </c>
    </row>
    <row r="140" spans="1:10" ht="33.6">
      <c r="A140" s="17" t="s">
        <v>66</v>
      </c>
      <c r="B140" s="20">
        <v>14</v>
      </c>
      <c r="C140" s="22">
        <v>145</v>
      </c>
      <c r="D140" s="22" t="s"/>
      <c r="E140" s="28" t="s">
        <v>67</v>
      </c>
      <c r="F140" s="21" t="s">
        <v>69</v>
      </c>
      <c r="G140" s="19" t="s">
        <v>1707</v>
      </c>
      <c r="H140" s="29" t="s"/>
      <c r="I140" s="19" t="s">
        <v>1707</v>
      </c>
      <c r="J140" s="19" t="s">
        <v>1708</v>
      </c>
    </row>
    <row r="141" spans="1:10" ht="22.8">
      <c r="A141" s="17" t="s">
        <v>66</v>
      </c>
      <c r="B141" s="20">
        <v>14</v>
      </c>
      <c r="C141" s="22">
        <v>145</v>
      </c>
      <c r="D141" s="22">
        <v>1451</v>
      </c>
      <c r="E141" s="28" t="s">
        <v>67</v>
      </c>
      <c r="F141" s="21" t="s">
        <v>69</v>
      </c>
      <c r="G141" s="19" t="s">
        <v>1707</v>
      </c>
      <c r="H141" s="19" t="s">
        <v>1709</v>
      </c>
      <c r="I141" s="19" t="s">
        <v>1709</v>
      </c>
      <c r="J141" s="27" t="s"/>
    </row>
    <row r="142" spans="1:10" ht="22.8">
      <c r="A142" s="17" t="s">
        <v>66</v>
      </c>
      <c r="B142" s="20">
        <v>14</v>
      </c>
      <c r="C142" s="22">
        <v>145</v>
      </c>
      <c r="D142" s="22">
        <v>1452</v>
      </c>
      <c r="E142" s="28" t="s">
        <v>67</v>
      </c>
      <c r="F142" s="21" t="s">
        <v>69</v>
      </c>
      <c r="G142" s="19" t="s">
        <v>1707</v>
      </c>
      <c r="H142" s="19" t="s">
        <v>1710</v>
      </c>
      <c r="I142" s="19" t="s">
        <v>1710</v>
      </c>
      <c r="J142" s="27" t="s"/>
    </row>
    <row r="143" spans="1:10" ht="22.8">
      <c r="A143" s="17" t="s">
        <v>66</v>
      </c>
      <c r="B143" s="20">
        <v>14</v>
      </c>
      <c r="C143" s="22">
        <v>145</v>
      </c>
      <c r="D143" s="22">
        <v>1453</v>
      </c>
      <c r="E143" s="28" t="s">
        <v>67</v>
      </c>
      <c r="F143" s="21" t="s">
        <v>69</v>
      </c>
      <c r="G143" s="19" t="s">
        <v>1707</v>
      </c>
      <c r="H143" s="19" t="s">
        <v>1711</v>
      </c>
      <c r="I143" s="19" t="s">
        <v>1711</v>
      </c>
      <c r="J143" s="27" t="s"/>
    </row>
    <row r="144" spans="1:10" ht="22.8">
      <c r="A144" s="17" t="s">
        <v>66</v>
      </c>
      <c r="B144" s="20">
        <v>14</v>
      </c>
      <c r="C144" s="22">
        <v>145</v>
      </c>
      <c r="D144" s="22">
        <v>1459</v>
      </c>
      <c r="E144" s="28" t="s">
        <v>67</v>
      </c>
      <c r="F144" s="21" t="s">
        <v>69</v>
      </c>
      <c r="G144" s="19" t="s">
        <v>1707</v>
      </c>
      <c r="H144" s="19" t="s">
        <v>1712</v>
      </c>
      <c r="I144" s="19" t="s">
        <v>1712</v>
      </c>
      <c r="J144" s="19" t="s">
        <v>1713</v>
      </c>
    </row>
    <row r="145" spans="1:10" ht="22.8">
      <c r="A145" s="17" t="s">
        <v>66</v>
      </c>
      <c r="B145" s="20">
        <v>14</v>
      </c>
      <c r="C145" s="22">
        <v>146</v>
      </c>
      <c r="D145" s="20" t="s"/>
      <c r="E145" s="28" t="s">
        <v>67</v>
      </c>
      <c r="F145" s="21" t="s">
        <v>69</v>
      </c>
      <c r="G145" s="19" t="s">
        <v>1714</v>
      </c>
      <c r="H145" s="29" t="s"/>
      <c r="I145" s="19" t="s">
        <v>1714</v>
      </c>
      <c r="J145" s="27" t="s"/>
    </row>
    <row r="146" spans="1:10" ht="24">
      <c r="A146" s="17" t="s">
        <v>66</v>
      </c>
      <c r="B146" s="20">
        <v>14</v>
      </c>
      <c r="C146" s="22">
        <v>146</v>
      </c>
      <c r="D146" s="22">
        <v>1461</v>
      </c>
      <c r="E146" s="28" t="s">
        <v>67</v>
      </c>
      <c r="F146" s="21" t="s">
        <v>69</v>
      </c>
      <c r="G146" s="19" t="s">
        <v>1714</v>
      </c>
      <c r="H146" s="19" t="s">
        <v>1715</v>
      </c>
      <c r="I146" s="19" t="s">
        <v>1715</v>
      </c>
      <c r="J146" s="19" t="s">
        <v>1716</v>
      </c>
    </row>
    <row r="147" spans="1:10" ht="33.6">
      <c r="A147" s="17" t="s">
        <v>66</v>
      </c>
      <c r="B147" s="20">
        <v>14</v>
      </c>
      <c r="C147" s="22">
        <v>146</v>
      </c>
      <c r="D147" s="22">
        <v>1462</v>
      </c>
      <c r="E147" s="28" t="s">
        <v>67</v>
      </c>
      <c r="F147" s="21" t="s">
        <v>69</v>
      </c>
      <c r="G147" s="19" t="s">
        <v>1714</v>
      </c>
      <c r="H147" s="19" t="s">
        <v>1717</v>
      </c>
      <c r="I147" s="19" t="s">
        <v>1717</v>
      </c>
      <c r="J147" s="19" t="s">
        <v>1718</v>
      </c>
    </row>
    <row r="148" spans="1:10" ht="22.8">
      <c r="A148" s="17" t="s">
        <v>66</v>
      </c>
      <c r="B148" s="20">
        <v>14</v>
      </c>
      <c r="C148" s="22">
        <v>146</v>
      </c>
      <c r="D148" s="22">
        <v>1469</v>
      </c>
      <c r="E148" s="28" t="s">
        <v>67</v>
      </c>
      <c r="F148" s="21" t="s">
        <v>69</v>
      </c>
      <c r="G148" s="19" t="s">
        <v>1714</v>
      </c>
      <c r="H148" s="19" t="s">
        <v>1719</v>
      </c>
      <c r="I148" s="19" t="s">
        <v>1719</v>
      </c>
      <c r="J148" s="27" t="s"/>
    </row>
    <row r="149" spans="1:10" ht="21.6">
      <c r="A149" s="17" t="s">
        <v>66</v>
      </c>
      <c r="B149" s="20">
        <v>14</v>
      </c>
      <c r="C149" s="22">
        <v>149</v>
      </c>
      <c r="D149" s="22" t="s"/>
      <c r="E149" s="28" t="s">
        <v>67</v>
      </c>
      <c r="F149" s="21" t="s">
        <v>69</v>
      </c>
      <c r="G149" s="19" t="s">
        <v>1720</v>
      </c>
      <c r="H149" s="29" t="s"/>
      <c r="I149" s="19" t="s">
        <v>1720</v>
      </c>
      <c r="J149" s="27" t="s"/>
    </row>
    <row r="150" spans="1:10" ht="22.8">
      <c r="A150" s="17" t="s">
        <v>66</v>
      </c>
      <c r="B150" s="20">
        <v>14</v>
      </c>
      <c r="C150" s="22">
        <v>149</v>
      </c>
      <c r="D150" s="22">
        <v>1491</v>
      </c>
      <c r="E150" s="28" t="s">
        <v>67</v>
      </c>
      <c r="F150" s="21" t="s">
        <v>69</v>
      </c>
      <c r="G150" s="19" t="s">
        <v>1720</v>
      </c>
      <c r="H150" s="19" t="s">
        <v>1721</v>
      </c>
      <c r="I150" s="19" t="s">
        <v>1721</v>
      </c>
      <c r="J150" s="19" t="s">
        <v>1722</v>
      </c>
    </row>
    <row r="151" spans="1:10" ht="33.6">
      <c r="A151" s="17" t="s">
        <v>66</v>
      </c>
      <c r="B151" s="20">
        <v>14</v>
      </c>
      <c r="C151" s="22">
        <v>149</v>
      </c>
      <c r="D151" s="22">
        <v>1492</v>
      </c>
      <c r="E151" s="28" t="s">
        <v>67</v>
      </c>
      <c r="F151" s="21" t="s">
        <v>69</v>
      </c>
      <c r="G151" s="19" t="s">
        <v>1720</v>
      </c>
      <c r="H151" s="19" t="s">
        <v>1723</v>
      </c>
      <c r="I151" s="19" t="s">
        <v>1723</v>
      </c>
      <c r="J151" s="19" t="s">
        <v>1724</v>
      </c>
    </row>
    <row r="152" spans="1:10" ht="33.6">
      <c r="A152" s="17" t="s">
        <v>66</v>
      </c>
      <c r="B152" s="20">
        <v>14</v>
      </c>
      <c r="C152" s="22">
        <v>149</v>
      </c>
      <c r="D152" s="22">
        <v>1493</v>
      </c>
      <c r="E152" s="28" t="s">
        <v>67</v>
      </c>
      <c r="F152" s="21" t="s">
        <v>69</v>
      </c>
      <c r="G152" s="19" t="s">
        <v>1720</v>
      </c>
      <c r="H152" s="19" t="s">
        <v>1725</v>
      </c>
      <c r="I152" s="19" t="s">
        <v>1725</v>
      </c>
      <c r="J152" s="19" t="s">
        <v>1726</v>
      </c>
    </row>
    <row r="153" spans="1:10" ht="22.8">
      <c r="A153" s="17" t="s">
        <v>66</v>
      </c>
      <c r="B153" s="20">
        <v>14</v>
      </c>
      <c r="C153" s="22">
        <v>149</v>
      </c>
      <c r="D153" s="22">
        <v>1494</v>
      </c>
      <c r="E153" s="28" t="s">
        <v>67</v>
      </c>
      <c r="F153" s="21" t="s">
        <v>69</v>
      </c>
      <c r="G153" s="19" t="s">
        <v>1720</v>
      </c>
      <c r="H153" s="19" t="s">
        <v>1727</v>
      </c>
      <c r="I153" s="19" t="s">
        <v>1727</v>
      </c>
      <c r="J153" s="19" t="s">
        <v>1728</v>
      </c>
    </row>
    <row r="154" spans="1:10" ht="22.8">
      <c r="A154" s="17" t="s">
        <v>66</v>
      </c>
      <c r="B154" s="20">
        <v>14</v>
      </c>
      <c r="C154" s="22">
        <v>149</v>
      </c>
      <c r="D154" s="22">
        <v>1499</v>
      </c>
      <c r="E154" s="28" t="s">
        <v>67</v>
      </c>
      <c r="F154" s="21" t="s">
        <v>69</v>
      </c>
      <c r="G154" s="19" t="s">
        <v>1720</v>
      </c>
      <c r="H154" s="19" t="s">
        <v>1729</v>
      </c>
      <c r="I154" s="19" t="s">
        <v>1729</v>
      </c>
      <c r="J154" s="19" t="s"/>
    </row>
    <row r="155" spans="1:10" ht="21.6">
      <c r="A155" s="17" t="s">
        <v>66</v>
      </c>
      <c r="B155" s="20">
        <v>15</v>
      </c>
      <c r="C155" s="22" t="s"/>
      <c r="D155" s="20" t="s"/>
      <c r="E155" s="28" t="s">
        <v>67</v>
      </c>
      <c r="F155" s="21" t="s">
        <v>70</v>
      </c>
      <c r="G155" s="20" t="s"/>
      <c r="H155" s="29" t="s"/>
      <c r="I155" s="21" t="s">
        <v>70</v>
      </c>
      <c r="J155" s="27" t="s"/>
    </row>
    <row r="156" spans="1:10" ht="22.8">
      <c r="A156" s="17" t="s">
        <v>66</v>
      </c>
      <c r="B156" s="20">
        <v>15</v>
      </c>
      <c r="C156" s="22">
        <v>151</v>
      </c>
      <c r="D156" s="22">
        <v>1510</v>
      </c>
      <c r="E156" s="28" t="s">
        <v>67</v>
      </c>
      <c r="F156" s="21" t="s">
        <v>70</v>
      </c>
      <c r="G156" s="19" t="s">
        <v>1730</v>
      </c>
      <c r="H156" s="19" t="s">
        <v>1730</v>
      </c>
      <c r="I156" s="19" t="s">
        <v>1730</v>
      </c>
      <c r="J156" s="19" t="s">
        <v>1731</v>
      </c>
    </row>
    <row r="157" spans="1:10" ht="21.6">
      <c r="A157" s="17" t="s">
        <v>66</v>
      </c>
      <c r="B157" s="20">
        <v>15</v>
      </c>
      <c r="C157" s="22">
        <v>152</v>
      </c>
      <c r="D157" s="22" t="s"/>
      <c r="E157" s="28" t="s">
        <v>67</v>
      </c>
      <c r="F157" s="21" t="s">
        <v>70</v>
      </c>
      <c r="G157" s="19" t="s">
        <v>1732</v>
      </c>
      <c r="H157" s="29" t="s"/>
      <c r="I157" s="19" t="s">
        <v>1732</v>
      </c>
      <c r="J157" s="27" t="s"/>
    </row>
    <row r="158" spans="1:10" ht="34.8">
      <c r="A158" s="17" t="s">
        <v>66</v>
      </c>
      <c r="B158" s="20">
        <v>15</v>
      </c>
      <c r="C158" s="22">
        <v>152</v>
      </c>
      <c r="D158" s="22">
        <v>1521</v>
      </c>
      <c r="E158" s="28" t="s">
        <v>67</v>
      </c>
      <c r="F158" s="21" t="s">
        <v>70</v>
      </c>
      <c r="G158" s="19" t="s">
        <v>1732</v>
      </c>
      <c r="H158" s="19" t="s">
        <v>1733</v>
      </c>
      <c r="I158" s="19" t="s">
        <v>1733</v>
      </c>
      <c r="J158" s="19" t="s">
        <v>1734</v>
      </c>
    </row>
    <row r="159" spans="1:10" ht="34.8">
      <c r="A159" s="17" t="s">
        <v>66</v>
      </c>
      <c r="B159" s="20">
        <v>15</v>
      </c>
      <c r="C159" s="22">
        <v>152</v>
      </c>
      <c r="D159" s="22">
        <v>1522</v>
      </c>
      <c r="E159" s="28" t="s">
        <v>67</v>
      </c>
      <c r="F159" s="21" t="s">
        <v>70</v>
      </c>
      <c r="G159" s="19" t="s">
        <v>1732</v>
      </c>
      <c r="H159" s="19" t="s">
        <v>1735</v>
      </c>
      <c r="I159" s="19" t="s">
        <v>1735</v>
      </c>
      <c r="J159" s="19" t="s">
        <v>1736</v>
      </c>
    </row>
    <row r="160" spans="1:10" ht="22.8">
      <c r="A160" s="17" t="s">
        <v>66</v>
      </c>
      <c r="B160" s="20">
        <v>15</v>
      </c>
      <c r="C160" s="22">
        <v>152</v>
      </c>
      <c r="D160" s="22">
        <v>1523</v>
      </c>
      <c r="E160" s="28" t="s">
        <v>67</v>
      </c>
      <c r="F160" s="21" t="s">
        <v>70</v>
      </c>
      <c r="G160" s="19" t="s">
        <v>1732</v>
      </c>
      <c r="H160" s="19" t="s">
        <v>1737</v>
      </c>
      <c r="I160" s="19" t="s">
        <v>1737</v>
      </c>
      <c r="J160" s="19" t="s">
        <v>1738</v>
      </c>
    </row>
    <row r="161" spans="1:10" ht="24">
      <c r="A161" s="17" t="s">
        <v>66</v>
      </c>
      <c r="B161" s="20">
        <v>15</v>
      </c>
      <c r="C161" s="22">
        <v>152</v>
      </c>
      <c r="D161" s="22">
        <v>1524</v>
      </c>
      <c r="E161" s="28" t="s">
        <v>67</v>
      </c>
      <c r="F161" s="21" t="s">
        <v>70</v>
      </c>
      <c r="G161" s="19" t="s">
        <v>1732</v>
      </c>
      <c r="H161" s="19" t="s">
        <v>1739</v>
      </c>
      <c r="I161" s="19" t="s">
        <v>1739</v>
      </c>
      <c r="J161" s="19" t="s">
        <v>71</v>
      </c>
    </row>
    <row r="162" spans="1:10" ht="22.8">
      <c r="A162" s="17" t="s">
        <v>66</v>
      </c>
      <c r="B162" s="20">
        <v>15</v>
      </c>
      <c r="C162" s="22">
        <v>152</v>
      </c>
      <c r="D162" s="22">
        <v>1529</v>
      </c>
      <c r="E162" s="28" t="s">
        <v>67</v>
      </c>
      <c r="F162" s="21" t="s">
        <v>70</v>
      </c>
      <c r="G162" s="19" t="s">
        <v>1732</v>
      </c>
      <c r="H162" s="19" t="s">
        <v>1740</v>
      </c>
      <c r="I162" s="19" t="s">
        <v>1740</v>
      </c>
      <c r="J162" s="19" t="s">
        <v>1741</v>
      </c>
    </row>
    <row r="163" spans="1:10" ht="21.6">
      <c r="A163" s="17" t="s">
        <v>66</v>
      </c>
      <c r="B163" s="20">
        <v>15</v>
      </c>
      <c r="C163" s="22">
        <v>153</v>
      </c>
      <c r="D163" s="22" t="s"/>
      <c r="E163" s="28" t="s">
        <v>67</v>
      </c>
      <c r="F163" s="21" t="s">
        <v>70</v>
      </c>
      <c r="G163" s="19" t="s">
        <v>1742</v>
      </c>
      <c r="H163" s="29" t="s"/>
      <c r="I163" s="19" t="s">
        <v>1742</v>
      </c>
      <c r="J163" s="27" t="s"/>
    </row>
    <row r="164" spans="1:10" ht="24">
      <c r="A164" s="17" t="s">
        <v>66</v>
      </c>
      <c r="B164" s="20">
        <v>15</v>
      </c>
      <c r="C164" s="22">
        <v>153</v>
      </c>
      <c r="D164" s="22">
        <v>1531</v>
      </c>
      <c r="E164" s="28" t="s">
        <v>67</v>
      </c>
      <c r="F164" s="21" t="s">
        <v>70</v>
      </c>
      <c r="G164" s="19" t="s">
        <v>1742</v>
      </c>
      <c r="H164" s="19" t="s">
        <v>1743</v>
      </c>
      <c r="I164" s="19" t="s">
        <v>1743</v>
      </c>
      <c r="J164" s="19" t="s">
        <v>1744</v>
      </c>
    </row>
    <row r="165" spans="1:10" ht="33.6">
      <c r="A165" s="17" t="s">
        <v>66</v>
      </c>
      <c r="B165" s="20">
        <v>15</v>
      </c>
      <c r="C165" s="22">
        <v>153</v>
      </c>
      <c r="D165" s="22">
        <v>1532</v>
      </c>
      <c r="E165" s="28" t="s">
        <v>67</v>
      </c>
      <c r="F165" s="21" t="s">
        <v>70</v>
      </c>
      <c r="G165" s="19" t="s">
        <v>1742</v>
      </c>
      <c r="H165" s="19" t="s">
        <v>1745</v>
      </c>
      <c r="I165" s="19" t="s">
        <v>1745</v>
      </c>
      <c r="J165" s="19" t="s">
        <v>1746</v>
      </c>
    </row>
    <row r="166" spans="1:10" ht="34.8">
      <c r="A166" s="17" t="s">
        <v>66</v>
      </c>
      <c r="B166" s="20">
        <v>15</v>
      </c>
      <c r="C166" s="22">
        <v>153</v>
      </c>
      <c r="D166" s="22">
        <v>1533</v>
      </c>
      <c r="E166" s="28" t="s">
        <v>67</v>
      </c>
      <c r="F166" s="21" t="s">
        <v>70</v>
      </c>
      <c r="G166" s="19" t="s">
        <v>1742</v>
      </c>
      <c r="H166" s="19" t="s">
        <v>1747</v>
      </c>
      <c r="I166" s="19" t="s">
        <v>1747</v>
      </c>
      <c r="J166" s="19" t="s">
        <v>1748</v>
      </c>
    </row>
    <row r="167" spans="1:10" ht="55.2">
      <c r="A167" s="17" t="s">
        <v>66</v>
      </c>
      <c r="B167" s="20">
        <v>15</v>
      </c>
      <c r="C167" s="22">
        <v>153</v>
      </c>
      <c r="D167" s="22">
        <v>1534</v>
      </c>
      <c r="E167" s="28" t="s">
        <v>67</v>
      </c>
      <c r="F167" s="21" t="s">
        <v>70</v>
      </c>
      <c r="G167" s="19" t="s">
        <v>1742</v>
      </c>
      <c r="H167" s="19" t="s">
        <v>1749</v>
      </c>
      <c r="I167" s="19" t="s">
        <v>1749</v>
      </c>
      <c r="J167" s="19" t="s">
        <v>1750</v>
      </c>
    </row>
    <row r="168" spans="1:10" ht="24">
      <c r="A168" s="17" t="s">
        <v>66</v>
      </c>
      <c r="B168" s="20">
        <v>15</v>
      </c>
      <c r="C168" s="22">
        <v>153</v>
      </c>
      <c r="D168" s="22">
        <v>1535</v>
      </c>
      <c r="E168" s="28" t="s">
        <v>67</v>
      </c>
      <c r="F168" s="21" t="s">
        <v>70</v>
      </c>
      <c r="G168" s="19" t="s">
        <v>1742</v>
      </c>
      <c r="H168" s="19" t="s">
        <v>1751</v>
      </c>
      <c r="I168" s="19" t="s">
        <v>1751</v>
      </c>
      <c r="J168" s="19" t="s">
        <v>1752</v>
      </c>
    </row>
    <row r="169" spans="1:10" ht="22.8">
      <c r="A169" s="17" t="s">
        <v>66</v>
      </c>
      <c r="B169" s="20">
        <v>15</v>
      </c>
      <c r="C169" s="22">
        <v>153</v>
      </c>
      <c r="D169" s="22">
        <v>1539</v>
      </c>
      <c r="E169" s="28" t="s">
        <v>67</v>
      </c>
      <c r="F169" s="21" t="s">
        <v>70</v>
      </c>
      <c r="G169" s="19" t="s">
        <v>1742</v>
      </c>
      <c r="H169" s="19" t="s">
        <v>1753</v>
      </c>
      <c r="I169" s="19" t="s">
        <v>1753</v>
      </c>
      <c r="J169" s="19" t="s">
        <v>1754</v>
      </c>
    </row>
    <row r="170" spans="1:10" ht="22.8">
      <c r="A170" s="17" t="s">
        <v>66</v>
      </c>
      <c r="B170" s="20">
        <v>15</v>
      </c>
      <c r="C170" s="22">
        <v>154</v>
      </c>
      <c r="D170" s="22">
        <v>1540</v>
      </c>
      <c r="E170" s="28" t="s">
        <v>67</v>
      </c>
      <c r="F170" s="21" t="s">
        <v>70</v>
      </c>
      <c r="G170" s="19" t="s">
        <v>1755</v>
      </c>
      <c r="H170" s="19" t="s">
        <v>1755</v>
      </c>
      <c r="I170" s="19" t="s">
        <v>1755</v>
      </c>
      <c r="J170" s="19" t="s">
        <v>1756</v>
      </c>
    </row>
    <row r="171" spans="1:10" ht="21.6">
      <c r="A171" s="17" t="s">
        <v>66</v>
      </c>
      <c r="B171" s="20">
        <v>16</v>
      </c>
      <c r="C171" s="22" t="s"/>
      <c r="D171" s="20" t="s"/>
      <c r="E171" s="28" t="s">
        <v>67</v>
      </c>
      <c r="F171" s="21" t="s">
        <v>72</v>
      </c>
      <c r="G171" s="20" t="s"/>
      <c r="H171" s="29" t="s"/>
      <c r="I171" s="21" t="s">
        <v>72</v>
      </c>
      <c r="J171" s="27" t="s"/>
    </row>
    <row r="172" spans="1:10" ht="21.6">
      <c r="A172" s="17" t="s">
        <v>66</v>
      </c>
      <c r="B172" s="20">
        <v>16</v>
      </c>
      <c r="C172" s="22">
        <v>161</v>
      </c>
      <c r="D172" s="22">
        <v>1610</v>
      </c>
      <c r="E172" s="28" t="s">
        <v>67</v>
      </c>
      <c r="F172" s="21" t="s">
        <v>72</v>
      </c>
      <c r="G172" s="19" t="s">
        <v>1757</v>
      </c>
      <c r="H172" s="19" t="s">
        <v>1757</v>
      </c>
      <c r="I172" s="19" t="s">
        <v>1757</v>
      </c>
      <c r="J172" s="19" t="s">
        <v>1758</v>
      </c>
    </row>
    <row r="173" spans="1:10" ht="22.8">
      <c r="A173" s="17" t="s">
        <v>66</v>
      </c>
      <c r="B173" s="20">
        <v>16</v>
      </c>
      <c r="C173" s="22">
        <v>162</v>
      </c>
      <c r="D173" s="22">
        <v>1620</v>
      </c>
      <c r="E173" s="28" t="s">
        <v>67</v>
      </c>
      <c r="F173" s="21" t="s">
        <v>72</v>
      </c>
      <c r="G173" s="19" t="s">
        <v>1759</v>
      </c>
      <c r="H173" s="19" t="s">
        <v>1759</v>
      </c>
      <c r="I173" s="19" t="s">
        <v>1759</v>
      </c>
      <c r="J173" s="19" t="s">
        <v>1760</v>
      </c>
    </row>
    <row r="174" spans="1:10" ht="22.8">
      <c r="A174" s="17" t="s">
        <v>66</v>
      </c>
      <c r="B174" s="20">
        <v>16</v>
      </c>
      <c r="C174" s="22">
        <v>169</v>
      </c>
      <c r="D174" s="22">
        <v>1690</v>
      </c>
      <c r="E174" s="28" t="s">
        <v>67</v>
      </c>
      <c r="F174" s="21" t="s">
        <v>72</v>
      </c>
      <c r="G174" s="19" t="s">
        <v>1761</v>
      </c>
      <c r="H174" s="19" t="s">
        <v>1761</v>
      </c>
      <c r="I174" s="19" t="s">
        <v>1761</v>
      </c>
      <c r="J174" s="27" t="s"/>
    </row>
    <row r="175" spans="1:10" ht="15.6">
      <c r="A175" s="17" t="s">
        <v>66</v>
      </c>
      <c r="B175" s="20">
        <v>17</v>
      </c>
      <c r="C175" s="22" t="s"/>
      <c r="D175" s="20" t="s"/>
      <c r="E175" s="28" t="s">
        <v>67</v>
      </c>
      <c r="F175" s="21" t="s">
        <v>73</v>
      </c>
      <c r="G175" s="20" t="s"/>
      <c r="H175" s="29" t="s"/>
      <c r="I175" s="21" t="s">
        <v>73</v>
      </c>
      <c r="J175" s="27" t="s"/>
    </row>
    <row r="176" spans="1:10" ht="22.8">
      <c r="A176" s="17" t="s">
        <v>66</v>
      </c>
      <c r="B176" s="20">
        <v>17</v>
      </c>
      <c r="C176" s="22">
        <v>171</v>
      </c>
      <c r="D176" s="22" t="s"/>
      <c r="E176" s="28" t="s">
        <v>67</v>
      </c>
      <c r="F176" s="21" t="s">
        <v>73</v>
      </c>
      <c r="G176" s="19" t="s">
        <v>1762</v>
      </c>
      <c r="H176" s="29" t="s"/>
      <c r="I176" s="19" t="s">
        <v>1762</v>
      </c>
      <c r="J176" s="27" t="s"/>
    </row>
    <row r="177" spans="1:10" ht="22.8">
      <c r="A177" s="17" t="s">
        <v>66</v>
      </c>
      <c r="B177" s="20">
        <v>17</v>
      </c>
      <c r="C177" s="22">
        <v>171</v>
      </c>
      <c r="D177" s="22">
        <v>1711</v>
      </c>
      <c r="E177" s="28" t="s">
        <v>67</v>
      </c>
      <c r="F177" s="21" t="s">
        <v>73</v>
      </c>
      <c r="G177" s="19" t="s">
        <v>1762</v>
      </c>
      <c r="H177" s="19" t="s">
        <v>1763</v>
      </c>
      <c r="I177" s="19" t="s">
        <v>1763</v>
      </c>
      <c r="J177" s="19" t="s">
        <v>1764</v>
      </c>
    </row>
    <row r="178" spans="1:10" ht="22.8">
      <c r="A178" s="17" t="s">
        <v>66</v>
      </c>
      <c r="B178" s="20">
        <v>17</v>
      </c>
      <c r="C178" s="22">
        <v>171</v>
      </c>
      <c r="D178" s="22">
        <v>1712</v>
      </c>
      <c r="E178" s="28" t="s">
        <v>67</v>
      </c>
      <c r="F178" s="21" t="s">
        <v>73</v>
      </c>
      <c r="G178" s="19" t="s">
        <v>1762</v>
      </c>
      <c r="H178" s="19" t="s">
        <v>1765</v>
      </c>
      <c r="I178" s="19" t="s">
        <v>1765</v>
      </c>
      <c r="J178" s="19" t="s">
        <v>1766</v>
      </c>
    </row>
    <row r="179" spans="1:10" ht="22.8">
      <c r="A179" s="17" t="s">
        <v>66</v>
      </c>
      <c r="B179" s="20">
        <v>17</v>
      </c>
      <c r="C179" s="22">
        <v>172</v>
      </c>
      <c r="D179" s="22" t="s"/>
      <c r="E179" s="28" t="s">
        <v>67</v>
      </c>
      <c r="F179" s="21" t="s">
        <v>73</v>
      </c>
      <c r="G179" s="19" t="s">
        <v>1767</v>
      </c>
      <c r="H179" s="29" t="s"/>
      <c r="I179" s="19" t="s">
        <v>1767</v>
      </c>
      <c r="J179" s="27" t="s"/>
    </row>
    <row r="180" spans="1:10" ht="22.8">
      <c r="A180" s="17" t="s">
        <v>66</v>
      </c>
      <c r="B180" s="20">
        <v>17</v>
      </c>
      <c r="C180" s="22">
        <v>172</v>
      </c>
      <c r="D180" s="22">
        <v>1721</v>
      </c>
      <c r="E180" s="28" t="s">
        <v>67</v>
      </c>
      <c r="F180" s="21" t="s">
        <v>73</v>
      </c>
      <c r="G180" s="19" t="s">
        <v>1767</v>
      </c>
      <c r="H180" s="19" t="s">
        <v>1768</v>
      </c>
      <c r="I180" s="19" t="s">
        <v>1768</v>
      </c>
      <c r="J180" s="19" t="s">
        <v>1769</v>
      </c>
    </row>
    <row r="181" spans="1:10" ht="22.8">
      <c r="A181" s="17" t="s">
        <v>66</v>
      </c>
      <c r="B181" s="20">
        <v>17</v>
      </c>
      <c r="C181" s="22">
        <v>172</v>
      </c>
      <c r="D181" s="22">
        <v>1722</v>
      </c>
      <c r="E181" s="28" t="s">
        <v>67</v>
      </c>
      <c r="F181" s="21" t="s">
        <v>73</v>
      </c>
      <c r="G181" s="19" t="s">
        <v>1767</v>
      </c>
      <c r="H181" s="19" t="s">
        <v>1770</v>
      </c>
      <c r="I181" s="19" t="s">
        <v>1770</v>
      </c>
      <c r="J181" s="19" t="s">
        <v>1771</v>
      </c>
    </row>
    <row r="182" spans="1:10" ht="22.8">
      <c r="A182" s="17" t="s">
        <v>66</v>
      </c>
      <c r="B182" s="20">
        <v>17</v>
      </c>
      <c r="C182" s="22">
        <v>172</v>
      </c>
      <c r="D182" s="22">
        <v>1723</v>
      </c>
      <c r="E182" s="28" t="s">
        <v>67</v>
      </c>
      <c r="F182" s="21" t="s">
        <v>73</v>
      </c>
      <c r="G182" s="19" t="s">
        <v>1767</v>
      </c>
      <c r="H182" s="19" t="s">
        <v>1772</v>
      </c>
      <c r="I182" s="19" t="s">
        <v>1772</v>
      </c>
      <c r="J182" s="19" t="s">
        <v>1773</v>
      </c>
    </row>
    <row r="183" spans="1:10" ht="15.6">
      <c r="A183" s="17" t="s">
        <v>66</v>
      </c>
      <c r="B183" s="20">
        <v>17</v>
      </c>
      <c r="C183" s="22">
        <v>173</v>
      </c>
      <c r="D183" s="22">
        <v>1730</v>
      </c>
      <c r="E183" s="28" t="s">
        <v>67</v>
      </c>
      <c r="F183" s="21" t="s">
        <v>73</v>
      </c>
      <c r="G183" s="19" t="s">
        <v>1774</v>
      </c>
      <c r="H183" s="19" t="s">
        <v>1774</v>
      </c>
      <c r="I183" s="19" t="s">
        <v>1774</v>
      </c>
      <c r="J183" s="19" t="s">
        <v>1775</v>
      </c>
    </row>
    <row r="184" spans="1:10" ht="22.8">
      <c r="A184" s="17" t="s">
        <v>66</v>
      </c>
      <c r="B184" s="20">
        <v>17</v>
      </c>
      <c r="C184" s="22">
        <v>174</v>
      </c>
      <c r="D184" s="22" t="s"/>
      <c r="E184" s="28" t="s">
        <v>67</v>
      </c>
      <c r="F184" s="21" t="s">
        <v>73</v>
      </c>
      <c r="G184" s="19" t="s">
        <v>1776</v>
      </c>
      <c r="H184" s="29" t="s"/>
      <c r="I184" s="19" t="s">
        <v>1776</v>
      </c>
      <c r="J184" s="27" t="s"/>
    </row>
    <row r="185" spans="1:10" ht="22.8">
      <c r="A185" s="17" t="s">
        <v>66</v>
      </c>
      <c r="B185" s="20">
        <v>17</v>
      </c>
      <c r="C185" s="22">
        <v>174</v>
      </c>
      <c r="D185" s="22">
        <v>1741</v>
      </c>
      <c r="E185" s="28" t="s">
        <v>67</v>
      </c>
      <c r="F185" s="21" t="s">
        <v>73</v>
      </c>
      <c r="G185" s="19" t="s">
        <v>1776</v>
      </c>
      <c r="H185" s="19" t="s">
        <v>1777</v>
      </c>
      <c r="I185" s="19" t="s">
        <v>1777</v>
      </c>
      <c r="J185" s="19" t="s">
        <v>1778</v>
      </c>
    </row>
    <row r="186" spans="1:10" ht="22.8">
      <c r="A186" s="17" t="s">
        <v>66</v>
      </c>
      <c r="B186" s="20">
        <v>17</v>
      </c>
      <c r="C186" s="22">
        <v>174</v>
      </c>
      <c r="D186" s="22">
        <v>1742</v>
      </c>
      <c r="E186" s="28" t="s">
        <v>67</v>
      </c>
      <c r="F186" s="21" t="s">
        <v>73</v>
      </c>
      <c r="G186" s="19" t="s">
        <v>1776</v>
      </c>
      <c r="H186" s="19" t="s">
        <v>1779</v>
      </c>
      <c r="I186" s="19" t="s">
        <v>1779</v>
      </c>
      <c r="J186" s="19" t="s">
        <v>1780</v>
      </c>
    </row>
    <row r="187" spans="1:10" ht="22.8">
      <c r="A187" s="17" t="s">
        <v>66</v>
      </c>
      <c r="B187" s="20">
        <v>17</v>
      </c>
      <c r="C187" s="22">
        <v>174</v>
      </c>
      <c r="D187" s="22">
        <v>1743</v>
      </c>
      <c r="E187" s="28" t="s">
        <v>67</v>
      </c>
      <c r="F187" s="21" t="s">
        <v>73</v>
      </c>
      <c r="G187" s="19" t="s">
        <v>1776</v>
      </c>
      <c r="H187" s="19" t="s">
        <v>1781</v>
      </c>
      <c r="I187" s="19" t="s">
        <v>1781</v>
      </c>
      <c r="J187" s="19" t="s">
        <v>1782</v>
      </c>
    </row>
    <row r="188" spans="1:10" ht="22.8">
      <c r="A188" s="17" t="s">
        <v>66</v>
      </c>
      <c r="B188" s="20">
        <v>17</v>
      </c>
      <c r="C188" s="22">
        <v>175</v>
      </c>
      <c r="D188" s="22" t="s"/>
      <c r="E188" s="28" t="s">
        <v>67</v>
      </c>
      <c r="F188" s="21" t="s">
        <v>73</v>
      </c>
      <c r="G188" s="19" t="s">
        <v>1783</v>
      </c>
      <c r="H188" s="29" t="s"/>
      <c r="I188" s="19" t="s">
        <v>1783</v>
      </c>
      <c r="J188" s="19" t="s">
        <v>1784</v>
      </c>
    </row>
    <row r="189" spans="1:10" ht="22.8">
      <c r="A189" s="17" t="s">
        <v>66</v>
      </c>
      <c r="B189" s="20">
        <v>17</v>
      </c>
      <c r="C189" s="22">
        <v>175</v>
      </c>
      <c r="D189" s="22">
        <v>1751</v>
      </c>
      <c r="E189" s="28" t="s">
        <v>67</v>
      </c>
      <c r="F189" s="21" t="s">
        <v>73</v>
      </c>
      <c r="G189" s="19" t="s">
        <v>1783</v>
      </c>
      <c r="H189" s="19" t="s">
        <v>1785</v>
      </c>
      <c r="I189" s="19" t="s">
        <v>1785</v>
      </c>
      <c r="J189" s="27" t="s"/>
    </row>
    <row r="190" spans="1:10" ht="22.8">
      <c r="A190" s="17" t="s">
        <v>66</v>
      </c>
      <c r="B190" s="20">
        <v>17</v>
      </c>
      <c r="C190" s="22">
        <v>175</v>
      </c>
      <c r="D190" s="22">
        <v>1752</v>
      </c>
      <c r="E190" s="28" t="s">
        <v>67</v>
      </c>
      <c r="F190" s="21" t="s">
        <v>73</v>
      </c>
      <c r="G190" s="19" t="s">
        <v>1783</v>
      </c>
      <c r="H190" s="19" t="s">
        <v>1786</v>
      </c>
      <c r="I190" s="19" t="s">
        <v>1786</v>
      </c>
      <c r="J190" s="27" t="s"/>
    </row>
    <row r="191" spans="1:10" ht="22.8">
      <c r="A191" s="17" t="s">
        <v>66</v>
      </c>
      <c r="B191" s="20">
        <v>17</v>
      </c>
      <c r="C191" s="22">
        <v>175</v>
      </c>
      <c r="D191" s="22">
        <v>1753</v>
      </c>
      <c r="E191" s="28" t="s">
        <v>67</v>
      </c>
      <c r="F191" s="21" t="s">
        <v>73</v>
      </c>
      <c r="G191" s="19" t="s">
        <v>1783</v>
      </c>
      <c r="H191" s="19" t="s">
        <v>1787</v>
      </c>
      <c r="I191" s="19" t="s">
        <v>1787</v>
      </c>
      <c r="J191" s="19" t="s"/>
    </row>
    <row r="192" spans="1:10" ht="22.8">
      <c r="A192" s="17" t="s">
        <v>66</v>
      </c>
      <c r="B192" s="20">
        <v>17</v>
      </c>
      <c r="C192" s="22">
        <v>175</v>
      </c>
      <c r="D192" s="22">
        <v>1754</v>
      </c>
      <c r="E192" s="28" t="s">
        <v>67</v>
      </c>
      <c r="F192" s="21" t="s">
        <v>73</v>
      </c>
      <c r="G192" s="19" t="s">
        <v>1783</v>
      </c>
      <c r="H192" s="19" t="s">
        <v>1788</v>
      </c>
      <c r="I192" s="19" t="s">
        <v>1788</v>
      </c>
      <c r="J192" s="27" t="s"/>
    </row>
    <row r="193" spans="1:10" ht="22.8">
      <c r="A193" s="17" t="s">
        <v>66</v>
      </c>
      <c r="B193" s="20">
        <v>17</v>
      </c>
      <c r="C193" s="22">
        <v>175</v>
      </c>
      <c r="D193" s="22">
        <v>1755</v>
      </c>
      <c r="E193" s="28" t="s">
        <v>67</v>
      </c>
      <c r="F193" s="21" t="s">
        <v>73</v>
      </c>
      <c r="G193" s="19" t="s">
        <v>1783</v>
      </c>
      <c r="H193" s="19" t="s">
        <v>1789</v>
      </c>
      <c r="I193" s="19" t="s">
        <v>1789</v>
      </c>
      <c r="J193" s="19" t="s">
        <v>1790</v>
      </c>
    </row>
    <row r="194" spans="1:10" ht="22.8">
      <c r="A194" s="17" t="s">
        <v>66</v>
      </c>
      <c r="B194" s="20">
        <v>17</v>
      </c>
      <c r="C194" s="22">
        <v>175</v>
      </c>
      <c r="D194" s="22">
        <v>1756</v>
      </c>
      <c r="E194" s="28" t="s">
        <v>67</v>
      </c>
      <c r="F194" s="21" t="s">
        <v>73</v>
      </c>
      <c r="G194" s="19" t="s">
        <v>1783</v>
      </c>
      <c r="H194" s="19" t="s">
        <v>1791</v>
      </c>
      <c r="I194" s="19" t="s">
        <v>1791</v>
      </c>
      <c r="J194" s="27" t="s"/>
    </row>
    <row r="195" spans="1:10" ht="22.8">
      <c r="A195" s="17" t="s">
        <v>66</v>
      </c>
      <c r="B195" s="20">
        <v>17</v>
      </c>
      <c r="C195" s="22">
        <v>175</v>
      </c>
      <c r="D195" s="22">
        <v>1757</v>
      </c>
      <c r="E195" s="28" t="s">
        <v>67</v>
      </c>
      <c r="F195" s="21" t="s">
        <v>73</v>
      </c>
      <c r="G195" s="19" t="s">
        <v>1783</v>
      </c>
      <c r="H195" s="19" t="s">
        <v>1792</v>
      </c>
      <c r="I195" s="19" t="s">
        <v>1792</v>
      </c>
      <c r="J195" s="19" t="s">
        <v>1793</v>
      </c>
    </row>
    <row r="196" spans="1:10" ht="22.8">
      <c r="A196" s="17" t="s">
        <v>66</v>
      </c>
      <c r="B196" s="20">
        <v>17</v>
      </c>
      <c r="C196" s="22">
        <v>175</v>
      </c>
      <c r="D196" s="22">
        <v>1759</v>
      </c>
      <c r="E196" s="28" t="s">
        <v>67</v>
      </c>
      <c r="F196" s="21" t="s">
        <v>73</v>
      </c>
      <c r="G196" s="19" t="s">
        <v>1783</v>
      </c>
      <c r="H196" s="19" t="s">
        <v>1794</v>
      </c>
      <c r="I196" s="19" t="s">
        <v>1794</v>
      </c>
      <c r="J196" s="19" t="s">
        <v>1795</v>
      </c>
    </row>
    <row r="197" spans="1:10" ht="33.6">
      <c r="A197" s="17" t="s">
        <v>66</v>
      </c>
      <c r="B197" s="20">
        <v>17</v>
      </c>
      <c r="C197" s="22">
        <v>176</v>
      </c>
      <c r="D197" s="22" t="s"/>
      <c r="E197" s="28" t="s">
        <v>67</v>
      </c>
      <c r="F197" s="21" t="s">
        <v>73</v>
      </c>
      <c r="G197" s="19" t="s">
        <v>1796</v>
      </c>
      <c r="H197" s="29" t="s"/>
      <c r="I197" s="19" t="s">
        <v>1796</v>
      </c>
      <c r="J197" s="19" t="s">
        <v>1797</v>
      </c>
    </row>
    <row r="198" spans="1:10" ht="33.6">
      <c r="A198" s="17" t="s">
        <v>66</v>
      </c>
      <c r="B198" s="20">
        <v>17</v>
      </c>
      <c r="C198" s="22">
        <v>176</v>
      </c>
      <c r="D198" s="22">
        <v>1761</v>
      </c>
      <c r="E198" s="28" t="s">
        <v>67</v>
      </c>
      <c r="F198" s="21" t="s">
        <v>73</v>
      </c>
      <c r="G198" s="19" t="s">
        <v>1796</v>
      </c>
      <c r="H198" s="19" t="s">
        <v>1798</v>
      </c>
      <c r="I198" s="19" t="s">
        <v>1798</v>
      </c>
      <c r="J198" s="19" t="s">
        <v>1799</v>
      </c>
    </row>
    <row r="199" spans="1:10" ht="33.6">
      <c r="A199" s="17" t="s">
        <v>66</v>
      </c>
      <c r="B199" s="20">
        <v>17</v>
      </c>
      <c r="C199" s="22">
        <v>176</v>
      </c>
      <c r="D199" s="22">
        <v>1762</v>
      </c>
      <c r="E199" s="28" t="s">
        <v>67</v>
      </c>
      <c r="F199" s="21" t="s">
        <v>73</v>
      </c>
      <c r="G199" s="19" t="s">
        <v>1796</v>
      </c>
      <c r="H199" s="19" t="s">
        <v>1800</v>
      </c>
      <c r="I199" s="19" t="s">
        <v>1800</v>
      </c>
      <c r="J199" s="19" t="s">
        <v>1801</v>
      </c>
    </row>
    <row r="200" spans="1:10" ht="33.6">
      <c r="A200" s="17" t="s">
        <v>66</v>
      </c>
      <c r="B200" s="20">
        <v>17</v>
      </c>
      <c r="C200" s="22">
        <v>176</v>
      </c>
      <c r="D200" s="22">
        <v>1763</v>
      </c>
      <c r="E200" s="28" t="s">
        <v>67</v>
      </c>
      <c r="F200" s="21" t="s">
        <v>73</v>
      </c>
      <c r="G200" s="19" t="s">
        <v>1796</v>
      </c>
      <c r="H200" s="19" t="s">
        <v>1802</v>
      </c>
      <c r="I200" s="19" t="s">
        <v>1802</v>
      </c>
      <c r="J200" s="19" t="s">
        <v>1803</v>
      </c>
    </row>
    <row r="201" spans="1:10" ht="33.6">
      <c r="A201" s="17" t="s">
        <v>66</v>
      </c>
      <c r="B201" s="20">
        <v>17</v>
      </c>
      <c r="C201" s="22">
        <v>176</v>
      </c>
      <c r="D201" s="22">
        <v>1769</v>
      </c>
      <c r="E201" s="28" t="s">
        <v>67</v>
      </c>
      <c r="F201" s="21" t="s">
        <v>73</v>
      </c>
      <c r="G201" s="19" t="s">
        <v>1796</v>
      </c>
      <c r="H201" s="19" t="s">
        <v>1804</v>
      </c>
      <c r="I201" s="19" t="s">
        <v>1804</v>
      </c>
      <c r="J201" s="27" t="s"/>
    </row>
    <row r="202" spans="1:10" ht="32.4">
      <c r="A202" s="17" t="s">
        <v>66</v>
      </c>
      <c r="B202" s="20">
        <v>18</v>
      </c>
      <c r="C202" s="22" t="s"/>
      <c r="D202" s="20" t="s"/>
      <c r="E202" s="28" t="s">
        <v>67</v>
      </c>
      <c r="F202" s="21" t="s">
        <v>74</v>
      </c>
      <c r="G202" s="20" t="s"/>
      <c r="H202" s="29" t="s"/>
      <c r="I202" s="21" t="s">
        <v>74</v>
      </c>
      <c r="J202" s="27" t="s"/>
    </row>
    <row r="203" spans="1:10" ht="33.6">
      <c r="A203" s="17" t="s">
        <v>66</v>
      </c>
      <c r="B203" s="20">
        <v>18</v>
      </c>
      <c r="C203" s="22">
        <v>181</v>
      </c>
      <c r="D203" s="22">
        <v>1810</v>
      </c>
      <c r="E203" s="28" t="s">
        <v>67</v>
      </c>
      <c r="F203" s="21" t="s">
        <v>74</v>
      </c>
      <c r="G203" s="19" t="s">
        <v>1805</v>
      </c>
      <c r="H203" s="19" t="s">
        <v>1805</v>
      </c>
      <c r="I203" s="19" t="s">
        <v>1805</v>
      </c>
      <c r="J203" s="19" t="s">
        <v>1806</v>
      </c>
    </row>
    <row r="204" spans="1:10" ht="32.4">
      <c r="A204" s="17" t="s">
        <v>66</v>
      </c>
      <c r="B204" s="20">
        <v>18</v>
      </c>
      <c r="C204" s="22">
        <v>182</v>
      </c>
      <c r="D204" s="22">
        <v>1820</v>
      </c>
      <c r="E204" s="28" t="s">
        <v>67</v>
      </c>
      <c r="F204" s="21" t="s">
        <v>74</v>
      </c>
      <c r="G204" s="19" t="s">
        <v>1807</v>
      </c>
      <c r="H204" s="19" t="s">
        <v>1807</v>
      </c>
      <c r="I204" s="19" t="s">
        <v>1807</v>
      </c>
      <c r="J204" s="19" t="s">
        <v>1808</v>
      </c>
    </row>
    <row r="205" spans="1:10" ht="32.4">
      <c r="A205" s="17" t="s">
        <v>66</v>
      </c>
      <c r="B205" s="20">
        <v>18</v>
      </c>
      <c r="C205" s="22">
        <v>183</v>
      </c>
      <c r="D205" s="22">
        <v>1830</v>
      </c>
      <c r="E205" s="28" t="s">
        <v>67</v>
      </c>
      <c r="F205" s="21" t="s">
        <v>74</v>
      </c>
      <c r="G205" s="19" t="s">
        <v>1809</v>
      </c>
      <c r="H205" s="19" t="s">
        <v>1809</v>
      </c>
      <c r="I205" s="19" t="s">
        <v>1809</v>
      </c>
      <c r="J205" s="19" t="s">
        <v>1810</v>
      </c>
    </row>
    <row r="206" spans="1:10" ht="43.8">
      <c r="A206" s="17" t="s">
        <v>66</v>
      </c>
      <c r="B206" s="20">
        <v>19</v>
      </c>
      <c r="C206" s="22" t="s"/>
      <c r="D206" s="20" t="s"/>
      <c r="E206" s="28" t="s">
        <v>67</v>
      </c>
      <c r="F206" s="21" t="s">
        <v>1811</v>
      </c>
      <c r="G206" s="20" t="s"/>
      <c r="H206" s="29" t="s"/>
      <c r="I206" s="21" t="s">
        <v>1811</v>
      </c>
      <c r="J206" s="19" t="s"/>
    </row>
    <row r="207" spans="1:10" ht="43.8">
      <c r="A207" s="17" t="s">
        <v>66</v>
      </c>
      <c r="B207" s="20">
        <v>19</v>
      </c>
      <c r="C207" s="22">
        <v>191</v>
      </c>
      <c r="D207" s="22">
        <v>1910</v>
      </c>
      <c r="E207" s="28" t="s">
        <v>67</v>
      </c>
      <c r="F207" s="21" t="s">
        <v>1811</v>
      </c>
      <c r="G207" s="19" t="s">
        <v>1812</v>
      </c>
      <c r="H207" s="19" t="s">
        <v>1812</v>
      </c>
      <c r="I207" s="19" t="s">
        <v>1812</v>
      </c>
      <c r="J207" s="19" t="s">
        <v>1813</v>
      </c>
    </row>
    <row r="208" spans="1:10" ht="43.8">
      <c r="A208" s="17" t="s">
        <v>66</v>
      </c>
      <c r="B208" s="20">
        <v>19</v>
      </c>
      <c r="C208" s="22">
        <v>192</v>
      </c>
      <c r="D208" s="22" t="s"/>
      <c r="E208" s="28" t="s">
        <v>67</v>
      </c>
      <c r="F208" s="21" t="s">
        <v>1811</v>
      </c>
      <c r="G208" s="19" t="s">
        <v>1814</v>
      </c>
      <c r="H208" s="29" t="s"/>
      <c r="I208" s="19" t="s">
        <v>1814</v>
      </c>
      <c r="J208" s="27" t="s"/>
    </row>
    <row r="209" spans="1:10" ht="43.8">
      <c r="A209" s="17" t="s">
        <v>66</v>
      </c>
      <c r="B209" s="20">
        <v>19</v>
      </c>
      <c r="C209" s="22">
        <v>192</v>
      </c>
      <c r="D209" s="22">
        <v>1921</v>
      </c>
      <c r="E209" s="28" t="s">
        <v>67</v>
      </c>
      <c r="F209" s="21" t="s">
        <v>1811</v>
      </c>
      <c r="G209" s="19" t="s">
        <v>1814</v>
      </c>
      <c r="H209" s="19" t="s">
        <v>1815</v>
      </c>
      <c r="I209" s="19" t="s">
        <v>1815</v>
      </c>
      <c r="J209" s="19" t="s">
        <v>1816</v>
      </c>
    </row>
    <row r="210" spans="1:10" ht="43.8">
      <c r="A210" s="17" t="s">
        <v>66</v>
      </c>
      <c r="B210" s="20">
        <v>19</v>
      </c>
      <c r="C210" s="22">
        <v>192</v>
      </c>
      <c r="D210" s="22">
        <v>1922</v>
      </c>
      <c r="E210" s="28" t="s">
        <v>67</v>
      </c>
      <c r="F210" s="21" t="s">
        <v>1811</v>
      </c>
      <c r="G210" s="19" t="s">
        <v>1814</v>
      </c>
      <c r="H210" s="19" t="s">
        <v>1817</v>
      </c>
      <c r="I210" s="19" t="s">
        <v>1817</v>
      </c>
      <c r="J210" s="19" t="s">
        <v>1818</v>
      </c>
    </row>
    <row r="211" spans="1:10" ht="43.8">
      <c r="A211" s="17" t="s">
        <v>66</v>
      </c>
      <c r="B211" s="20">
        <v>19</v>
      </c>
      <c r="C211" s="22">
        <v>192</v>
      </c>
      <c r="D211" s="22">
        <v>1923</v>
      </c>
      <c r="E211" s="28" t="s">
        <v>67</v>
      </c>
      <c r="F211" s="21" t="s">
        <v>1811</v>
      </c>
      <c r="G211" s="19" t="s">
        <v>1814</v>
      </c>
      <c r="H211" s="19" t="s">
        <v>1819</v>
      </c>
      <c r="I211" s="19" t="s">
        <v>1819</v>
      </c>
      <c r="J211" s="19" t="s">
        <v>1820</v>
      </c>
    </row>
    <row r="212" spans="1:10" ht="43.8">
      <c r="A212" s="17" t="s">
        <v>66</v>
      </c>
      <c r="B212" s="20">
        <v>19</v>
      </c>
      <c r="C212" s="22">
        <v>192</v>
      </c>
      <c r="D212" s="22">
        <v>1924</v>
      </c>
      <c r="E212" s="28" t="s">
        <v>67</v>
      </c>
      <c r="F212" s="21" t="s">
        <v>1811</v>
      </c>
      <c r="G212" s="19" t="s">
        <v>1814</v>
      </c>
      <c r="H212" s="19" t="s">
        <v>1821</v>
      </c>
      <c r="I212" s="19" t="s">
        <v>1821</v>
      </c>
      <c r="J212" s="19" t="s">
        <v>1822</v>
      </c>
    </row>
    <row r="213" spans="1:10" ht="43.8">
      <c r="A213" s="17" t="s">
        <v>66</v>
      </c>
      <c r="B213" s="20">
        <v>19</v>
      </c>
      <c r="C213" s="22">
        <v>192</v>
      </c>
      <c r="D213" s="22">
        <v>1929</v>
      </c>
      <c r="E213" s="28" t="s">
        <v>67</v>
      </c>
      <c r="F213" s="21" t="s">
        <v>1811</v>
      </c>
      <c r="G213" s="19" t="s">
        <v>1814</v>
      </c>
      <c r="H213" s="19" t="s">
        <v>1823</v>
      </c>
      <c r="I213" s="19" t="s">
        <v>1823</v>
      </c>
      <c r="J213" s="19" t="s">
        <v>1824</v>
      </c>
    </row>
    <row r="214" spans="1:10" ht="43.8">
      <c r="A214" s="17" t="s">
        <v>66</v>
      </c>
      <c r="B214" s="20">
        <v>19</v>
      </c>
      <c r="C214" s="22">
        <v>193</v>
      </c>
      <c r="D214" s="22" t="s"/>
      <c r="E214" s="28" t="s">
        <v>67</v>
      </c>
      <c r="F214" s="21" t="s">
        <v>1811</v>
      </c>
      <c r="G214" s="19" t="s">
        <v>1825</v>
      </c>
      <c r="H214" s="29" t="s"/>
      <c r="I214" s="19" t="s">
        <v>1825</v>
      </c>
      <c r="J214" s="27" t="s"/>
    </row>
    <row r="215" spans="1:10" ht="43.8">
      <c r="A215" s="17" t="s">
        <v>66</v>
      </c>
      <c r="B215" s="20">
        <v>19</v>
      </c>
      <c r="C215" s="22">
        <v>193</v>
      </c>
      <c r="D215" s="22">
        <v>1931</v>
      </c>
      <c r="E215" s="28" t="s">
        <v>67</v>
      </c>
      <c r="F215" s="21" t="s">
        <v>1811</v>
      </c>
      <c r="G215" s="19" t="s">
        <v>1825</v>
      </c>
      <c r="H215" s="19" t="s">
        <v>1826</v>
      </c>
      <c r="I215" s="19" t="s">
        <v>1826</v>
      </c>
      <c r="J215" s="19" t="s">
        <v>1827</v>
      </c>
    </row>
    <row r="216" spans="1:10" ht="43.8">
      <c r="A216" s="17" t="s">
        <v>66</v>
      </c>
      <c r="B216" s="20">
        <v>19</v>
      </c>
      <c r="C216" s="22">
        <v>193</v>
      </c>
      <c r="D216" s="22">
        <v>1932</v>
      </c>
      <c r="E216" s="28" t="s">
        <v>67</v>
      </c>
      <c r="F216" s="21" t="s">
        <v>1811</v>
      </c>
      <c r="G216" s="19" t="s">
        <v>1825</v>
      </c>
      <c r="H216" s="19" t="s">
        <v>1828</v>
      </c>
      <c r="I216" s="19" t="s">
        <v>1828</v>
      </c>
      <c r="J216" s="19" t="s">
        <v>1829</v>
      </c>
    </row>
    <row r="217" spans="1:10" ht="43.8">
      <c r="A217" s="17" t="s">
        <v>66</v>
      </c>
      <c r="B217" s="20">
        <v>19</v>
      </c>
      <c r="C217" s="22">
        <v>193</v>
      </c>
      <c r="D217" s="22">
        <v>1939</v>
      </c>
      <c r="E217" s="28" t="s">
        <v>67</v>
      </c>
      <c r="F217" s="21" t="s">
        <v>1811</v>
      </c>
      <c r="G217" s="19" t="s">
        <v>1825</v>
      </c>
      <c r="H217" s="19" t="s">
        <v>1830</v>
      </c>
      <c r="I217" s="19" t="s">
        <v>1830</v>
      </c>
      <c r="J217" s="19" t="s">
        <v>1831</v>
      </c>
    </row>
    <row r="218" spans="1:10" ht="43.8">
      <c r="A218" s="17" t="s">
        <v>66</v>
      </c>
      <c r="B218" s="20">
        <v>19</v>
      </c>
      <c r="C218" s="22">
        <v>194</v>
      </c>
      <c r="D218" s="22" t="s"/>
      <c r="E218" s="28" t="s">
        <v>67</v>
      </c>
      <c r="F218" s="21" t="s">
        <v>1811</v>
      </c>
      <c r="G218" s="19" t="s">
        <v>1832</v>
      </c>
      <c r="H218" s="29" t="s"/>
      <c r="I218" s="19" t="s">
        <v>1832</v>
      </c>
      <c r="J218" s="27" t="s"/>
    </row>
    <row r="219" spans="1:10" ht="43.8">
      <c r="A219" s="17" t="s">
        <v>66</v>
      </c>
      <c r="B219" s="20">
        <v>19</v>
      </c>
      <c r="C219" s="22">
        <v>194</v>
      </c>
      <c r="D219" s="22">
        <v>1941</v>
      </c>
      <c r="E219" s="28" t="s">
        <v>67</v>
      </c>
      <c r="F219" s="21" t="s">
        <v>1811</v>
      </c>
      <c r="G219" s="19" t="s">
        <v>1832</v>
      </c>
      <c r="H219" s="19" t="s">
        <v>1833</v>
      </c>
      <c r="I219" s="19" t="s">
        <v>1833</v>
      </c>
      <c r="J219" s="19" t="s">
        <v>1834</v>
      </c>
    </row>
    <row r="220" spans="1:10" ht="43.8">
      <c r="A220" s="17" t="s">
        <v>66</v>
      </c>
      <c r="B220" s="20">
        <v>19</v>
      </c>
      <c r="C220" s="22">
        <v>194</v>
      </c>
      <c r="D220" s="22">
        <v>1942</v>
      </c>
      <c r="E220" s="28" t="s">
        <v>67</v>
      </c>
      <c r="F220" s="21" t="s">
        <v>1811</v>
      </c>
      <c r="G220" s="19" t="s">
        <v>1832</v>
      </c>
      <c r="H220" s="19" t="s">
        <v>1835</v>
      </c>
      <c r="I220" s="19" t="s">
        <v>1835</v>
      </c>
      <c r="J220" s="19" t="s">
        <v>1836</v>
      </c>
    </row>
    <row r="221" spans="1:10" ht="54">
      <c r="A221" s="17" t="s">
        <v>66</v>
      </c>
      <c r="B221" s="20">
        <v>20</v>
      </c>
      <c r="C221" s="22" t="s"/>
      <c r="D221" s="20" t="s"/>
      <c r="E221" s="28" t="s">
        <v>67</v>
      </c>
      <c r="F221" s="21" t="s">
        <v>75</v>
      </c>
      <c r="G221" s="20" t="s"/>
      <c r="H221" s="29" t="s"/>
      <c r="I221" s="21" t="s">
        <v>75</v>
      </c>
      <c r="J221" s="27" t="s"/>
    </row>
    <row r="222" spans="1:10" ht="54">
      <c r="A222" s="17" t="s">
        <v>66</v>
      </c>
      <c r="B222" s="20">
        <v>20</v>
      </c>
      <c r="C222" s="22">
        <v>201</v>
      </c>
      <c r="D222" s="22" t="s"/>
      <c r="E222" s="28" t="s">
        <v>67</v>
      </c>
      <c r="F222" s="21" t="s">
        <v>75</v>
      </c>
      <c r="G222" s="19" t="s">
        <v>1837</v>
      </c>
      <c r="H222" s="29" t="s"/>
      <c r="I222" s="19" t="s">
        <v>1837</v>
      </c>
      <c r="J222" s="27" t="s"/>
    </row>
    <row r="223" spans="1:10" ht="54">
      <c r="A223" s="17" t="s">
        <v>66</v>
      </c>
      <c r="B223" s="20">
        <v>20</v>
      </c>
      <c r="C223" s="22">
        <v>201</v>
      </c>
      <c r="D223" s="22">
        <v>2011</v>
      </c>
      <c r="E223" s="28" t="s">
        <v>67</v>
      </c>
      <c r="F223" s="21" t="s">
        <v>75</v>
      </c>
      <c r="G223" s="19" t="s">
        <v>1837</v>
      </c>
      <c r="H223" s="19" t="s">
        <v>1838</v>
      </c>
      <c r="I223" s="19" t="s">
        <v>1838</v>
      </c>
      <c r="J223" s="19" t="s">
        <v>1839</v>
      </c>
    </row>
    <row r="224" spans="1:10" ht="54">
      <c r="A224" s="17" t="s">
        <v>66</v>
      </c>
      <c r="B224" s="20">
        <v>20</v>
      </c>
      <c r="C224" s="22">
        <v>201</v>
      </c>
      <c r="D224" s="22">
        <v>2012</v>
      </c>
      <c r="E224" s="28" t="s">
        <v>67</v>
      </c>
      <c r="F224" s="21" t="s">
        <v>75</v>
      </c>
      <c r="G224" s="19" t="s">
        <v>1837</v>
      </c>
      <c r="H224" s="19" t="s">
        <v>1840</v>
      </c>
      <c r="I224" s="19" t="s">
        <v>1840</v>
      </c>
      <c r="J224" s="19" t="s">
        <v>1841</v>
      </c>
    </row>
    <row r="225" spans="1:10" ht="54">
      <c r="A225" s="17" t="s">
        <v>66</v>
      </c>
      <c r="B225" s="20">
        <v>20</v>
      </c>
      <c r="C225" s="22">
        <v>202</v>
      </c>
      <c r="D225" s="22" t="s"/>
      <c r="E225" s="28" t="s">
        <v>67</v>
      </c>
      <c r="F225" s="21" t="s">
        <v>75</v>
      </c>
      <c r="G225" s="19" t="s">
        <v>1842</v>
      </c>
      <c r="H225" s="29" t="s"/>
      <c r="I225" s="19" t="s">
        <v>1842</v>
      </c>
      <c r="J225" s="19" t="s">
        <v>1843</v>
      </c>
    </row>
    <row r="226" spans="1:10" ht="54">
      <c r="A226" s="17" t="s">
        <v>66</v>
      </c>
      <c r="B226" s="20">
        <v>20</v>
      </c>
      <c r="C226" s="22">
        <v>202</v>
      </c>
      <c r="D226" s="22">
        <v>2021</v>
      </c>
      <c r="E226" s="28" t="s">
        <v>67</v>
      </c>
      <c r="F226" s="21" t="s">
        <v>75</v>
      </c>
      <c r="G226" s="19" t="s">
        <v>1842</v>
      </c>
      <c r="H226" s="19" t="s">
        <v>1844</v>
      </c>
      <c r="I226" s="19" t="s">
        <v>1844</v>
      </c>
      <c r="J226" s="19" t="s">
        <v>1845</v>
      </c>
    </row>
    <row r="227" spans="1:10" ht="54">
      <c r="A227" s="17" t="s">
        <v>66</v>
      </c>
      <c r="B227" s="20">
        <v>20</v>
      </c>
      <c r="C227" s="22">
        <v>202</v>
      </c>
      <c r="D227" s="22">
        <v>2022</v>
      </c>
      <c r="E227" s="28" t="s">
        <v>67</v>
      </c>
      <c r="F227" s="21" t="s">
        <v>75</v>
      </c>
      <c r="G227" s="19" t="s">
        <v>1842</v>
      </c>
      <c r="H227" s="19" t="s">
        <v>1846</v>
      </c>
      <c r="I227" s="19" t="s">
        <v>1846</v>
      </c>
      <c r="J227" s="19" t="s">
        <v>1847</v>
      </c>
    </row>
    <row r="228" spans="1:10" ht="54">
      <c r="A228" s="17" t="s">
        <v>66</v>
      </c>
      <c r="B228" s="20">
        <v>20</v>
      </c>
      <c r="C228" s="22">
        <v>202</v>
      </c>
      <c r="D228" s="22">
        <v>2023</v>
      </c>
      <c r="E228" s="28" t="s">
        <v>67</v>
      </c>
      <c r="F228" s="21" t="s">
        <v>75</v>
      </c>
      <c r="G228" s="19" t="s">
        <v>1842</v>
      </c>
      <c r="H228" s="19" t="s">
        <v>1848</v>
      </c>
      <c r="I228" s="19" t="s">
        <v>1848</v>
      </c>
      <c r="J228" s="19" t="s">
        <v>1849</v>
      </c>
    </row>
    <row r="229" spans="1:10" ht="54">
      <c r="A229" s="17" t="s">
        <v>66</v>
      </c>
      <c r="B229" s="20">
        <v>20</v>
      </c>
      <c r="C229" s="22">
        <v>202</v>
      </c>
      <c r="D229" s="22">
        <v>2029</v>
      </c>
      <c r="E229" s="28" t="s">
        <v>67</v>
      </c>
      <c r="F229" s="21" t="s">
        <v>75</v>
      </c>
      <c r="G229" s="19" t="s">
        <v>1842</v>
      </c>
      <c r="H229" s="19" t="s">
        <v>1850</v>
      </c>
      <c r="I229" s="19" t="s">
        <v>1850</v>
      </c>
      <c r="J229" s="19" t="s">
        <v>1851</v>
      </c>
    </row>
    <row r="230" spans="1:10" ht="54">
      <c r="A230" s="17" t="s">
        <v>66</v>
      </c>
      <c r="B230" s="20">
        <v>20</v>
      </c>
      <c r="C230" s="22">
        <v>203</v>
      </c>
      <c r="D230" s="22" t="s"/>
      <c r="E230" s="28" t="s">
        <v>67</v>
      </c>
      <c r="F230" s="21" t="s">
        <v>75</v>
      </c>
      <c r="G230" s="19" t="s">
        <v>1852</v>
      </c>
      <c r="H230" s="29" t="s"/>
      <c r="I230" s="19" t="s">
        <v>1852</v>
      </c>
      <c r="J230" s="19" t="s">
        <v>1853</v>
      </c>
    </row>
    <row r="231" spans="1:10" ht="54">
      <c r="A231" s="17" t="s">
        <v>66</v>
      </c>
      <c r="B231" s="20">
        <v>20</v>
      </c>
      <c r="C231" s="22">
        <v>203</v>
      </c>
      <c r="D231" s="22">
        <v>2031</v>
      </c>
      <c r="E231" s="28" t="s">
        <v>67</v>
      </c>
      <c r="F231" s="21" t="s">
        <v>75</v>
      </c>
      <c r="G231" s="19" t="s">
        <v>1852</v>
      </c>
      <c r="H231" s="19" t="s">
        <v>1854</v>
      </c>
      <c r="I231" s="19" t="s">
        <v>1854</v>
      </c>
      <c r="J231" s="19" t="s">
        <v>1855</v>
      </c>
    </row>
    <row r="232" spans="1:10" ht="54">
      <c r="A232" s="17" t="s">
        <v>66</v>
      </c>
      <c r="B232" s="20">
        <v>20</v>
      </c>
      <c r="C232" s="22">
        <v>203</v>
      </c>
      <c r="D232" s="22">
        <v>2032</v>
      </c>
      <c r="E232" s="28" t="s">
        <v>67</v>
      </c>
      <c r="F232" s="21" t="s">
        <v>75</v>
      </c>
      <c r="G232" s="19" t="s">
        <v>1852</v>
      </c>
      <c r="H232" s="19" t="s">
        <v>1856</v>
      </c>
      <c r="I232" s="19" t="s">
        <v>1856</v>
      </c>
      <c r="J232" s="27" t="s"/>
    </row>
    <row r="233" spans="1:10" ht="54">
      <c r="A233" s="17" t="s">
        <v>66</v>
      </c>
      <c r="B233" s="20">
        <v>20</v>
      </c>
      <c r="C233" s="22">
        <v>203</v>
      </c>
      <c r="D233" s="22">
        <v>2039</v>
      </c>
      <c r="E233" s="28" t="s">
        <v>67</v>
      </c>
      <c r="F233" s="21" t="s">
        <v>75</v>
      </c>
      <c r="G233" s="19" t="s">
        <v>1852</v>
      </c>
      <c r="H233" s="19" t="s">
        <v>1857</v>
      </c>
      <c r="I233" s="19" t="s">
        <v>1857</v>
      </c>
      <c r="J233" s="19" t="s">
        <v>1858</v>
      </c>
    </row>
    <row r="234" spans="1:10" ht="54">
      <c r="A234" s="17" t="s">
        <v>66</v>
      </c>
      <c r="B234" s="20">
        <v>20</v>
      </c>
      <c r="C234" s="22">
        <v>204</v>
      </c>
      <c r="D234" s="22">
        <v>2040</v>
      </c>
      <c r="E234" s="28" t="s">
        <v>67</v>
      </c>
      <c r="F234" s="21" t="s">
        <v>75</v>
      </c>
      <c r="G234" s="19" t="s">
        <v>1859</v>
      </c>
      <c r="H234" s="19" t="s">
        <v>1859</v>
      </c>
      <c r="I234" s="19" t="s">
        <v>1859</v>
      </c>
      <c r="J234" s="19" t="s">
        <v>1860</v>
      </c>
    </row>
    <row r="235" spans="1:10" ht="44.4">
      <c r="A235" s="17" t="s">
        <v>66</v>
      </c>
      <c r="B235" s="20">
        <v>21</v>
      </c>
      <c r="C235" s="22" t="s"/>
      <c r="D235" s="20" t="s"/>
      <c r="E235" s="28" t="s">
        <v>67</v>
      </c>
      <c r="F235" s="21" t="s">
        <v>76</v>
      </c>
      <c r="G235" s="20" t="s"/>
      <c r="H235" s="29" t="s"/>
      <c r="I235" s="21" t="s">
        <v>76</v>
      </c>
      <c r="J235" s="19" t="s">
        <v>1861</v>
      </c>
    </row>
    <row r="236" spans="1:10" ht="22.8">
      <c r="A236" s="17" t="s">
        <v>66</v>
      </c>
      <c r="B236" s="20">
        <v>21</v>
      </c>
      <c r="C236" s="22">
        <v>211</v>
      </c>
      <c r="D236" s="22">
        <v>2110</v>
      </c>
      <c r="E236" s="28" t="s">
        <v>67</v>
      </c>
      <c r="F236" s="21" t="s">
        <v>76</v>
      </c>
      <c r="G236" s="19" t="s">
        <v>1862</v>
      </c>
      <c r="H236" s="19" t="s">
        <v>1862</v>
      </c>
      <c r="I236" s="19" t="s">
        <v>1862</v>
      </c>
      <c r="J236" s="19" t="s">
        <v>1863</v>
      </c>
    </row>
    <row r="237" spans="1:10" ht="22.8">
      <c r="A237" s="17" t="s">
        <v>66</v>
      </c>
      <c r="B237" s="20">
        <v>21</v>
      </c>
      <c r="C237" s="22">
        <v>212</v>
      </c>
      <c r="D237" s="22">
        <v>2120</v>
      </c>
      <c r="E237" s="28" t="s">
        <v>67</v>
      </c>
      <c r="F237" s="21" t="s">
        <v>76</v>
      </c>
      <c r="G237" s="19" t="s">
        <v>1864</v>
      </c>
      <c r="H237" s="19" t="s">
        <v>1864</v>
      </c>
      <c r="I237" s="19" t="s">
        <v>1864</v>
      </c>
      <c r="J237" s="19" t="s">
        <v>1865</v>
      </c>
    </row>
    <row r="238" spans="1:10" ht="33.6">
      <c r="A238" s="17" t="s">
        <v>66</v>
      </c>
      <c r="B238" s="20">
        <v>21</v>
      </c>
      <c r="C238" s="22">
        <v>213</v>
      </c>
      <c r="D238" s="22">
        <v>2130</v>
      </c>
      <c r="E238" s="28" t="s">
        <v>67</v>
      </c>
      <c r="F238" s="21" t="s">
        <v>76</v>
      </c>
      <c r="G238" s="19" t="s">
        <v>1866</v>
      </c>
      <c r="H238" s="19" t="s">
        <v>1866</v>
      </c>
      <c r="I238" s="19" t="s">
        <v>1866</v>
      </c>
      <c r="J238" s="19" t="s">
        <v>1867</v>
      </c>
    </row>
    <row r="239" spans="1:10" ht="22.8">
      <c r="A239" s="17" t="s">
        <v>66</v>
      </c>
      <c r="B239" s="20">
        <v>21</v>
      </c>
      <c r="C239" s="22">
        <v>214</v>
      </c>
      <c r="D239" s="22">
        <v>2140</v>
      </c>
      <c r="E239" s="28" t="s">
        <v>67</v>
      </c>
      <c r="F239" s="21" t="s">
        <v>76</v>
      </c>
      <c r="G239" s="19" t="s">
        <v>1868</v>
      </c>
      <c r="H239" s="19" t="s">
        <v>1868</v>
      </c>
      <c r="I239" s="19" t="s">
        <v>1868</v>
      </c>
      <c r="J239" s="19" t="s">
        <v>1869</v>
      </c>
    </row>
    <row r="240" spans="1:10" ht="69.6">
      <c r="A240" s="17" t="s">
        <v>66</v>
      </c>
      <c r="B240" s="20">
        <v>21</v>
      </c>
      <c r="C240" s="22">
        <v>219</v>
      </c>
      <c r="D240" s="22">
        <v>2190</v>
      </c>
      <c r="E240" s="28" t="s">
        <v>67</v>
      </c>
      <c r="F240" s="21" t="s">
        <v>76</v>
      </c>
      <c r="G240" s="19" t="s">
        <v>1870</v>
      </c>
      <c r="H240" s="19" t="s">
        <v>1870</v>
      </c>
      <c r="I240" s="19" t="s">
        <v>1870</v>
      </c>
      <c r="J240" s="19" t="s">
        <v>1871</v>
      </c>
    </row>
    <row r="241" spans="1:10" ht="21.6">
      <c r="A241" s="17" t="s">
        <v>66</v>
      </c>
      <c r="B241" s="20">
        <v>22</v>
      </c>
      <c r="C241" s="22" t="s"/>
      <c r="D241" s="20" t="s"/>
      <c r="E241" s="28" t="s">
        <v>67</v>
      </c>
      <c r="F241" s="21" t="s">
        <v>77</v>
      </c>
      <c r="G241" s="20" t="s"/>
      <c r="H241" s="29" t="s"/>
      <c r="I241" s="21" t="s">
        <v>77</v>
      </c>
      <c r="J241" s="27" t="s"/>
    </row>
    <row r="242" spans="1:10" ht="21.6">
      <c r="A242" s="17" t="s">
        <v>66</v>
      </c>
      <c r="B242" s="20">
        <v>22</v>
      </c>
      <c r="C242" s="22">
        <v>221</v>
      </c>
      <c r="D242" s="22">
        <v>2210</v>
      </c>
      <c r="E242" s="28" t="s">
        <v>67</v>
      </c>
      <c r="F242" s="21" t="s">
        <v>77</v>
      </c>
      <c r="G242" s="19" t="s">
        <v>1872</v>
      </c>
      <c r="H242" s="19" t="s">
        <v>1872</v>
      </c>
      <c r="I242" s="19" t="s">
        <v>1872</v>
      </c>
      <c r="J242" s="19" t="s">
        <v>1873</v>
      </c>
    </row>
    <row r="243" spans="1:10" ht="33.6">
      <c r="A243" s="17" t="s">
        <v>66</v>
      </c>
      <c r="B243" s="20">
        <v>22</v>
      </c>
      <c r="C243" s="22">
        <v>222</v>
      </c>
      <c r="D243" s="22" t="s"/>
      <c r="E243" s="28" t="s">
        <v>67</v>
      </c>
      <c r="F243" s="21" t="s">
        <v>77</v>
      </c>
      <c r="G243" s="19" t="s">
        <v>1874</v>
      </c>
      <c r="H243" s="29" t="s"/>
      <c r="I243" s="19" t="s">
        <v>1874</v>
      </c>
      <c r="J243" s="19" t="s">
        <v>1875</v>
      </c>
    </row>
    <row r="244" spans="1:10" ht="22.8">
      <c r="A244" s="17" t="s">
        <v>66</v>
      </c>
      <c r="B244" s="20">
        <v>22</v>
      </c>
      <c r="C244" s="22">
        <v>222</v>
      </c>
      <c r="D244" s="22">
        <v>2221</v>
      </c>
      <c r="E244" s="28" t="s">
        <v>67</v>
      </c>
      <c r="F244" s="21" t="s">
        <v>77</v>
      </c>
      <c r="G244" s="19" t="s">
        <v>1874</v>
      </c>
      <c r="H244" s="19" t="s">
        <v>1876</v>
      </c>
      <c r="I244" s="19" t="s">
        <v>1876</v>
      </c>
      <c r="J244" s="27" t="s"/>
    </row>
    <row r="245" spans="1:10" ht="21.6">
      <c r="A245" s="17" t="s">
        <v>66</v>
      </c>
      <c r="B245" s="20">
        <v>22</v>
      </c>
      <c r="C245" s="22">
        <v>222</v>
      </c>
      <c r="D245" s="22">
        <v>2222</v>
      </c>
      <c r="E245" s="28" t="s">
        <v>67</v>
      </c>
      <c r="F245" s="21" t="s">
        <v>77</v>
      </c>
      <c r="G245" s="19" t="s">
        <v>1874</v>
      </c>
      <c r="H245" s="19" t="s">
        <v>1877</v>
      </c>
      <c r="I245" s="19" t="s">
        <v>1877</v>
      </c>
      <c r="J245" s="19" t="s">
        <v>1878</v>
      </c>
    </row>
    <row r="246" spans="1:10" ht="21.6">
      <c r="A246" s="17" t="s">
        <v>66</v>
      </c>
      <c r="B246" s="20">
        <v>22</v>
      </c>
      <c r="C246" s="22">
        <v>222</v>
      </c>
      <c r="D246" s="22">
        <v>2223</v>
      </c>
      <c r="E246" s="28" t="s">
        <v>67</v>
      </c>
      <c r="F246" s="21" t="s">
        <v>77</v>
      </c>
      <c r="G246" s="19" t="s">
        <v>1874</v>
      </c>
      <c r="H246" s="19" t="s">
        <v>1879</v>
      </c>
      <c r="I246" s="19" t="s">
        <v>1879</v>
      </c>
      <c r="J246" s="19" t="s">
        <v>1880</v>
      </c>
    </row>
    <row r="247" spans="1:10" ht="21.6">
      <c r="A247" s="17" t="s">
        <v>66</v>
      </c>
      <c r="B247" s="20">
        <v>22</v>
      </c>
      <c r="C247" s="22">
        <v>223</v>
      </c>
      <c r="D247" s="22" t="s"/>
      <c r="E247" s="28" t="s">
        <v>67</v>
      </c>
      <c r="F247" s="21" t="s">
        <v>77</v>
      </c>
      <c r="G247" s="19" t="s">
        <v>1881</v>
      </c>
      <c r="H247" s="29" t="s"/>
      <c r="I247" s="19" t="s">
        <v>1881</v>
      </c>
      <c r="J247" s="19" t="s">
        <v>1882</v>
      </c>
    </row>
    <row r="248" spans="1:10" ht="22.8">
      <c r="A248" s="17" t="s">
        <v>66</v>
      </c>
      <c r="B248" s="20">
        <v>22</v>
      </c>
      <c r="C248" s="22">
        <v>223</v>
      </c>
      <c r="D248" s="22">
        <v>2231</v>
      </c>
      <c r="E248" s="28" t="s">
        <v>67</v>
      </c>
      <c r="F248" s="21" t="s">
        <v>77</v>
      </c>
      <c r="G248" s="19" t="s">
        <v>1881</v>
      </c>
      <c r="H248" s="19" t="s">
        <v>1883</v>
      </c>
      <c r="I248" s="19" t="s">
        <v>1883</v>
      </c>
      <c r="J248" s="27" t="s"/>
    </row>
    <row r="249" spans="1:10" ht="22.8">
      <c r="A249" s="17" t="s">
        <v>66</v>
      </c>
      <c r="B249" s="20">
        <v>22</v>
      </c>
      <c r="C249" s="22">
        <v>223</v>
      </c>
      <c r="D249" s="22">
        <v>2239</v>
      </c>
      <c r="E249" s="28" t="s">
        <v>67</v>
      </c>
      <c r="F249" s="21" t="s">
        <v>77</v>
      </c>
      <c r="G249" s="19" t="s">
        <v>1881</v>
      </c>
      <c r="H249" s="19" t="s">
        <v>1884</v>
      </c>
      <c r="I249" s="19" t="s">
        <v>1884</v>
      </c>
      <c r="J249" s="19" t="s">
        <v>1885</v>
      </c>
    </row>
    <row r="250" spans="1:10" ht="32.4">
      <c r="A250" s="17" t="s">
        <v>66</v>
      </c>
      <c r="B250" s="20">
        <v>23</v>
      </c>
      <c r="C250" s="22" t="s"/>
      <c r="D250" s="20" t="s"/>
      <c r="E250" s="28" t="s">
        <v>67</v>
      </c>
      <c r="F250" s="21" t="s">
        <v>78</v>
      </c>
      <c r="G250" s="20" t="s"/>
      <c r="H250" s="29" t="s"/>
      <c r="I250" s="21" t="s">
        <v>78</v>
      </c>
      <c r="J250" s="27" t="s"/>
    </row>
    <row r="251" spans="1:10" ht="32.4">
      <c r="A251" s="17" t="s">
        <v>66</v>
      </c>
      <c r="B251" s="20">
        <v>23</v>
      </c>
      <c r="C251" s="22">
        <v>231</v>
      </c>
      <c r="D251" s="22" t="s"/>
      <c r="E251" s="28" t="s">
        <v>67</v>
      </c>
      <c r="F251" s="21" t="s">
        <v>78</v>
      </c>
      <c r="G251" s="19" t="s">
        <v>1886</v>
      </c>
      <c r="H251" s="29" t="s"/>
      <c r="I251" s="19" t="s">
        <v>1886</v>
      </c>
      <c r="J251" s="27" t="s"/>
    </row>
    <row r="252" spans="1:10" ht="32.4">
      <c r="A252" s="17" t="s">
        <v>66</v>
      </c>
      <c r="B252" s="20">
        <v>23</v>
      </c>
      <c r="C252" s="22">
        <v>231</v>
      </c>
      <c r="D252" s="22">
        <v>2311</v>
      </c>
      <c r="E252" s="28" t="s">
        <v>67</v>
      </c>
      <c r="F252" s="21" t="s">
        <v>78</v>
      </c>
      <c r="G252" s="19" t="s">
        <v>1886</v>
      </c>
      <c r="H252" s="19" t="s">
        <v>1887</v>
      </c>
      <c r="I252" s="19" t="s">
        <v>1887</v>
      </c>
      <c r="J252" s="27" t="s"/>
    </row>
    <row r="253" spans="1:10" ht="32.4">
      <c r="A253" s="17" t="s">
        <v>66</v>
      </c>
      <c r="B253" s="20">
        <v>23</v>
      </c>
      <c r="C253" s="22">
        <v>231</v>
      </c>
      <c r="D253" s="22">
        <v>2312</v>
      </c>
      <c r="E253" s="28" t="s">
        <v>67</v>
      </c>
      <c r="F253" s="21" t="s">
        <v>78</v>
      </c>
      <c r="G253" s="19" t="s">
        <v>1886</v>
      </c>
      <c r="H253" s="19" t="s">
        <v>1888</v>
      </c>
      <c r="I253" s="19" t="s">
        <v>1888</v>
      </c>
      <c r="J253" s="19" t="s">
        <v>1889</v>
      </c>
    </row>
    <row r="254" spans="1:10" ht="33.6">
      <c r="A254" s="17" t="s">
        <v>66</v>
      </c>
      <c r="B254" s="20">
        <v>23</v>
      </c>
      <c r="C254" s="22">
        <v>231</v>
      </c>
      <c r="D254" s="22">
        <v>2319</v>
      </c>
      <c r="E254" s="28" t="s">
        <v>67</v>
      </c>
      <c r="F254" s="21" t="s">
        <v>78</v>
      </c>
      <c r="G254" s="19" t="s">
        <v>1886</v>
      </c>
      <c r="H254" s="19" t="s">
        <v>1890</v>
      </c>
      <c r="I254" s="19" t="s">
        <v>1890</v>
      </c>
      <c r="J254" s="19" t="s">
        <v>1891</v>
      </c>
    </row>
    <row r="255" spans="1:10" ht="32.4">
      <c r="A255" s="17" t="s">
        <v>66</v>
      </c>
      <c r="B255" s="20">
        <v>23</v>
      </c>
      <c r="C255" s="22">
        <v>232</v>
      </c>
      <c r="D255" s="22">
        <v>2320</v>
      </c>
      <c r="E255" s="28" t="s">
        <v>67</v>
      </c>
      <c r="F255" s="21" t="s">
        <v>78</v>
      </c>
      <c r="G255" s="19" t="s">
        <v>1892</v>
      </c>
      <c r="H255" s="19" t="s">
        <v>1892</v>
      </c>
      <c r="I255" s="19" t="s">
        <v>1892</v>
      </c>
      <c r="J255" s="19" t="s">
        <v>1893</v>
      </c>
    </row>
    <row r="256" spans="1:10" ht="32.4">
      <c r="A256" s="17" t="s">
        <v>66</v>
      </c>
      <c r="B256" s="20">
        <v>23</v>
      </c>
      <c r="C256" s="22">
        <v>233</v>
      </c>
      <c r="D256" s="22">
        <v>2330</v>
      </c>
      <c r="E256" s="28" t="s">
        <v>67</v>
      </c>
      <c r="F256" s="21" t="s">
        <v>78</v>
      </c>
      <c r="G256" s="19" t="s">
        <v>1894</v>
      </c>
      <c r="H256" s="19" t="s">
        <v>1894</v>
      </c>
      <c r="I256" s="19" t="s">
        <v>1894</v>
      </c>
      <c r="J256" s="19" t="s">
        <v>1895</v>
      </c>
    </row>
    <row r="257" spans="1:10" ht="32.4">
      <c r="A257" s="17" t="s">
        <v>66</v>
      </c>
      <c r="B257" s="20">
        <v>24</v>
      </c>
      <c r="C257" s="22" t="s"/>
      <c r="D257" s="20" t="s"/>
      <c r="E257" s="28" t="s">
        <v>67</v>
      </c>
      <c r="F257" s="21" t="s">
        <v>79</v>
      </c>
      <c r="G257" s="20" t="s"/>
      <c r="H257" s="29" t="s"/>
      <c r="I257" s="21" t="s">
        <v>79</v>
      </c>
      <c r="J257" s="27" t="s"/>
    </row>
    <row r="258" spans="1:10" ht="32.4">
      <c r="A258" s="17" t="s">
        <v>66</v>
      </c>
      <c r="B258" s="20">
        <v>24</v>
      </c>
      <c r="C258" s="22">
        <v>241</v>
      </c>
      <c r="D258" s="22" t="s"/>
      <c r="E258" s="28" t="s">
        <v>67</v>
      </c>
      <c r="F258" s="21" t="s">
        <v>79</v>
      </c>
      <c r="G258" s="19" t="s">
        <v>1896</v>
      </c>
      <c r="H258" s="29" t="s"/>
      <c r="I258" s="19" t="s">
        <v>1896</v>
      </c>
      <c r="J258" s="27" t="s"/>
    </row>
    <row r="259" spans="1:10" ht="32.4">
      <c r="A259" s="17" t="s">
        <v>66</v>
      </c>
      <c r="B259" s="20">
        <v>24</v>
      </c>
      <c r="C259" s="22">
        <v>241</v>
      </c>
      <c r="D259" s="22">
        <v>2411</v>
      </c>
      <c r="E259" s="28" t="s">
        <v>67</v>
      </c>
      <c r="F259" s="21" t="s">
        <v>79</v>
      </c>
      <c r="G259" s="19" t="s">
        <v>1896</v>
      </c>
      <c r="H259" s="19" t="s">
        <v>1897</v>
      </c>
      <c r="I259" s="19" t="s">
        <v>1897</v>
      </c>
      <c r="J259" s="19" t="s">
        <v>1898</v>
      </c>
    </row>
    <row r="260" spans="1:10" ht="32.4">
      <c r="A260" s="17" t="s">
        <v>66</v>
      </c>
      <c r="B260" s="20">
        <v>24</v>
      </c>
      <c r="C260" s="22">
        <v>241</v>
      </c>
      <c r="D260" s="22">
        <v>2412</v>
      </c>
      <c r="E260" s="28" t="s">
        <v>67</v>
      </c>
      <c r="F260" s="21" t="s">
        <v>79</v>
      </c>
      <c r="G260" s="19" t="s">
        <v>1896</v>
      </c>
      <c r="H260" s="19" t="s">
        <v>1899</v>
      </c>
      <c r="I260" s="19" t="s">
        <v>1899</v>
      </c>
      <c r="J260" s="19" t="s">
        <v>1900</v>
      </c>
    </row>
    <row r="261" spans="1:10" ht="32.4">
      <c r="A261" s="17" t="s">
        <v>66</v>
      </c>
      <c r="B261" s="20">
        <v>24</v>
      </c>
      <c r="C261" s="22">
        <v>241</v>
      </c>
      <c r="D261" s="22">
        <v>2413</v>
      </c>
      <c r="E261" s="28" t="s">
        <v>67</v>
      </c>
      <c r="F261" s="21" t="s">
        <v>79</v>
      </c>
      <c r="G261" s="19" t="s">
        <v>1896</v>
      </c>
      <c r="H261" s="19" t="s">
        <v>1901</v>
      </c>
      <c r="I261" s="19" t="s">
        <v>1901</v>
      </c>
      <c r="J261" s="19" t="s">
        <v>1902</v>
      </c>
    </row>
    <row r="262" spans="1:10" ht="32.4">
      <c r="A262" s="17" t="s">
        <v>66</v>
      </c>
      <c r="B262" s="20">
        <v>24</v>
      </c>
      <c r="C262" s="22">
        <v>241</v>
      </c>
      <c r="D262" s="22">
        <v>2414</v>
      </c>
      <c r="E262" s="28" t="s">
        <v>67</v>
      </c>
      <c r="F262" s="21" t="s">
        <v>79</v>
      </c>
      <c r="G262" s="19" t="s">
        <v>1896</v>
      </c>
      <c r="H262" s="19" t="s">
        <v>1903</v>
      </c>
      <c r="I262" s="19" t="s">
        <v>1903</v>
      </c>
      <c r="J262" s="19" t="s">
        <v>1904</v>
      </c>
    </row>
    <row r="263" spans="1:10" ht="32.4">
      <c r="A263" s="17" t="s">
        <v>66</v>
      </c>
      <c r="B263" s="20">
        <v>24</v>
      </c>
      <c r="C263" s="22">
        <v>241</v>
      </c>
      <c r="D263" s="22">
        <v>2419</v>
      </c>
      <c r="E263" s="28" t="s">
        <v>67</v>
      </c>
      <c r="F263" s="21" t="s">
        <v>79</v>
      </c>
      <c r="G263" s="19" t="s">
        <v>1896</v>
      </c>
      <c r="H263" s="19" t="s">
        <v>1905</v>
      </c>
      <c r="I263" s="19" t="s">
        <v>1905</v>
      </c>
      <c r="J263" s="27" t="s"/>
    </row>
    <row r="264" spans="1:10" ht="32.4">
      <c r="A264" s="17" t="s">
        <v>66</v>
      </c>
      <c r="B264" s="20">
        <v>24</v>
      </c>
      <c r="C264" s="22">
        <v>242</v>
      </c>
      <c r="D264" s="22" t="s"/>
      <c r="E264" s="28" t="s">
        <v>67</v>
      </c>
      <c r="F264" s="21" t="s">
        <v>79</v>
      </c>
      <c r="G264" s="19" t="s">
        <v>1906</v>
      </c>
      <c r="H264" s="29" t="s"/>
      <c r="I264" s="19" t="s">
        <v>1906</v>
      </c>
      <c r="J264" s="27" t="s"/>
    </row>
    <row r="265" spans="1:10" ht="32.4">
      <c r="A265" s="17" t="s">
        <v>66</v>
      </c>
      <c r="B265" s="20">
        <v>24</v>
      </c>
      <c r="C265" s="22">
        <v>242</v>
      </c>
      <c r="D265" s="22">
        <v>2421</v>
      </c>
      <c r="E265" s="28" t="s">
        <v>67</v>
      </c>
      <c r="F265" s="21" t="s">
        <v>79</v>
      </c>
      <c r="G265" s="19" t="s">
        <v>1906</v>
      </c>
      <c r="H265" s="19" t="s">
        <v>1907</v>
      </c>
      <c r="I265" s="19" t="s">
        <v>1907</v>
      </c>
      <c r="J265" s="19" t="s">
        <v>1908</v>
      </c>
    </row>
    <row r="266" spans="1:10" ht="32.4">
      <c r="A266" s="17" t="s">
        <v>66</v>
      </c>
      <c r="B266" s="20">
        <v>24</v>
      </c>
      <c r="C266" s="22">
        <v>242</v>
      </c>
      <c r="D266" s="22">
        <v>2422</v>
      </c>
      <c r="E266" s="28" t="s">
        <v>67</v>
      </c>
      <c r="F266" s="21" t="s">
        <v>79</v>
      </c>
      <c r="G266" s="19" t="s">
        <v>1906</v>
      </c>
      <c r="H266" s="19" t="s">
        <v>1909</v>
      </c>
      <c r="I266" s="19" t="s">
        <v>1909</v>
      </c>
      <c r="J266" s="19" t="s">
        <v>1910</v>
      </c>
    </row>
    <row r="267" spans="1:10" ht="32.4">
      <c r="A267" s="17" t="s">
        <v>66</v>
      </c>
      <c r="B267" s="20">
        <v>24</v>
      </c>
      <c r="C267" s="22">
        <v>242</v>
      </c>
      <c r="D267" s="22">
        <v>2423</v>
      </c>
      <c r="E267" s="28" t="s">
        <v>67</v>
      </c>
      <c r="F267" s="21" t="s">
        <v>79</v>
      </c>
      <c r="G267" s="19" t="s">
        <v>1906</v>
      </c>
      <c r="H267" s="19" t="s">
        <v>1911</v>
      </c>
      <c r="I267" s="19" t="s">
        <v>1911</v>
      </c>
      <c r="J267" s="19" t="s">
        <v>1912</v>
      </c>
    </row>
    <row r="268" spans="1:10" ht="32.4">
      <c r="A268" s="17" t="s">
        <v>66</v>
      </c>
      <c r="B268" s="20">
        <v>24</v>
      </c>
      <c r="C268" s="22">
        <v>242</v>
      </c>
      <c r="D268" s="22">
        <v>2424</v>
      </c>
      <c r="E268" s="28" t="s">
        <v>67</v>
      </c>
      <c r="F268" s="21" t="s">
        <v>79</v>
      </c>
      <c r="G268" s="19" t="s">
        <v>1906</v>
      </c>
      <c r="H268" s="19" t="s">
        <v>1913</v>
      </c>
      <c r="I268" s="19" t="s">
        <v>1913</v>
      </c>
      <c r="J268" s="19" t="s">
        <v>1914</v>
      </c>
    </row>
    <row r="269" spans="1:10" ht="32.4">
      <c r="A269" s="17" t="s">
        <v>66</v>
      </c>
      <c r="B269" s="20">
        <v>24</v>
      </c>
      <c r="C269" s="22">
        <v>242</v>
      </c>
      <c r="D269" s="22">
        <v>2429</v>
      </c>
      <c r="E269" s="28" t="s">
        <v>67</v>
      </c>
      <c r="F269" s="21" t="s">
        <v>79</v>
      </c>
      <c r="G269" s="19" t="s">
        <v>1906</v>
      </c>
      <c r="H269" s="19" t="s">
        <v>1915</v>
      </c>
      <c r="I269" s="19" t="s">
        <v>1915</v>
      </c>
      <c r="J269" s="19" t="s">
        <v>1916</v>
      </c>
    </row>
    <row r="270" spans="1:10" ht="32.4">
      <c r="A270" s="17" t="s">
        <v>66</v>
      </c>
      <c r="B270" s="20">
        <v>24</v>
      </c>
      <c r="C270" s="22">
        <v>243</v>
      </c>
      <c r="D270" s="22" t="s"/>
      <c r="E270" s="28" t="s">
        <v>67</v>
      </c>
      <c r="F270" s="21" t="s">
        <v>79</v>
      </c>
      <c r="G270" s="19" t="s">
        <v>1917</v>
      </c>
      <c r="H270" s="29" t="s"/>
      <c r="I270" s="19" t="s">
        <v>1917</v>
      </c>
      <c r="J270" s="19" t="s">
        <v>1918</v>
      </c>
    </row>
    <row r="271" spans="1:10" ht="32.4">
      <c r="A271" s="17" t="s">
        <v>66</v>
      </c>
      <c r="B271" s="20">
        <v>24</v>
      </c>
      <c r="C271" s="22">
        <v>243</v>
      </c>
      <c r="D271" s="22">
        <v>2431</v>
      </c>
      <c r="E271" s="28" t="s">
        <v>67</v>
      </c>
      <c r="F271" s="21" t="s">
        <v>79</v>
      </c>
      <c r="G271" s="19" t="s">
        <v>1917</v>
      </c>
      <c r="H271" s="19" t="s">
        <v>1919</v>
      </c>
      <c r="I271" s="19" t="s">
        <v>1919</v>
      </c>
      <c r="J271" s="19" t="s"/>
    </row>
    <row r="272" spans="1:10" ht="32.4">
      <c r="A272" s="17" t="s">
        <v>66</v>
      </c>
      <c r="B272" s="20">
        <v>24</v>
      </c>
      <c r="C272" s="22">
        <v>243</v>
      </c>
      <c r="D272" s="22">
        <v>2432</v>
      </c>
      <c r="E272" s="28" t="s">
        <v>67</v>
      </c>
      <c r="F272" s="21" t="s">
        <v>79</v>
      </c>
      <c r="G272" s="19" t="s">
        <v>1917</v>
      </c>
      <c r="H272" s="19" t="s">
        <v>1920</v>
      </c>
      <c r="I272" s="19" t="s">
        <v>1920</v>
      </c>
      <c r="J272" s="27" t="s"/>
    </row>
    <row r="273" spans="1:10" ht="32.4">
      <c r="A273" s="17" t="s">
        <v>66</v>
      </c>
      <c r="B273" s="20">
        <v>24</v>
      </c>
      <c r="C273" s="22">
        <v>243</v>
      </c>
      <c r="D273" s="22">
        <v>2433</v>
      </c>
      <c r="E273" s="28" t="s">
        <v>67</v>
      </c>
      <c r="F273" s="21" t="s">
        <v>79</v>
      </c>
      <c r="G273" s="19" t="s">
        <v>1917</v>
      </c>
      <c r="H273" s="19" t="s">
        <v>1921</v>
      </c>
      <c r="I273" s="19" t="s">
        <v>1921</v>
      </c>
      <c r="J273" s="27" t="s"/>
    </row>
    <row r="274" spans="1:10" ht="32.4">
      <c r="A274" s="17" t="s">
        <v>66</v>
      </c>
      <c r="B274" s="20">
        <v>24</v>
      </c>
      <c r="C274" s="22">
        <v>243</v>
      </c>
      <c r="D274" s="22">
        <v>2439</v>
      </c>
      <c r="E274" s="28" t="s">
        <v>67</v>
      </c>
      <c r="F274" s="21" t="s">
        <v>79</v>
      </c>
      <c r="G274" s="19" t="s">
        <v>1917</v>
      </c>
      <c r="H274" s="19" t="s">
        <v>1922</v>
      </c>
      <c r="I274" s="19" t="s">
        <v>1922</v>
      </c>
      <c r="J274" s="19" t="s">
        <v>1923</v>
      </c>
    </row>
    <row r="275" spans="1:10" ht="32.4">
      <c r="A275" s="17" t="s">
        <v>66</v>
      </c>
      <c r="B275" s="20">
        <v>24</v>
      </c>
      <c r="C275" s="22">
        <v>244</v>
      </c>
      <c r="D275" s="22">
        <v>2440</v>
      </c>
      <c r="E275" s="28" t="s">
        <v>67</v>
      </c>
      <c r="F275" s="21" t="s">
        <v>79</v>
      </c>
      <c r="G275" s="19" t="s">
        <v>1924</v>
      </c>
      <c r="H275" s="19" t="s">
        <v>1924</v>
      </c>
      <c r="I275" s="19" t="s">
        <v>1924</v>
      </c>
      <c r="J275" s="19" t="s">
        <v>1925</v>
      </c>
    </row>
    <row r="276" spans="1:10" ht="32.4">
      <c r="A276" s="17" t="s">
        <v>66</v>
      </c>
      <c r="B276" s="20">
        <v>24</v>
      </c>
      <c r="C276" s="22">
        <v>245</v>
      </c>
      <c r="D276" s="22" t="s"/>
      <c r="E276" s="28" t="s">
        <v>67</v>
      </c>
      <c r="F276" s="21" t="s">
        <v>79</v>
      </c>
      <c r="G276" s="19" t="s">
        <v>1926</v>
      </c>
      <c r="H276" s="29" t="s"/>
      <c r="I276" s="19" t="s">
        <v>1926</v>
      </c>
      <c r="J276" s="27" t="s"/>
    </row>
    <row r="277" spans="1:10" ht="32.4">
      <c r="A277" s="17" t="s">
        <v>66</v>
      </c>
      <c r="B277" s="20">
        <v>24</v>
      </c>
      <c r="C277" s="22">
        <v>245</v>
      </c>
      <c r="D277" s="22">
        <v>2451</v>
      </c>
      <c r="E277" s="28" t="s">
        <v>67</v>
      </c>
      <c r="F277" s="21" t="s">
        <v>79</v>
      </c>
      <c r="G277" s="19" t="s">
        <v>1926</v>
      </c>
      <c r="H277" s="19" t="s">
        <v>1927</v>
      </c>
      <c r="I277" s="19" t="s">
        <v>1927</v>
      </c>
      <c r="J277" s="19" t="s">
        <v>1928</v>
      </c>
    </row>
    <row r="278" spans="1:10" ht="33.6">
      <c r="A278" s="17" t="s">
        <v>66</v>
      </c>
      <c r="B278" s="20">
        <v>24</v>
      </c>
      <c r="C278" s="22">
        <v>245</v>
      </c>
      <c r="D278" s="22">
        <v>2452</v>
      </c>
      <c r="E278" s="28" t="s">
        <v>67</v>
      </c>
      <c r="F278" s="21" t="s">
        <v>79</v>
      </c>
      <c r="G278" s="19" t="s">
        <v>1926</v>
      </c>
      <c r="H278" s="19" t="s">
        <v>1929</v>
      </c>
      <c r="I278" s="19" t="s">
        <v>1929</v>
      </c>
      <c r="J278" s="19" t="s">
        <v>1930</v>
      </c>
    </row>
    <row r="279" spans="1:10" ht="43.2">
      <c r="A279" s="17" t="s">
        <v>66</v>
      </c>
      <c r="B279" s="20">
        <v>25</v>
      </c>
      <c r="C279" s="22" t="s"/>
      <c r="D279" s="20" t="s"/>
      <c r="E279" s="28" t="s">
        <v>67</v>
      </c>
      <c r="F279" s="21" t="s">
        <v>80</v>
      </c>
      <c r="G279" s="20" t="s"/>
      <c r="H279" s="29" t="s"/>
      <c r="I279" s="21" t="s">
        <v>80</v>
      </c>
      <c r="J279" s="27" t="s"/>
    </row>
    <row r="280" spans="1:10" ht="43.2">
      <c r="A280" s="17" t="s">
        <v>66</v>
      </c>
      <c r="B280" s="20">
        <v>25</v>
      </c>
      <c r="C280" s="22">
        <v>251</v>
      </c>
      <c r="D280" s="22" t="s"/>
      <c r="E280" s="28" t="s">
        <v>67</v>
      </c>
      <c r="F280" s="21" t="s">
        <v>80</v>
      </c>
      <c r="G280" s="19" t="s">
        <v>1931</v>
      </c>
      <c r="H280" s="29" t="s"/>
      <c r="I280" s="19" t="s">
        <v>1931</v>
      </c>
      <c r="J280" s="27" t="s"/>
    </row>
    <row r="281" spans="1:10" ht="43.2">
      <c r="A281" s="17" t="s">
        <v>66</v>
      </c>
      <c r="B281" s="20">
        <v>25</v>
      </c>
      <c r="C281" s="22">
        <v>251</v>
      </c>
      <c r="D281" s="22">
        <v>2511</v>
      </c>
      <c r="E281" s="28" t="s">
        <v>67</v>
      </c>
      <c r="F281" s="21" t="s">
        <v>80</v>
      </c>
      <c r="G281" s="19" t="s">
        <v>1931</v>
      </c>
      <c r="H281" s="19" t="s">
        <v>1932</v>
      </c>
      <c r="I281" s="19" t="s">
        <v>1932</v>
      </c>
      <c r="J281" s="19" t="s">
        <v>1933</v>
      </c>
    </row>
    <row r="282" spans="1:10" ht="43.2">
      <c r="A282" s="17" t="s">
        <v>66</v>
      </c>
      <c r="B282" s="20">
        <v>25</v>
      </c>
      <c r="C282" s="22">
        <v>251</v>
      </c>
      <c r="D282" s="22">
        <v>2512</v>
      </c>
      <c r="E282" s="28" t="s">
        <v>67</v>
      </c>
      <c r="F282" s="21" t="s">
        <v>80</v>
      </c>
      <c r="G282" s="19" t="s">
        <v>1931</v>
      </c>
      <c r="H282" s="19" t="s">
        <v>1934</v>
      </c>
      <c r="I282" s="19" t="s">
        <v>1934</v>
      </c>
      <c r="J282" s="19" t="s">
        <v>1935</v>
      </c>
    </row>
    <row r="283" spans="1:10" ht="43.2">
      <c r="A283" s="17" t="s">
        <v>66</v>
      </c>
      <c r="B283" s="20">
        <v>25</v>
      </c>
      <c r="C283" s="22">
        <v>252</v>
      </c>
      <c r="D283" s="22">
        <v>2520</v>
      </c>
      <c r="E283" s="28" t="s">
        <v>67</v>
      </c>
      <c r="F283" s="21" t="s">
        <v>80</v>
      </c>
      <c r="G283" s="19" t="s">
        <v>1936</v>
      </c>
      <c r="H283" s="19" t="s">
        <v>1936</v>
      </c>
      <c r="I283" s="19" t="s">
        <v>1936</v>
      </c>
      <c r="J283" s="19" t="s">
        <v>1937</v>
      </c>
    </row>
    <row r="284" spans="1:10" ht="43.2">
      <c r="A284" s="17" t="s">
        <v>66</v>
      </c>
      <c r="B284" s="20">
        <v>25</v>
      </c>
      <c r="C284" s="22">
        <v>253</v>
      </c>
      <c r="D284" s="22">
        <v>2530</v>
      </c>
      <c r="E284" s="28" t="s">
        <v>67</v>
      </c>
      <c r="F284" s="21" t="s">
        <v>80</v>
      </c>
      <c r="G284" s="19" t="s">
        <v>1938</v>
      </c>
      <c r="H284" s="19" t="s">
        <v>1938</v>
      </c>
      <c r="I284" s="19" t="s">
        <v>1938</v>
      </c>
      <c r="J284" s="19" t="s">
        <v>1939</v>
      </c>
    </row>
    <row r="285" spans="1:10" ht="32.4">
      <c r="A285" s="17" t="s">
        <v>66</v>
      </c>
      <c r="B285" s="20">
        <v>26</v>
      </c>
      <c r="C285" s="22" t="s"/>
      <c r="D285" s="20" t="s"/>
      <c r="E285" s="28" t="s">
        <v>67</v>
      </c>
      <c r="F285" s="21" t="s">
        <v>81</v>
      </c>
      <c r="G285" s="20" t="s"/>
      <c r="H285" s="29" t="s"/>
      <c r="I285" s="21" t="s">
        <v>81</v>
      </c>
      <c r="J285" s="19" t="s"/>
    </row>
    <row r="286" spans="1:10" ht="32.4">
      <c r="A286" s="17" t="s">
        <v>66</v>
      </c>
      <c r="B286" s="20">
        <v>26</v>
      </c>
      <c r="C286" s="22">
        <v>261</v>
      </c>
      <c r="D286" s="22" t="s"/>
      <c r="E286" s="28" t="s">
        <v>67</v>
      </c>
      <c r="F286" s="21" t="s">
        <v>81</v>
      </c>
      <c r="G286" s="19" t="s">
        <v>1940</v>
      </c>
      <c r="H286" s="29" t="s"/>
      <c r="I286" s="19" t="s">
        <v>1940</v>
      </c>
      <c r="J286" s="27" t="s"/>
    </row>
    <row r="287" spans="1:10" ht="32.4">
      <c r="A287" s="17" t="s">
        <v>66</v>
      </c>
      <c r="B287" s="20">
        <v>26</v>
      </c>
      <c r="C287" s="22">
        <v>261</v>
      </c>
      <c r="D287" s="22">
        <v>2611</v>
      </c>
      <c r="E287" s="28" t="s">
        <v>67</v>
      </c>
      <c r="F287" s="21" t="s">
        <v>81</v>
      </c>
      <c r="G287" s="19" t="s">
        <v>1940</v>
      </c>
      <c r="H287" s="19" t="s">
        <v>1941</v>
      </c>
      <c r="I287" s="19" t="s">
        <v>1941</v>
      </c>
      <c r="J287" s="27" t="s"/>
    </row>
    <row r="288" spans="1:10" ht="32.4">
      <c r="A288" s="17" t="s">
        <v>66</v>
      </c>
      <c r="B288" s="20">
        <v>26</v>
      </c>
      <c r="C288" s="22">
        <v>261</v>
      </c>
      <c r="D288" s="22">
        <v>2612</v>
      </c>
      <c r="E288" s="28" t="s">
        <v>67</v>
      </c>
      <c r="F288" s="21" t="s">
        <v>81</v>
      </c>
      <c r="G288" s="19" t="s">
        <v>1940</v>
      </c>
      <c r="H288" s="19" t="s">
        <v>1942</v>
      </c>
      <c r="I288" s="19" t="s">
        <v>1942</v>
      </c>
      <c r="J288" s="19" t="s">
        <v>1943</v>
      </c>
    </row>
    <row r="289" spans="1:10" ht="32.4">
      <c r="A289" s="17" t="s">
        <v>66</v>
      </c>
      <c r="B289" s="20">
        <v>26</v>
      </c>
      <c r="C289" s="22">
        <v>261</v>
      </c>
      <c r="D289" s="22">
        <v>2613</v>
      </c>
      <c r="E289" s="28" t="s">
        <v>67</v>
      </c>
      <c r="F289" s="21" t="s">
        <v>81</v>
      </c>
      <c r="G289" s="19" t="s">
        <v>1940</v>
      </c>
      <c r="H289" s="19" t="s">
        <v>1944</v>
      </c>
      <c r="I289" s="19" t="s">
        <v>1944</v>
      </c>
      <c r="J289" s="27" t="s"/>
    </row>
    <row r="290" spans="1:10" ht="32.4">
      <c r="A290" s="17" t="s">
        <v>66</v>
      </c>
      <c r="B290" s="20">
        <v>26</v>
      </c>
      <c r="C290" s="22">
        <v>261</v>
      </c>
      <c r="D290" s="22">
        <v>2614</v>
      </c>
      <c r="E290" s="28" t="s">
        <v>67</v>
      </c>
      <c r="F290" s="21" t="s">
        <v>81</v>
      </c>
      <c r="G290" s="19" t="s">
        <v>1940</v>
      </c>
      <c r="H290" s="19" t="s">
        <v>1945</v>
      </c>
      <c r="I290" s="19" t="s">
        <v>1945</v>
      </c>
      <c r="J290" s="27" t="s"/>
    </row>
    <row r="291" spans="1:10" ht="32.4">
      <c r="A291" s="17" t="s">
        <v>66</v>
      </c>
      <c r="B291" s="20">
        <v>26</v>
      </c>
      <c r="C291" s="22">
        <v>261</v>
      </c>
      <c r="D291" s="22">
        <v>2619</v>
      </c>
      <c r="E291" s="28" t="s">
        <v>67</v>
      </c>
      <c r="F291" s="21" t="s">
        <v>81</v>
      </c>
      <c r="G291" s="19" t="s">
        <v>1940</v>
      </c>
      <c r="H291" s="19" t="s">
        <v>1946</v>
      </c>
      <c r="I291" s="19" t="s">
        <v>1946</v>
      </c>
      <c r="J291" s="27" t="s"/>
    </row>
    <row r="292" spans="1:10" ht="32.4">
      <c r="A292" s="17" t="s">
        <v>66</v>
      </c>
      <c r="B292" s="20">
        <v>26</v>
      </c>
      <c r="C292" s="22">
        <v>262</v>
      </c>
      <c r="D292" s="22" t="s"/>
      <c r="E292" s="28" t="s">
        <v>67</v>
      </c>
      <c r="F292" s="21" t="s">
        <v>81</v>
      </c>
      <c r="G292" s="19" t="s">
        <v>1947</v>
      </c>
      <c r="H292" s="29" t="s"/>
      <c r="I292" s="19" t="s">
        <v>1947</v>
      </c>
      <c r="J292" s="19" t="s">
        <v>1948</v>
      </c>
    </row>
    <row r="293" spans="1:10" ht="32.4">
      <c r="A293" s="17" t="s">
        <v>66</v>
      </c>
      <c r="B293" s="20">
        <v>26</v>
      </c>
      <c r="C293" s="22">
        <v>262</v>
      </c>
      <c r="D293" s="22">
        <v>2621</v>
      </c>
      <c r="E293" s="28" t="s">
        <v>67</v>
      </c>
      <c r="F293" s="21" t="s">
        <v>81</v>
      </c>
      <c r="G293" s="19" t="s">
        <v>1947</v>
      </c>
      <c r="H293" s="19" t="s">
        <v>1949</v>
      </c>
      <c r="I293" s="19" t="s">
        <v>1949</v>
      </c>
      <c r="J293" s="19" t="s">
        <v>1950</v>
      </c>
    </row>
    <row r="294" spans="1:10" ht="32.4">
      <c r="A294" s="17" t="s">
        <v>66</v>
      </c>
      <c r="B294" s="20">
        <v>26</v>
      </c>
      <c r="C294" s="22">
        <v>262</v>
      </c>
      <c r="D294" s="22">
        <v>2622</v>
      </c>
      <c r="E294" s="28" t="s">
        <v>67</v>
      </c>
      <c r="F294" s="21" t="s">
        <v>81</v>
      </c>
      <c r="G294" s="19" t="s">
        <v>1947</v>
      </c>
      <c r="H294" s="19" t="s">
        <v>1951</v>
      </c>
      <c r="I294" s="19" t="s">
        <v>1951</v>
      </c>
      <c r="J294" s="19" t="s">
        <v>1952</v>
      </c>
    </row>
    <row r="295" spans="1:10" ht="32.4">
      <c r="A295" s="17" t="s">
        <v>66</v>
      </c>
      <c r="B295" s="20">
        <v>26</v>
      </c>
      <c r="C295" s="22">
        <v>262</v>
      </c>
      <c r="D295" s="22">
        <v>2623</v>
      </c>
      <c r="E295" s="28" t="s">
        <v>67</v>
      </c>
      <c r="F295" s="21" t="s">
        <v>81</v>
      </c>
      <c r="G295" s="19" t="s">
        <v>1947</v>
      </c>
      <c r="H295" s="19" t="s">
        <v>1953</v>
      </c>
      <c r="I295" s="19" t="s">
        <v>1953</v>
      </c>
      <c r="J295" s="19" t="s">
        <v>1954</v>
      </c>
    </row>
    <row r="296" spans="1:10" ht="33.6">
      <c r="A296" s="17" t="s">
        <v>66</v>
      </c>
      <c r="B296" s="20">
        <v>26</v>
      </c>
      <c r="C296" s="22">
        <v>262</v>
      </c>
      <c r="D296" s="22">
        <v>2624</v>
      </c>
      <c r="E296" s="28" t="s">
        <v>67</v>
      </c>
      <c r="F296" s="21" t="s">
        <v>81</v>
      </c>
      <c r="G296" s="19" t="s">
        <v>1947</v>
      </c>
      <c r="H296" s="19" t="s">
        <v>1955</v>
      </c>
      <c r="I296" s="19" t="s">
        <v>1955</v>
      </c>
      <c r="J296" s="19" t="s">
        <v>1956</v>
      </c>
    </row>
    <row r="297" spans="1:10" ht="32.4">
      <c r="A297" s="17" t="s">
        <v>66</v>
      </c>
      <c r="B297" s="20">
        <v>26</v>
      </c>
      <c r="C297" s="22">
        <v>262</v>
      </c>
      <c r="D297" s="22">
        <v>2625</v>
      </c>
      <c r="E297" s="28" t="s">
        <v>67</v>
      </c>
      <c r="F297" s="21" t="s">
        <v>81</v>
      </c>
      <c r="G297" s="19" t="s">
        <v>1947</v>
      </c>
      <c r="H297" s="19" t="s">
        <v>1957</v>
      </c>
      <c r="I297" s="19" t="s">
        <v>1957</v>
      </c>
      <c r="J297" s="19" t="s">
        <v>1958</v>
      </c>
    </row>
    <row r="298" spans="1:10" ht="32.4">
      <c r="A298" s="17" t="s">
        <v>66</v>
      </c>
      <c r="B298" s="20">
        <v>26</v>
      </c>
      <c r="C298" s="22">
        <v>262</v>
      </c>
      <c r="D298" s="22">
        <v>2629</v>
      </c>
      <c r="E298" s="28" t="s">
        <v>67</v>
      </c>
      <c r="F298" s="21" t="s">
        <v>81</v>
      </c>
      <c r="G298" s="19" t="s">
        <v>1947</v>
      </c>
      <c r="H298" s="19" t="s">
        <v>1959</v>
      </c>
      <c r="I298" s="19" t="s">
        <v>1959</v>
      </c>
      <c r="J298" s="19" t="s">
        <v>1960</v>
      </c>
    </row>
    <row r="299" spans="1:10" ht="44.4">
      <c r="A299" s="17" t="s">
        <v>66</v>
      </c>
      <c r="B299" s="20">
        <v>26</v>
      </c>
      <c r="C299" s="22">
        <v>263</v>
      </c>
      <c r="D299" s="22" t="s"/>
      <c r="E299" s="28" t="s">
        <v>67</v>
      </c>
      <c r="F299" s="21" t="s">
        <v>81</v>
      </c>
      <c r="G299" s="19" t="s">
        <v>1961</v>
      </c>
      <c r="H299" s="29" t="s"/>
      <c r="I299" s="19" t="s">
        <v>1961</v>
      </c>
      <c r="J299" s="19" t="s">
        <v>1962</v>
      </c>
    </row>
    <row r="300" spans="1:10" ht="32.4">
      <c r="A300" s="17" t="s">
        <v>66</v>
      </c>
      <c r="B300" s="20">
        <v>26</v>
      </c>
      <c r="C300" s="22">
        <v>263</v>
      </c>
      <c r="D300" s="22">
        <v>2631</v>
      </c>
      <c r="E300" s="28" t="s">
        <v>67</v>
      </c>
      <c r="F300" s="21" t="s">
        <v>81</v>
      </c>
      <c r="G300" s="19" t="s">
        <v>1961</v>
      </c>
      <c r="H300" s="19" t="s">
        <v>1963</v>
      </c>
      <c r="I300" s="19" t="s">
        <v>1963</v>
      </c>
      <c r="J300" s="19" t="s">
        <v>1964</v>
      </c>
    </row>
    <row r="301" spans="1:10" ht="33.6">
      <c r="A301" s="17" t="s">
        <v>66</v>
      </c>
      <c r="B301" s="20">
        <v>26</v>
      </c>
      <c r="C301" s="22">
        <v>263</v>
      </c>
      <c r="D301" s="22">
        <v>2632</v>
      </c>
      <c r="E301" s="28" t="s">
        <v>67</v>
      </c>
      <c r="F301" s="21" t="s">
        <v>81</v>
      </c>
      <c r="G301" s="19" t="s">
        <v>1961</v>
      </c>
      <c r="H301" s="19" t="s">
        <v>1965</v>
      </c>
      <c r="I301" s="19" t="s">
        <v>1965</v>
      </c>
      <c r="J301" s="19" t="s">
        <v>1966</v>
      </c>
    </row>
    <row r="302" spans="1:10" ht="33.6">
      <c r="A302" s="17" t="s">
        <v>66</v>
      </c>
      <c r="B302" s="20">
        <v>26</v>
      </c>
      <c r="C302" s="22">
        <v>264</v>
      </c>
      <c r="D302" s="22" t="s"/>
      <c r="E302" s="28" t="s">
        <v>67</v>
      </c>
      <c r="F302" s="21" t="s">
        <v>81</v>
      </c>
      <c r="G302" s="19" t="s">
        <v>1967</v>
      </c>
      <c r="H302" s="29" t="s"/>
      <c r="I302" s="19" t="s">
        <v>1967</v>
      </c>
      <c r="J302" s="27" t="s"/>
    </row>
    <row r="303" spans="1:10" ht="33.6">
      <c r="A303" s="17" t="s">
        <v>66</v>
      </c>
      <c r="B303" s="20">
        <v>26</v>
      </c>
      <c r="C303" s="22">
        <v>264</v>
      </c>
      <c r="D303" s="22">
        <v>2641</v>
      </c>
      <c r="E303" s="28" t="s">
        <v>67</v>
      </c>
      <c r="F303" s="21" t="s">
        <v>81</v>
      </c>
      <c r="G303" s="19" t="s">
        <v>1967</v>
      </c>
      <c r="H303" s="19" t="s">
        <v>1968</v>
      </c>
      <c r="I303" s="19" t="s">
        <v>1968</v>
      </c>
      <c r="J303" s="19" t="s">
        <v>1969</v>
      </c>
    </row>
    <row r="304" spans="1:10" ht="34.8">
      <c r="A304" s="17" t="s">
        <v>66</v>
      </c>
      <c r="B304" s="20">
        <v>26</v>
      </c>
      <c r="C304" s="22">
        <v>264</v>
      </c>
      <c r="D304" s="22">
        <v>2642</v>
      </c>
      <c r="E304" s="28" t="s">
        <v>67</v>
      </c>
      <c r="F304" s="21" t="s">
        <v>81</v>
      </c>
      <c r="G304" s="19" t="s">
        <v>1967</v>
      </c>
      <c r="H304" s="19" t="s">
        <v>1970</v>
      </c>
      <c r="I304" s="19" t="s">
        <v>1970</v>
      </c>
      <c r="J304" s="19" t="s">
        <v>82</v>
      </c>
    </row>
    <row r="305" spans="1:10" ht="33.6">
      <c r="A305" s="17" t="s">
        <v>66</v>
      </c>
      <c r="B305" s="20">
        <v>26</v>
      </c>
      <c r="C305" s="22">
        <v>264</v>
      </c>
      <c r="D305" s="22">
        <v>2643</v>
      </c>
      <c r="E305" s="28" t="s">
        <v>67</v>
      </c>
      <c r="F305" s="21" t="s">
        <v>81</v>
      </c>
      <c r="G305" s="19" t="s">
        <v>1967</v>
      </c>
      <c r="H305" s="19" t="s">
        <v>1971</v>
      </c>
      <c r="I305" s="19" t="s">
        <v>1971</v>
      </c>
      <c r="J305" s="19" t="s">
        <v>1972</v>
      </c>
    </row>
    <row r="306" spans="1:10" ht="33.6">
      <c r="A306" s="17" t="s">
        <v>66</v>
      </c>
      <c r="B306" s="20">
        <v>26</v>
      </c>
      <c r="C306" s="22">
        <v>264</v>
      </c>
      <c r="D306" s="22">
        <v>2644</v>
      </c>
      <c r="E306" s="28" t="s">
        <v>67</v>
      </c>
      <c r="F306" s="21" t="s">
        <v>81</v>
      </c>
      <c r="G306" s="19" t="s">
        <v>1967</v>
      </c>
      <c r="H306" s="19" t="s">
        <v>1973</v>
      </c>
      <c r="I306" s="19" t="s">
        <v>1973</v>
      </c>
      <c r="J306" s="19" t="s">
        <v>1974</v>
      </c>
    </row>
    <row r="307" spans="1:10" ht="33.6">
      <c r="A307" s="17" t="s">
        <v>66</v>
      </c>
      <c r="B307" s="20">
        <v>26</v>
      </c>
      <c r="C307" s="22">
        <v>264</v>
      </c>
      <c r="D307" s="22">
        <v>2645</v>
      </c>
      <c r="E307" s="28" t="s">
        <v>67</v>
      </c>
      <c r="F307" s="21" t="s">
        <v>81</v>
      </c>
      <c r="G307" s="19" t="s">
        <v>1967</v>
      </c>
      <c r="H307" s="19" t="s">
        <v>1975</v>
      </c>
      <c r="I307" s="19" t="s">
        <v>1975</v>
      </c>
      <c r="J307" s="19" t="s">
        <v>1976</v>
      </c>
    </row>
    <row r="308" spans="1:10" ht="32.4">
      <c r="A308" s="17" t="s">
        <v>66</v>
      </c>
      <c r="B308" s="20">
        <v>26</v>
      </c>
      <c r="C308" s="22">
        <v>265</v>
      </c>
      <c r="D308" s="22" t="s"/>
      <c r="E308" s="28" t="s">
        <v>67</v>
      </c>
      <c r="F308" s="21" t="s">
        <v>81</v>
      </c>
      <c r="G308" s="19" t="s">
        <v>1977</v>
      </c>
      <c r="H308" s="29" t="s"/>
      <c r="I308" s="19" t="s">
        <v>1977</v>
      </c>
      <c r="J308" s="27" t="s"/>
    </row>
    <row r="309" spans="1:10" ht="33.6">
      <c r="A309" s="17" t="s">
        <v>66</v>
      </c>
      <c r="B309" s="20">
        <v>26</v>
      </c>
      <c r="C309" s="22">
        <v>265</v>
      </c>
      <c r="D309" s="22">
        <v>2651</v>
      </c>
      <c r="E309" s="28" t="s">
        <v>67</v>
      </c>
      <c r="F309" s="21" t="s">
        <v>81</v>
      </c>
      <c r="G309" s="19" t="s">
        <v>1977</v>
      </c>
      <c r="H309" s="19" t="s">
        <v>1978</v>
      </c>
      <c r="I309" s="19" t="s">
        <v>1978</v>
      </c>
      <c r="J309" s="19" t="s">
        <v>1979</v>
      </c>
    </row>
    <row r="310" spans="1:10" ht="32.4">
      <c r="A310" s="17" t="s">
        <v>66</v>
      </c>
      <c r="B310" s="20">
        <v>26</v>
      </c>
      <c r="C310" s="22">
        <v>265</v>
      </c>
      <c r="D310" s="22">
        <v>2652</v>
      </c>
      <c r="E310" s="28" t="s">
        <v>67</v>
      </c>
      <c r="F310" s="21" t="s">
        <v>81</v>
      </c>
      <c r="G310" s="19" t="s">
        <v>1977</v>
      </c>
      <c r="H310" s="19" t="s">
        <v>1980</v>
      </c>
      <c r="I310" s="19" t="s">
        <v>1980</v>
      </c>
      <c r="J310" s="19" t="s">
        <v>1981</v>
      </c>
    </row>
    <row r="311" spans="1:10" ht="32.4">
      <c r="A311" s="17" t="s">
        <v>66</v>
      </c>
      <c r="B311" s="20">
        <v>26</v>
      </c>
      <c r="C311" s="22">
        <v>265</v>
      </c>
      <c r="D311" s="22">
        <v>2653</v>
      </c>
      <c r="E311" s="28" t="s">
        <v>67</v>
      </c>
      <c r="F311" s="21" t="s">
        <v>81</v>
      </c>
      <c r="G311" s="19" t="s">
        <v>1977</v>
      </c>
      <c r="H311" s="19" t="s">
        <v>1982</v>
      </c>
      <c r="I311" s="19" t="s">
        <v>1982</v>
      </c>
      <c r="J311" s="19" t="s">
        <v>1983</v>
      </c>
    </row>
    <row r="312" spans="1:10" ht="32.4">
      <c r="A312" s="17" t="s">
        <v>66</v>
      </c>
      <c r="B312" s="20">
        <v>26</v>
      </c>
      <c r="C312" s="22">
        <v>265</v>
      </c>
      <c r="D312" s="22">
        <v>2659</v>
      </c>
      <c r="E312" s="28" t="s">
        <v>67</v>
      </c>
      <c r="F312" s="21" t="s">
        <v>81</v>
      </c>
      <c r="G312" s="19" t="s">
        <v>1977</v>
      </c>
      <c r="H312" s="19" t="s">
        <v>1984</v>
      </c>
      <c r="I312" s="19" t="s">
        <v>1984</v>
      </c>
      <c r="J312" s="19" t="s"/>
    </row>
    <row r="313" spans="1:10" ht="32.4">
      <c r="A313" s="17" t="s">
        <v>66</v>
      </c>
      <c r="B313" s="20">
        <v>26</v>
      </c>
      <c r="C313" s="22">
        <v>266</v>
      </c>
      <c r="D313" s="22" t="s"/>
      <c r="E313" s="28" t="s">
        <v>67</v>
      </c>
      <c r="F313" s="21" t="s">
        <v>81</v>
      </c>
      <c r="G313" s="19" t="s">
        <v>1985</v>
      </c>
      <c r="H313" s="29" t="s"/>
      <c r="I313" s="19" t="s">
        <v>1985</v>
      </c>
      <c r="J313" s="27" t="s"/>
    </row>
    <row r="314" spans="1:10" ht="32.4">
      <c r="A314" s="17" t="s">
        <v>66</v>
      </c>
      <c r="B314" s="20">
        <v>26</v>
      </c>
      <c r="C314" s="22">
        <v>266</v>
      </c>
      <c r="D314" s="22">
        <v>2661</v>
      </c>
      <c r="E314" s="28" t="s">
        <v>67</v>
      </c>
      <c r="F314" s="21" t="s">
        <v>81</v>
      </c>
      <c r="G314" s="19" t="s">
        <v>1985</v>
      </c>
      <c r="H314" s="19" t="s">
        <v>1986</v>
      </c>
      <c r="I314" s="19" t="s">
        <v>1986</v>
      </c>
      <c r="J314" s="19" t="s">
        <v>1987</v>
      </c>
    </row>
    <row r="315" spans="1:10" ht="44.4">
      <c r="A315" s="17" t="s">
        <v>66</v>
      </c>
      <c r="B315" s="20">
        <v>26</v>
      </c>
      <c r="C315" s="22">
        <v>266</v>
      </c>
      <c r="D315" s="22">
        <v>2662</v>
      </c>
      <c r="E315" s="28" t="s">
        <v>67</v>
      </c>
      <c r="F315" s="21" t="s">
        <v>81</v>
      </c>
      <c r="G315" s="19" t="s">
        <v>1985</v>
      </c>
      <c r="H315" s="19" t="s">
        <v>1988</v>
      </c>
      <c r="I315" s="19" t="s">
        <v>1988</v>
      </c>
      <c r="J315" s="19" t="s">
        <v>1989</v>
      </c>
    </row>
    <row r="316" spans="1:10" ht="32.4">
      <c r="A316" s="17" t="s">
        <v>66</v>
      </c>
      <c r="B316" s="20">
        <v>26</v>
      </c>
      <c r="C316" s="22">
        <v>266</v>
      </c>
      <c r="D316" s="22">
        <v>2663</v>
      </c>
      <c r="E316" s="28" t="s">
        <v>67</v>
      </c>
      <c r="F316" s="21" t="s">
        <v>81</v>
      </c>
      <c r="G316" s="19" t="s">
        <v>1985</v>
      </c>
      <c r="H316" s="19" t="s">
        <v>1990</v>
      </c>
      <c r="I316" s="19" t="s">
        <v>1990</v>
      </c>
      <c r="J316" s="19" t="s">
        <v>1991</v>
      </c>
    </row>
    <row r="317" spans="1:10" ht="32.4">
      <c r="A317" s="17" t="s">
        <v>66</v>
      </c>
      <c r="B317" s="20">
        <v>26</v>
      </c>
      <c r="C317" s="22">
        <v>266</v>
      </c>
      <c r="D317" s="22">
        <v>2664</v>
      </c>
      <c r="E317" s="28" t="s">
        <v>67</v>
      </c>
      <c r="F317" s="21" t="s">
        <v>81</v>
      </c>
      <c r="G317" s="19" t="s">
        <v>1985</v>
      </c>
      <c r="H317" s="19" t="s">
        <v>1992</v>
      </c>
      <c r="I317" s="19" t="s">
        <v>1992</v>
      </c>
      <c r="J317" s="19" t="s">
        <v>1993</v>
      </c>
    </row>
    <row r="318" spans="1:10" ht="32.4">
      <c r="A318" s="17" t="s">
        <v>66</v>
      </c>
      <c r="B318" s="20">
        <v>26</v>
      </c>
      <c r="C318" s="22">
        <v>266</v>
      </c>
      <c r="D318" s="22">
        <v>2665</v>
      </c>
      <c r="E318" s="28" t="s">
        <v>67</v>
      </c>
      <c r="F318" s="21" t="s">
        <v>81</v>
      </c>
      <c r="G318" s="19" t="s">
        <v>1985</v>
      </c>
      <c r="H318" s="19" t="s">
        <v>1994</v>
      </c>
      <c r="I318" s="19" t="s">
        <v>1994</v>
      </c>
      <c r="J318" s="19" t="s">
        <v>1995</v>
      </c>
    </row>
    <row r="319" spans="1:10" ht="33.6">
      <c r="A319" s="17" t="s">
        <v>66</v>
      </c>
      <c r="B319" s="20">
        <v>26</v>
      </c>
      <c r="C319" s="22">
        <v>266</v>
      </c>
      <c r="D319" s="22">
        <v>2666</v>
      </c>
      <c r="E319" s="28" t="s">
        <v>67</v>
      </c>
      <c r="F319" s="21" t="s">
        <v>81</v>
      </c>
      <c r="G319" s="19" t="s">
        <v>1985</v>
      </c>
      <c r="H319" s="19" t="s">
        <v>1996</v>
      </c>
      <c r="I319" s="19" t="s">
        <v>1996</v>
      </c>
      <c r="J319" s="19" t="s">
        <v>1997</v>
      </c>
    </row>
    <row r="320" spans="1:10" ht="32.4">
      <c r="A320" s="17" t="s">
        <v>66</v>
      </c>
      <c r="B320" s="20">
        <v>26</v>
      </c>
      <c r="C320" s="22">
        <v>266</v>
      </c>
      <c r="D320" s="22">
        <v>2667</v>
      </c>
      <c r="E320" s="28" t="s">
        <v>67</v>
      </c>
      <c r="F320" s="21" t="s">
        <v>81</v>
      </c>
      <c r="G320" s="19" t="s">
        <v>1985</v>
      </c>
      <c r="H320" s="19" t="s">
        <v>1998</v>
      </c>
      <c r="I320" s="19" t="s">
        <v>1998</v>
      </c>
      <c r="J320" s="19" t="s">
        <v>1999</v>
      </c>
    </row>
    <row r="321" spans="1:10" ht="32.4">
      <c r="A321" s="17" t="s">
        <v>66</v>
      </c>
      <c r="B321" s="20">
        <v>26</v>
      </c>
      <c r="C321" s="22">
        <v>266</v>
      </c>
      <c r="D321" s="22">
        <v>2669</v>
      </c>
      <c r="E321" s="28" t="s">
        <v>67</v>
      </c>
      <c r="F321" s="21" t="s">
        <v>81</v>
      </c>
      <c r="G321" s="19" t="s">
        <v>1985</v>
      </c>
      <c r="H321" s="19" t="s">
        <v>2000</v>
      </c>
      <c r="I321" s="19" t="s">
        <v>2000</v>
      </c>
      <c r="J321" s="27" t="s"/>
    </row>
    <row r="322" spans="1:10" ht="32.4">
      <c r="A322" s="17" t="s">
        <v>66</v>
      </c>
      <c r="B322" s="20">
        <v>26</v>
      </c>
      <c r="C322" s="22">
        <v>267</v>
      </c>
      <c r="D322" s="22" t="s"/>
      <c r="E322" s="28" t="s">
        <v>67</v>
      </c>
      <c r="F322" s="21" t="s">
        <v>81</v>
      </c>
      <c r="G322" s="19" t="s">
        <v>2001</v>
      </c>
      <c r="H322" s="29" t="s"/>
      <c r="I322" s="19" t="s">
        <v>2001</v>
      </c>
      <c r="J322" s="19" t="s"/>
    </row>
    <row r="323" spans="1:10" ht="32.4">
      <c r="A323" s="17" t="s">
        <v>66</v>
      </c>
      <c r="B323" s="20">
        <v>26</v>
      </c>
      <c r="C323" s="22">
        <v>267</v>
      </c>
      <c r="D323" s="22">
        <v>2671</v>
      </c>
      <c r="E323" s="28" t="s">
        <v>67</v>
      </c>
      <c r="F323" s="21" t="s">
        <v>81</v>
      </c>
      <c r="G323" s="19" t="s">
        <v>2001</v>
      </c>
      <c r="H323" s="19" t="s">
        <v>2002</v>
      </c>
      <c r="I323" s="19" t="s">
        <v>2002</v>
      </c>
      <c r="J323" s="27" t="s"/>
    </row>
    <row r="324" spans="1:10" ht="33.6">
      <c r="A324" s="17" t="s">
        <v>66</v>
      </c>
      <c r="B324" s="20">
        <v>26</v>
      </c>
      <c r="C324" s="22">
        <v>267</v>
      </c>
      <c r="D324" s="22">
        <v>2672</v>
      </c>
      <c r="E324" s="28" t="s">
        <v>67</v>
      </c>
      <c r="F324" s="21" t="s">
        <v>81</v>
      </c>
      <c r="G324" s="19" t="s">
        <v>2001</v>
      </c>
      <c r="H324" s="19" t="s">
        <v>2003</v>
      </c>
      <c r="I324" s="19" t="s">
        <v>2003</v>
      </c>
      <c r="J324" s="19" t="s">
        <v>2004</v>
      </c>
    </row>
    <row r="325" spans="1:10" ht="32.4">
      <c r="A325" s="17" t="s">
        <v>66</v>
      </c>
      <c r="B325" s="20">
        <v>26</v>
      </c>
      <c r="C325" s="22">
        <v>267</v>
      </c>
      <c r="D325" s="22">
        <v>2673</v>
      </c>
      <c r="E325" s="28" t="s">
        <v>67</v>
      </c>
      <c r="F325" s="21" t="s">
        <v>81</v>
      </c>
      <c r="G325" s="19" t="s">
        <v>2001</v>
      </c>
      <c r="H325" s="19" t="s">
        <v>2005</v>
      </c>
      <c r="I325" s="19" t="s">
        <v>2005</v>
      </c>
      <c r="J325" s="19" t="s">
        <v>2006</v>
      </c>
    </row>
    <row r="326" spans="1:10" ht="44.4">
      <c r="A326" s="17" t="s">
        <v>66</v>
      </c>
      <c r="B326" s="20">
        <v>26</v>
      </c>
      <c r="C326" s="22">
        <v>267</v>
      </c>
      <c r="D326" s="22">
        <v>2674</v>
      </c>
      <c r="E326" s="28" t="s">
        <v>67</v>
      </c>
      <c r="F326" s="21" t="s">
        <v>81</v>
      </c>
      <c r="G326" s="19" t="s">
        <v>2001</v>
      </c>
      <c r="H326" s="19" t="s">
        <v>2007</v>
      </c>
      <c r="I326" s="19" t="s">
        <v>2007</v>
      </c>
      <c r="J326" s="19" t="s">
        <v>2008</v>
      </c>
    </row>
    <row r="327" spans="1:10" ht="32.4">
      <c r="A327" s="17" t="s">
        <v>66</v>
      </c>
      <c r="B327" s="20">
        <v>26</v>
      </c>
      <c r="C327" s="22">
        <v>267</v>
      </c>
      <c r="D327" s="22">
        <v>2679</v>
      </c>
      <c r="E327" s="28" t="s">
        <v>67</v>
      </c>
      <c r="F327" s="21" t="s">
        <v>81</v>
      </c>
      <c r="G327" s="19" t="s">
        <v>2001</v>
      </c>
      <c r="H327" s="19" t="s">
        <v>2009</v>
      </c>
      <c r="I327" s="19" t="s">
        <v>2009</v>
      </c>
      <c r="J327" s="19" t="s"/>
    </row>
    <row r="328" spans="1:10" ht="21.6">
      <c r="A328" s="17" t="s">
        <v>66</v>
      </c>
      <c r="B328" s="20">
        <v>27</v>
      </c>
      <c r="C328" s="22" t="s"/>
      <c r="D328" s="20" t="s"/>
      <c r="E328" s="28" t="s">
        <v>67</v>
      </c>
      <c r="F328" s="21" t="s">
        <v>83</v>
      </c>
      <c r="G328" s="20" t="s"/>
      <c r="H328" s="29" t="s"/>
      <c r="I328" s="21" t="s">
        <v>83</v>
      </c>
      <c r="J328" s="27" t="s"/>
    </row>
    <row r="329" spans="1:10" ht="22.8">
      <c r="A329" s="17" t="s">
        <v>66</v>
      </c>
      <c r="B329" s="20">
        <v>27</v>
      </c>
      <c r="C329" s="22">
        <v>271</v>
      </c>
      <c r="D329" s="22">
        <v>2710</v>
      </c>
      <c r="E329" s="28" t="s">
        <v>67</v>
      </c>
      <c r="F329" s="21" t="s">
        <v>83</v>
      </c>
      <c r="G329" s="19" t="s">
        <v>2010</v>
      </c>
      <c r="H329" s="19" t="s">
        <v>2010</v>
      </c>
      <c r="I329" s="19" t="s">
        <v>2010</v>
      </c>
      <c r="J329" s="19" t="s">
        <v>2011</v>
      </c>
    </row>
    <row r="330" spans="1:10" ht="22.8">
      <c r="A330" s="17" t="s">
        <v>66</v>
      </c>
      <c r="B330" s="20">
        <v>27</v>
      </c>
      <c r="C330" s="22">
        <v>272</v>
      </c>
      <c r="D330" s="22">
        <v>2720</v>
      </c>
      <c r="E330" s="28" t="s">
        <v>67</v>
      </c>
      <c r="F330" s="21" t="s">
        <v>83</v>
      </c>
      <c r="G330" s="19" t="s">
        <v>2012</v>
      </c>
      <c r="H330" s="19" t="s">
        <v>2012</v>
      </c>
      <c r="I330" s="19" t="s">
        <v>2012</v>
      </c>
      <c r="J330" s="19" t="s">
        <v>2013</v>
      </c>
    </row>
    <row r="331" spans="1:10" ht="22.8">
      <c r="A331" s="17" t="s">
        <v>66</v>
      </c>
      <c r="B331" s="20">
        <v>27</v>
      </c>
      <c r="C331" s="22">
        <v>273</v>
      </c>
      <c r="D331" s="22">
        <v>2730</v>
      </c>
      <c r="E331" s="28" t="s">
        <v>67</v>
      </c>
      <c r="F331" s="21" t="s">
        <v>83</v>
      </c>
      <c r="G331" s="19" t="s">
        <v>2014</v>
      </c>
      <c r="H331" s="19" t="s">
        <v>2014</v>
      </c>
      <c r="I331" s="19" t="s">
        <v>2014</v>
      </c>
      <c r="J331" s="19" t="s">
        <v>2015</v>
      </c>
    </row>
    <row r="332" spans="1:10" ht="21.6">
      <c r="A332" s="17" t="s">
        <v>66</v>
      </c>
      <c r="B332" s="20">
        <v>27</v>
      </c>
      <c r="C332" s="22">
        <v>274</v>
      </c>
      <c r="D332" s="22">
        <v>2740</v>
      </c>
      <c r="E332" s="28" t="s">
        <v>67</v>
      </c>
      <c r="F332" s="21" t="s">
        <v>83</v>
      </c>
      <c r="G332" s="19" t="s">
        <v>2016</v>
      </c>
      <c r="H332" s="19" t="s">
        <v>2016</v>
      </c>
      <c r="I332" s="19" t="s">
        <v>2016</v>
      </c>
      <c r="J332" s="19" t="s">
        <v>2017</v>
      </c>
    </row>
    <row r="333" spans="1:10" ht="21.6">
      <c r="A333" s="17" t="s">
        <v>66</v>
      </c>
      <c r="B333" s="20">
        <v>27</v>
      </c>
      <c r="C333" s="22">
        <v>275</v>
      </c>
      <c r="D333" s="22">
        <v>2750</v>
      </c>
      <c r="E333" s="28" t="s">
        <v>67</v>
      </c>
      <c r="F333" s="21" t="s">
        <v>83</v>
      </c>
      <c r="G333" s="19" t="s">
        <v>2018</v>
      </c>
      <c r="H333" s="19" t="s">
        <v>2018</v>
      </c>
      <c r="I333" s="19" t="s">
        <v>2018</v>
      </c>
      <c r="J333" s="19" t="s">
        <v>2019</v>
      </c>
    </row>
    <row r="334" spans="1:10" ht="22.8">
      <c r="A334" s="17" t="s">
        <v>66</v>
      </c>
      <c r="B334" s="20">
        <v>27</v>
      </c>
      <c r="C334" s="22">
        <v>276</v>
      </c>
      <c r="D334" s="22">
        <v>2760</v>
      </c>
      <c r="E334" s="28" t="s">
        <v>67</v>
      </c>
      <c r="F334" s="21" t="s">
        <v>83</v>
      </c>
      <c r="G334" s="19" t="s">
        <v>2020</v>
      </c>
      <c r="H334" s="19" t="s">
        <v>2020</v>
      </c>
      <c r="I334" s="19" t="s">
        <v>2020</v>
      </c>
      <c r="J334" s="19" t="s">
        <v>2021</v>
      </c>
    </row>
    <row r="335" spans="1:10" ht="24">
      <c r="A335" s="17" t="s">
        <v>66</v>
      </c>
      <c r="B335" s="20">
        <v>27</v>
      </c>
      <c r="C335" s="22">
        <v>277</v>
      </c>
      <c r="D335" s="22">
        <v>2770</v>
      </c>
      <c r="E335" s="28" t="s">
        <v>67</v>
      </c>
      <c r="F335" s="21" t="s">
        <v>83</v>
      </c>
      <c r="G335" s="19" t="s">
        <v>2022</v>
      </c>
      <c r="H335" s="19" t="s">
        <v>2022</v>
      </c>
      <c r="I335" s="19" t="s">
        <v>2022</v>
      </c>
      <c r="J335" s="19" t="s">
        <v>2023</v>
      </c>
    </row>
    <row r="336" spans="1:10" ht="21.6">
      <c r="A336" s="17" t="s">
        <v>66</v>
      </c>
      <c r="B336" s="20">
        <v>28</v>
      </c>
      <c r="C336" s="22" t="s"/>
      <c r="D336" s="20" t="s"/>
      <c r="E336" s="28" t="s">
        <v>67</v>
      </c>
      <c r="F336" s="21" t="s">
        <v>84</v>
      </c>
      <c r="G336" s="20" t="s"/>
      <c r="H336" s="29" t="s"/>
      <c r="I336" s="21" t="s">
        <v>84</v>
      </c>
      <c r="J336" s="19" t="s"/>
    </row>
    <row r="337" spans="1:10" ht="22.8">
      <c r="A337" s="17" t="s">
        <v>66</v>
      </c>
      <c r="B337" s="20">
        <v>28</v>
      </c>
      <c r="C337" s="22">
        <v>281</v>
      </c>
      <c r="D337" s="22" t="s"/>
      <c r="E337" s="28" t="s">
        <v>67</v>
      </c>
      <c r="F337" s="21" t="s">
        <v>84</v>
      </c>
      <c r="G337" s="19" t="s">
        <v>2024</v>
      </c>
      <c r="H337" s="29" t="s"/>
      <c r="I337" s="19" t="s">
        <v>2024</v>
      </c>
      <c r="J337" s="27" t="s"/>
    </row>
    <row r="338" spans="1:10" ht="22.8">
      <c r="A338" s="17" t="s">
        <v>66</v>
      </c>
      <c r="B338" s="20">
        <v>28</v>
      </c>
      <c r="C338" s="22">
        <v>281</v>
      </c>
      <c r="D338" s="22">
        <v>2811</v>
      </c>
      <c r="E338" s="28" t="s">
        <v>67</v>
      </c>
      <c r="F338" s="21" t="s">
        <v>84</v>
      </c>
      <c r="G338" s="19" t="s">
        <v>2024</v>
      </c>
      <c r="H338" s="19" t="s">
        <v>2025</v>
      </c>
      <c r="I338" s="19" t="s">
        <v>2025</v>
      </c>
      <c r="J338" s="19" t="s">
        <v>2026</v>
      </c>
    </row>
    <row r="339" spans="1:10" ht="22.8">
      <c r="A339" s="17" t="s">
        <v>66</v>
      </c>
      <c r="B339" s="20">
        <v>28</v>
      </c>
      <c r="C339" s="22">
        <v>281</v>
      </c>
      <c r="D339" s="22">
        <v>2812</v>
      </c>
      <c r="E339" s="28" t="s">
        <v>67</v>
      </c>
      <c r="F339" s="21" t="s">
        <v>84</v>
      </c>
      <c r="G339" s="19" t="s">
        <v>2024</v>
      </c>
      <c r="H339" s="19" t="s">
        <v>2027</v>
      </c>
      <c r="I339" s="19" t="s">
        <v>2027</v>
      </c>
      <c r="J339" s="19" t="s">
        <v>2028</v>
      </c>
    </row>
    <row r="340" spans="1:10" ht="22.8">
      <c r="A340" s="17" t="s">
        <v>66</v>
      </c>
      <c r="B340" s="20">
        <v>28</v>
      </c>
      <c r="C340" s="22">
        <v>282</v>
      </c>
      <c r="D340" s="22" t="s"/>
      <c r="E340" s="28" t="s">
        <v>67</v>
      </c>
      <c r="F340" s="21" t="s">
        <v>84</v>
      </c>
      <c r="G340" s="19" t="s">
        <v>2029</v>
      </c>
      <c r="H340" s="29" t="s"/>
      <c r="I340" s="19" t="s">
        <v>2029</v>
      </c>
      <c r="J340" s="19" t="s">
        <v>2030</v>
      </c>
    </row>
    <row r="341" spans="1:10" ht="22.8">
      <c r="A341" s="17" t="s">
        <v>66</v>
      </c>
      <c r="B341" s="20">
        <v>28</v>
      </c>
      <c r="C341" s="22">
        <v>282</v>
      </c>
      <c r="D341" s="22">
        <v>2821</v>
      </c>
      <c r="E341" s="28" t="s">
        <v>67</v>
      </c>
      <c r="F341" s="21" t="s">
        <v>84</v>
      </c>
      <c r="G341" s="19" t="s">
        <v>2029</v>
      </c>
      <c r="H341" s="19" t="s">
        <v>2031</v>
      </c>
      <c r="I341" s="19" t="s">
        <v>2031</v>
      </c>
      <c r="J341" s="19" t="s">
        <v>2032</v>
      </c>
    </row>
    <row r="342" spans="1:10" ht="22.8">
      <c r="A342" s="17" t="s">
        <v>66</v>
      </c>
      <c r="B342" s="20">
        <v>28</v>
      </c>
      <c r="C342" s="22">
        <v>282</v>
      </c>
      <c r="D342" s="22">
        <v>2822</v>
      </c>
      <c r="E342" s="28" t="s">
        <v>67</v>
      </c>
      <c r="F342" s="21" t="s">
        <v>84</v>
      </c>
      <c r="G342" s="19" t="s">
        <v>2029</v>
      </c>
      <c r="H342" s="19" t="s">
        <v>2033</v>
      </c>
      <c r="I342" s="19" t="s">
        <v>2033</v>
      </c>
      <c r="J342" s="19" t="s">
        <v>2034</v>
      </c>
    </row>
    <row r="343" spans="1:10" ht="22.8">
      <c r="A343" s="17" t="s">
        <v>66</v>
      </c>
      <c r="B343" s="20">
        <v>28</v>
      </c>
      <c r="C343" s="22">
        <v>282</v>
      </c>
      <c r="D343" s="22">
        <v>2823</v>
      </c>
      <c r="E343" s="28" t="s">
        <v>67</v>
      </c>
      <c r="F343" s="21" t="s">
        <v>84</v>
      </c>
      <c r="G343" s="19" t="s">
        <v>2029</v>
      </c>
      <c r="H343" s="19" t="s">
        <v>2035</v>
      </c>
      <c r="I343" s="19" t="s">
        <v>2035</v>
      </c>
      <c r="J343" s="19" t="s">
        <v>2036</v>
      </c>
    </row>
    <row r="344" spans="1:10" ht="22.8">
      <c r="A344" s="17" t="s">
        <v>66</v>
      </c>
      <c r="B344" s="20">
        <v>28</v>
      </c>
      <c r="C344" s="22">
        <v>282</v>
      </c>
      <c r="D344" s="22">
        <v>2824</v>
      </c>
      <c r="E344" s="28" t="s">
        <v>67</v>
      </c>
      <c r="F344" s="21" t="s">
        <v>84</v>
      </c>
      <c r="G344" s="19" t="s">
        <v>2029</v>
      </c>
      <c r="H344" s="19" t="s">
        <v>2037</v>
      </c>
      <c r="I344" s="19" t="s">
        <v>2037</v>
      </c>
      <c r="J344" s="19" t="s">
        <v>2038</v>
      </c>
    </row>
    <row r="345" spans="1:10" ht="22.8">
      <c r="A345" s="17" t="s">
        <v>66</v>
      </c>
      <c r="B345" s="20">
        <v>28</v>
      </c>
      <c r="C345" s="22">
        <v>282</v>
      </c>
      <c r="D345" s="22">
        <v>2829</v>
      </c>
      <c r="E345" s="28" t="s">
        <v>67</v>
      </c>
      <c r="F345" s="21" t="s">
        <v>84</v>
      </c>
      <c r="G345" s="19" t="s">
        <v>2029</v>
      </c>
      <c r="H345" s="19" t="s">
        <v>2039</v>
      </c>
      <c r="I345" s="19" t="s">
        <v>2039</v>
      </c>
      <c r="J345" s="19" t="s"/>
    </row>
    <row r="346" spans="1:10" ht="22.8">
      <c r="A346" s="17" t="s">
        <v>66</v>
      </c>
      <c r="B346" s="20">
        <v>29</v>
      </c>
      <c r="C346" s="22" t="s"/>
      <c r="D346" s="20" t="s"/>
      <c r="E346" s="28" t="s">
        <v>67</v>
      </c>
      <c r="F346" s="21" t="s">
        <v>85</v>
      </c>
      <c r="G346" s="20" t="s"/>
      <c r="H346" s="29" t="s"/>
      <c r="I346" s="21" t="s">
        <v>85</v>
      </c>
      <c r="J346" s="19" t="s">
        <v>2040</v>
      </c>
    </row>
    <row r="347" spans="1:10" ht="21.6">
      <c r="A347" s="17" t="s">
        <v>66</v>
      </c>
      <c r="B347" s="20">
        <v>29</v>
      </c>
      <c r="C347" s="22">
        <v>291</v>
      </c>
      <c r="D347" s="22" t="s"/>
      <c r="E347" s="28" t="s">
        <v>67</v>
      </c>
      <c r="F347" s="21" t="s">
        <v>85</v>
      </c>
      <c r="G347" s="19" t="s">
        <v>2041</v>
      </c>
      <c r="H347" s="29" t="s"/>
      <c r="I347" s="19" t="s">
        <v>2041</v>
      </c>
      <c r="J347" s="27" t="s"/>
    </row>
    <row r="348" spans="1:10" ht="33.6">
      <c r="A348" s="17" t="s">
        <v>66</v>
      </c>
      <c r="B348" s="20">
        <v>29</v>
      </c>
      <c r="C348" s="22">
        <v>291</v>
      </c>
      <c r="D348" s="22">
        <v>2911</v>
      </c>
      <c r="E348" s="28" t="s">
        <v>67</v>
      </c>
      <c r="F348" s="21" t="s">
        <v>85</v>
      </c>
      <c r="G348" s="19" t="s">
        <v>2041</v>
      </c>
      <c r="H348" s="19" t="s">
        <v>2042</v>
      </c>
      <c r="I348" s="19" t="s">
        <v>2042</v>
      </c>
      <c r="J348" s="19" t="s">
        <v>2043</v>
      </c>
    </row>
    <row r="349" spans="1:10" ht="21.6">
      <c r="A349" s="17" t="s">
        <v>66</v>
      </c>
      <c r="B349" s="20">
        <v>29</v>
      </c>
      <c r="C349" s="22">
        <v>291</v>
      </c>
      <c r="D349" s="22">
        <v>2912</v>
      </c>
      <c r="E349" s="28" t="s">
        <v>67</v>
      </c>
      <c r="F349" s="21" t="s">
        <v>85</v>
      </c>
      <c r="G349" s="19" t="s">
        <v>2041</v>
      </c>
      <c r="H349" s="19" t="s">
        <v>2044</v>
      </c>
      <c r="I349" s="19" t="s">
        <v>2044</v>
      </c>
      <c r="J349" s="19" t="s">
        <v>2045</v>
      </c>
    </row>
    <row r="350" spans="1:10" ht="21.6">
      <c r="A350" s="17" t="s">
        <v>66</v>
      </c>
      <c r="B350" s="20">
        <v>29</v>
      </c>
      <c r="C350" s="22">
        <v>291</v>
      </c>
      <c r="D350" s="22">
        <v>2913</v>
      </c>
      <c r="E350" s="28" t="s">
        <v>67</v>
      </c>
      <c r="F350" s="21" t="s">
        <v>85</v>
      </c>
      <c r="G350" s="19" t="s">
        <v>2041</v>
      </c>
      <c r="H350" s="19" t="s">
        <v>2046</v>
      </c>
      <c r="I350" s="19" t="s">
        <v>2046</v>
      </c>
      <c r="J350" s="19" t="s">
        <v>2047</v>
      </c>
    </row>
    <row r="351" spans="1:10" ht="44.4">
      <c r="A351" s="17" t="s">
        <v>66</v>
      </c>
      <c r="B351" s="20">
        <v>29</v>
      </c>
      <c r="C351" s="22">
        <v>292</v>
      </c>
      <c r="D351" s="22">
        <v>2920</v>
      </c>
      <c r="E351" s="28" t="s">
        <v>67</v>
      </c>
      <c r="F351" s="21" t="s">
        <v>85</v>
      </c>
      <c r="G351" s="19" t="s">
        <v>2048</v>
      </c>
      <c r="H351" s="19" t="s">
        <v>2048</v>
      </c>
      <c r="I351" s="19" t="s">
        <v>2048</v>
      </c>
      <c r="J351" s="19" t="s">
        <v>2049</v>
      </c>
    </row>
    <row r="352" spans="1:10" ht="21.6">
      <c r="A352" s="17" t="s">
        <v>66</v>
      </c>
      <c r="B352" s="20">
        <v>29</v>
      </c>
      <c r="C352" s="22">
        <v>293</v>
      </c>
      <c r="D352" s="22">
        <v>2930</v>
      </c>
      <c r="E352" s="28" t="s">
        <v>67</v>
      </c>
      <c r="F352" s="21" t="s">
        <v>85</v>
      </c>
      <c r="G352" s="19" t="s">
        <v>2050</v>
      </c>
      <c r="H352" s="19" t="s">
        <v>2050</v>
      </c>
      <c r="I352" s="19" t="s">
        <v>2050</v>
      </c>
      <c r="J352" s="19" t="s">
        <v>2051</v>
      </c>
    </row>
    <row r="353" spans="1:10" ht="21.6">
      <c r="A353" s="17" t="s">
        <v>66</v>
      </c>
      <c r="B353" s="20">
        <v>29</v>
      </c>
      <c r="C353" s="22">
        <v>294</v>
      </c>
      <c r="D353" s="22">
        <v>2940</v>
      </c>
      <c r="E353" s="28" t="s">
        <v>67</v>
      </c>
      <c r="F353" s="21" t="s">
        <v>85</v>
      </c>
      <c r="G353" s="19" t="s">
        <v>2052</v>
      </c>
      <c r="H353" s="19" t="s">
        <v>2052</v>
      </c>
      <c r="I353" s="19" t="s">
        <v>2052</v>
      </c>
      <c r="J353" s="19" t="s">
        <v>2053</v>
      </c>
    </row>
    <row r="354" spans="1:10" ht="22.8">
      <c r="A354" s="17" t="s">
        <v>66</v>
      </c>
      <c r="B354" s="20">
        <v>29</v>
      </c>
      <c r="C354" s="22">
        <v>295</v>
      </c>
      <c r="D354" s="22">
        <v>2950</v>
      </c>
      <c r="E354" s="28" t="s">
        <v>67</v>
      </c>
      <c r="F354" s="21" t="s">
        <v>85</v>
      </c>
      <c r="G354" s="19" t="s">
        <v>2054</v>
      </c>
      <c r="H354" s="19" t="s">
        <v>2054</v>
      </c>
      <c r="I354" s="19" t="s">
        <v>2054</v>
      </c>
      <c r="J354" s="19" t="s"/>
    </row>
    <row r="355" spans="1:10" ht="21.6">
      <c r="A355" s="17" t="s">
        <v>66</v>
      </c>
      <c r="B355" s="20">
        <v>29</v>
      </c>
      <c r="C355" s="22">
        <v>296</v>
      </c>
      <c r="D355" s="22">
        <v>2960</v>
      </c>
      <c r="E355" s="28" t="s">
        <v>67</v>
      </c>
      <c r="F355" s="21" t="s">
        <v>85</v>
      </c>
      <c r="G355" s="19" t="s">
        <v>2055</v>
      </c>
      <c r="H355" s="19" t="s">
        <v>2055</v>
      </c>
      <c r="I355" s="19" t="s">
        <v>2055</v>
      </c>
      <c r="J355" s="19" t="s">
        <v>2056</v>
      </c>
    </row>
    <row r="356" spans="1:10" ht="22.8">
      <c r="A356" s="17" t="s">
        <v>66</v>
      </c>
      <c r="B356" s="20">
        <v>29</v>
      </c>
      <c r="C356" s="22">
        <v>299</v>
      </c>
      <c r="D356" s="22">
        <v>2990</v>
      </c>
      <c r="E356" s="28" t="s">
        <v>67</v>
      </c>
      <c r="F356" s="21" t="s">
        <v>85</v>
      </c>
      <c r="G356" s="19" t="s">
        <v>2057</v>
      </c>
      <c r="H356" s="19" t="s">
        <v>2057</v>
      </c>
      <c r="I356" s="19" t="s">
        <v>2057</v>
      </c>
      <c r="J356" s="27" t="s"/>
    </row>
    <row r="357" spans="1:10" ht="33.6">
      <c r="A357" s="17" t="s">
        <v>66</v>
      </c>
      <c r="B357" s="20">
        <v>30</v>
      </c>
      <c r="C357" s="22" t="s"/>
      <c r="D357" s="20" t="s"/>
      <c r="E357" s="28" t="s">
        <v>67</v>
      </c>
      <c r="F357" s="21" t="s">
        <v>86</v>
      </c>
      <c r="G357" s="20" t="s"/>
      <c r="H357" s="29" t="s"/>
      <c r="I357" s="21" t="s">
        <v>86</v>
      </c>
      <c r="J357" s="19" t="s">
        <v>2058</v>
      </c>
    </row>
    <row r="358" spans="1:10" ht="21.6">
      <c r="A358" s="17" t="s">
        <v>66</v>
      </c>
      <c r="B358" s="20">
        <v>30</v>
      </c>
      <c r="C358" s="22">
        <v>301</v>
      </c>
      <c r="D358" s="22">
        <v>3010</v>
      </c>
      <c r="E358" s="28" t="s">
        <v>67</v>
      </c>
      <c r="F358" s="21" t="s">
        <v>86</v>
      </c>
      <c r="G358" s="19" t="s">
        <v>2059</v>
      </c>
      <c r="H358" s="19" t="s">
        <v>2059</v>
      </c>
      <c r="I358" s="19" t="s">
        <v>2059</v>
      </c>
      <c r="J358" s="19" t="s">
        <v>2060</v>
      </c>
    </row>
    <row r="359" spans="1:10" ht="22.8">
      <c r="A359" s="17" t="s">
        <v>66</v>
      </c>
      <c r="B359" s="20">
        <v>30</v>
      </c>
      <c r="C359" s="22">
        <v>302</v>
      </c>
      <c r="D359" s="22">
        <v>3020</v>
      </c>
      <c r="E359" s="28" t="s">
        <v>67</v>
      </c>
      <c r="F359" s="21" t="s">
        <v>86</v>
      </c>
      <c r="G359" s="19" t="s">
        <v>2061</v>
      </c>
      <c r="H359" s="19" t="s">
        <v>2061</v>
      </c>
      <c r="I359" s="19" t="s">
        <v>2061</v>
      </c>
      <c r="J359" s="19" t="s">
        <v>2062</v>
      </c>
    </row>
    <row r="360" spans="1:10" ht="22.8">
      <c r="A360" s="17" t="s">
        <v>66</v>
      </c>
      <c r="B360" s="20">
        <v>30</v>
      </c>
      <c r="C360" s="22">
        <v>303</v>
      </c>
      <c r="D360" s="22">
        <v>3030</v>
      </c>
      <c r="E360" s="28" t="s">
        <v>67</v>
      </c>
      <c r="F360" s="21" t="s">
        <v>86</v>
      </c>
      <c r="G360" s="19" t="s">
        <v>2063</v>
      </c>
      <c r="H360" s="19" t="s">
        <v>2063</v>
      </c>
      <c r="I360" s="19" t="s">
        <v>2063</v>
      </c>
      <c r="J360" s="27" t="s"/>
    </row>
    <row r="361" spans="1:10" ht="22.8">
      <c r="A361" s="17" t="s">
        <v>66</v>
      </c>
      <c r="B361" s="20">
        <v>30</v>
      </c>
      <c r="C361" s="22">
        <v>304</v>
      </c>
      <c r="D361" s="22">
        <v>3040</v>
      </c>
      <c r="E361" s="28" t="s">
        <v>67</v>
      </c>
      <c r="F361" s="21" t="s">
        <v>86</v>
      </c>
      <c r="G361" s="19" t="s">
        <v>2064</v>
      </c>
      <c r="H361" s="19" t="s">
        <v>2064</v>
      </c>
      <c r="I361" s="19" t="s">
        <v>2064</v>
      </c>
      <c r="J361" s="19" t="s">
        <v>2065</v>
      </c>
    </row>
    <row r="362" spans="1:10" ht="55.2">
      <c r="A362" s="17" t="s">
        <v>66</v>
      </c>
      <c r="B362" s="20">
        <v>30</v>
      </c>
      <c r="C362" s="22">
        <v>305</v>
      </c>
      <c r="D362" s="22">
        <v>3050</v>
      </c>
      <c r="E362" s="28" t="s">
        <v>67</v>
      </c>
      <c r="F362" s="21" t="s">
        <v>86</v>
      </c>
      <c r="G362" s="19" t="s">
        <v>2066</v>
      </c>
      <c r="H362" s="19" t="s">
        <v>2066</v>
      </c>
      <c r="I362" s="19" t="s">
        <v>2066</v>
      </c>
      <c r="J362" s="19" t="s">
        <v>2067</v>
      </c>
    </row>
    <row r="363" spans="1:10" ht="22.8">
      <c r="A363" s="17" t="s">
        <v>66</v>
      </c>
      <c r="B363" s="20">
        <v>30</v>
      </c>
      <c r="C363" s="22">
        <v>306</v>
      </c>
      <c r="D363" s="22">
        <v>3060</v>
      </c>
      <c r="E363" s="28" t="s">
        <v>67</v>
      </c>
      <c r="F363" s="21" t="s">
        <v>86</v>
      </c>
      <c r="G363" s="19" t="s">
        <v>2068</v>
      </c>
      <c r="H363" s="19" t="s">
        <v>2068</v>
      </c>
      <c r="I363" s="19" t="s">
        <v>2068</v>
      </c>
      <c r="J363" s="19" t="s">
        <v>2069</v>
      </c>
    </row>
    <row r="364" spans="1:10" ht="21.6">
      <c r="A364" s="17" t="s">
        <v>66</v>
      </c>
      <c r="B364" s="20">
        <v>30</v>
      </c>
      <c r="C364" s="22">
        <v>307</v>
      </c>
      <c r="D364" s="22">
        <v>3070</v>
      </c>
      <c r="E364" s="28" t="s">
        <v>67</v>
      </c>
      <c r="F364" s="21" t="s">
        <v>86</v>
      </c>
      <c r="G364" s="19" t="s">
        <v>2070</v>
      </c>
      <c r="H364" s="19" t="s">
        <v>2070</v>
      </c>
      <c r="I364" s="19" t="s">
        <v>2070</v>
      </c>
      <c r="J364" s="27" t="s"/>
    </row>
    <row r="365" spans="1:10" ht="21.6">
      <c r="A365" s="17" t="s">
        <v>66</v>
      </c>
      <c r="B365" s="20">
        <v>30</v>
      </c>
      <c r="C365" s="22">
        <v>308</v>
      </c>
      <c r="D365" s="22" t="s"/>
      <c r="E365" s="28" t="s">
        <v>67</v>
      </c>
      <c r="F365" s="21" t="s">
        <v>86</v>
      </c>
      <c r="G365" s="19" t="s">
        <v>2071</v>
      </c>
      <c r="H365" s="19" t="s">
        <v>2071</v>
      </c>
      <c r="I365" s="19" t="s">
        <v>2071</v>
      </c>
      <c r="J365" s="27" t="s"/>
    </row>
    <row r="366" spans="1:10" ht="22.8">
      <c r="A366" s="17" t="s">
        <v>66</v>
      </c>
      <c r="B366" s="20">
        <v>30</v>
      </c>
      <c r="C366" s="22">
        <v>308</v>
      </c>
      <c r="D366" s="22">
        <v>3081</v>
      </c>
      <c r="E366" s="28" t="s">
        <v>67</v>
      </c>
      <c r="F366" s="21" t="s">
        <v>86</v>
      </c>
      <c r="G366" s="19" t="s">
        <v>2072</v>
      </c>
      <c r="H366" s="19" t="s">
        <v>2072</v>
      </c>
      <c r="I366" s="19" t="s">
        <v>2072</v>
      </c>
      <c r="J366" s="19" t="s">
        <v>2073</v>
      </c>
    </row>
    <row r="367" spans="1:10" ht="22.8">
      <c r="A367" s="17" t="s">
        <v>66</v>
      </c>
      <c r="B367" s="20">
        <v>30</v>
      </c>
      <c r="C367" s="22">
        <v>308</v>
      </c>
      <c r="D367" s="22">
        <v>3082</v>
      </c>
      <c r="E367" s="28" t="s">
        <v>67</v>
      </c>
      <c r="F367" s="21" t="s">
        <v>86</v>
      </c>
      <c r="G367" s="19" t="s">
        <v>2074</v>
      </c>
      <c r="H367" s="19" t="s">
        <v>2074</v>
      </c>
      <c r="I367" s="19" t="s">
        <v>2074</v>
      </c>
      <c r="J367" s="27" t="s"/>
    </row>
    <row r="368" spans="1:10" ht="22.8">
      <c r="A368" s="17" t="s">
        <v>66</v>
      </c>
      <c r="B368" s="20">
        <v>30</v>
      </c>
      <c r="C368" s="22">
        <v>309</v>
      </c>
      <c r="D368" s="22">
        <v>3090</v>
      </c>
      <c r="E368" s="28" t="s">
        <v>67</v>
      </c>
      <c r="F368" s="21" t="s">
        <v>86</v>
      </c>
      <c r="G368" s="19" t="s">
        <v>2075</v>
      </c>
      <c r="H368" s="19" t="s">
        <v>2075</v>
      </c>
      <c r="I368" s="19" t="s">
        <v>2075</v>
      </c>
      <c r="J368" s="27" t="s"/>
    </row>
    <row r="369" spans="1:10" ht="21.6">
      <c r="A369" s="17" t="s">
        <v>66</v>
      </c>
      <c r="B369" s="20">
        <v>31</v>
      </c>
      <c r="C369" s="22" t="s"/>
      <c r="D369" s="20" t="s"/>
      <c r="E369" s="28" t="s">
        <v>67</v>
      </c>
      <c r="F369" s="21" t="s">
        <v>87</v>
      </c>
      <c r="G369" s="20" t="s"/>
      <c r="H369" s="29" t="s"/>
      <c r="I369" s="21" t="s">
        <v>87</v>
      </c>
      <c r="J369" s="27" t="s"/>
    </row>
    <row r="370" spans="1:10" ht="22.8">
      <c r="A370" s="17" t="s">
        <v>66</v>
      </c>
      <c r="B370" s="20">
        <v>31</v>
      </c>
      <c r="C370" s="22">
        <v>311</v>
      </c>
      <c r="D370" s="22" t="s"/>
      <c r="E370" s="28" t="s">
        <v>67</v>
      </c>
      <c r="F370" s="21" t="s">
        <v>87</v>
      </c>
      <c r="G370" s="19" t="s">
        <v>2076</v>
      </c>
      <c r="H370" s="29" t="s"/>
      <c r="I370" s="19" t="s">
        <v>2076</v>
      </c>
      <c r="J370" s="27" t="s"/>
    </row>
    <row r="371" spans="1:10" ht="22.8">
      <c r="A371" s="17" t="s">
        <v>66</v>
      </c>
      <c r="B371" s="20">
        <v>31</v>
      </c>
      <c r="C371" s="22">
        <v>311</v>
      </c>
      <c r="D371" s="22">
        <v>3111</v>
      </c>
      <c r="E371" s="28" t="s">
        <v>67</v>
      </c>
      <c r="F371" s="21" t="s">
        <v>87</v>
      </c>
      <c r="G371" s="19" t="s">
        <v>2076</v>
      </c>
      <c r="H371" s="19" t="s">
        <v>2077</v>
      </c>
      <c r="I371" s="19" t="s">
        <v>2077</v>
      </c>
      <c r="J371" s="19" t="s">
        <v>2078</v>
      </c>
    </row>
    <row r="372" spans="1:10" ht="22.8">
      <c r="A372" s="17" t="s">
        <v>66</v>
      </c>
      <c r="B372" s="20">
        <v>31</v>
      </c>
      <c r="C372" s="22">
        <v>311</v>
      </c>
      <c r="D372" s="22">
        <v>3112</v>
      </c>
      <c r="E372" s="28" t="s">
        <v>67</v>
      </c>
      <c r="F372" s="21" t="s">
        <v>87</v>
      </c>
      <c r="G372" s="19" t="s">
        <v>2076</v>
      </c>
      <c r="H372" s="19" t="s">
        <v>2079</v>
      </c>
      <c r="I372" s="19" t="s">
        <v>2079</v>
      </c>
      <c r="J372" s="19" t="s"/>
    </row>
    <row r="373" spans="1:10" ht="22.8">
      <c r="A373" s="17" t="s">
        <v>66</v>
      </c>
      <c r="B373" s="20">
        <v>31</v>
      </c>
      <c r="C373" s="22">
        <v>312</v>
      </c>
      <c r="D373" s="22" t="s"/>
      <c r="E373" s="28" t="s">
        <v>67</v>
      </c>
      <c r="F373" s="21" t="s">
        <v>87</v>
      </c>
      <c r="G373" s="19" t="s">
        <v>2080</v>
      </c>
      <c r="H373" s="29" t="s"/>
      <c r="I373" s="19" t="s">
        <v>2080</v>
      </c>
      <c r="J373" s="27" t="s"/>
    </row>
    <row r="374" spans="1:10" ht="22.8">
      <c r="A374" s="17" t="s">
        <v>66</v>
      </c>
      <c r="B374" s="20">
        <v>31</v>
      </c>
      <c r="C374" s="22">
        <v>312</v>
      </c>
      <c r="D374" s="22">
        <v>3121</v>
      </c>
      <c r="E374" s="28" t="s">
        <v>67</v>
      </c>
      <c r="F374" s="21" t="s">
        <v>87</v>
      </c>
      <c r="G374" s="19" t="s">
        <v>2080</v>
      </c>
      <c r="H374" s="19" t="s">
        <v>2081</v>
      </c>
      <c r="I374" s="19" t="s">
        <v>2081</v>
      </c>
      <c r="J374" s="19" t="s"/>
    </row>
    <row r="375" spans="1:10" ht="22.8">
      <c r="A375" s="17" t="s">
        <v>66</v>
      </c>
      <c r="B375" s="20">
        <v>31</v>
      </c>
      <c r="C375" s="22">
        <v>312</v>
      </c>
      <c r="D375" s="22">
        <v>3122</v>
      </c>
      <c r="E375" s="28" t="s">
        <v>67</v>
      </c>
      <c r="F375" s="21" t="s">
        <v>87</v>
      </c>
      <c r="G375" s="19" t="s">
        <v>2080</v>
      </c>
      <c r="H375" s="19" t="s">
        <v>2082</v>
      </c>
      <c r="I375" s="19" t="s">
        <v>2082</v>
      </c>
      <c r="J375" s="19" t="s">
        <v>2083</v>
      </c>
    </row>
    <row r="376" spans="1:10" ht="22.8">
      <c r="A376" s="17" t="s">
        <v>66</v>
      </c>
      <c r="B376" s="20">
        <v>31</v>
      </c>
      <c r="C376" s="22">
        <v>312</v>
      </c>
      <c r="D376" s="22">
        <v>3123</v>
      </c>
      <c r="E376" s="28" t="s">
        <v>67</v>
      </c>
      <c r="F376" s="21" t="s">
        <v>87</v>
      </c>
      <c r="G376" s="19" t="s">
        <v>2080</v>
      </c>
      <c r="H376" s="19" t="s">
        <v>2084</v>
      </c>
      <c r="I376" s="19" t="s">
        <v>2084</v>
      </c>
      <c r="J376" s="19" t="s"/>
    </row>
    <row r="377" spans="1:10" ht="22.8">
      <c r="A377" s="17" t="s">
        <v>66</v>
      </c>
      <c r="B377" s="20">
        <v>31</v>
      </c>
      <c r="C377" s="22">
        <v>312</v>
      </c>
      <c r="D377" s="22">
        <v>3124</v>
      </c>
      <c r="E377" s="28" t="s">
        <v>67</v>
      </c>
      <c r="F377" s="21" t="s">
        <v>87</v>
      </c>
      <c r="G377" s="19" t="s">
        <v>2080</v>
      </c>
      <c r="H377" s="19" t="s">
        <v>2085</v>
      </c>
      <c r="I377" s="19" t="s">
        <v>2085</v>
      </c>
      <c r="J377" s="19" t="s">
        <v>2086</v>
      </c>
    </row>
    <row r="378" spans="1:10" ht="22.8">
      <c r="A378" s="17" t="s">
        <v>66</v>
      </c>
      <c r="B378" s="20">
        <v>31</v>
      </c>
      <c r="C378" s="22">
        <v>312</v>
      </c>
      <c r="D378" s="22">
        <v>3129</v>
      </c>
      <c r="E378" s="28" t="s">
        <v>67</v>
      </c>
      <c r="F378" s="21" t="s">
        <v>87</v>
      </c>
      <c r="G378" s="19" t="s">
        <v>2080</v>
      </c>
      <c r="H378" s="19" t="s">
        <v>2087</v>
      </c>
      <c r="I378" s="19" t="s">
        <v>2087</v>
      </c>
      <c r="J378" s="19" t="s">
        <v>2088</v>
      </c>
    </row>
    <row r="379" spans="1:10" ht="33.6">
      <c r="A379" s="17" t="s">
        <v>66</v>
      </c>
      <c r="B379" s="20">
        <v>31</v>
      </c>
      <c r="C379" s="22">
        <v>313</v>
      </c>
      <c r="D379" s="22" t="s"/>
      <c r="E379" s="28" t="s">
        <v>67</v>
      </c>
      <c r="F379" s="21" t="s">
        <v>87</v>
      </c>
      <c r="G379" s="19" t="s">
        <v>2089</v>
      </c>
      <c r="H379" s="29" t="s"/>
      <c r="I379" s="19" t="s">
        <v>2089</v>
      </c>
      <c r="J379" s="19" t="s">
        <v>2090</v>
      </c>
    </row>
    <row r="380" spans="1:10" ht="33.6">
      <c r="A380" s="17" t="s">
        <v>66</v>
      </c>
      <c r="B380" s="20">
        <v>31</v>
      </c>
      <c r="C380" s="22">
        <v>313</v>
      </c>
      <c r="D380" s="22">
        <v>3131</v>
      </c>
      <c r="E380" s="28" t="s">
        <v>67</v>
      </c>
      <c r="F380" s="21" t="s">
        <v>87</v>
      </c>
      <c r="G380" s="19" t="s">
        <v>2089</v>
      </c>
      <c r="H380" s="19" t="s">
        <v>2091</v>
      </c>
      <c r="I380" s="19" t="s">
        <v>2091</v>
      </c>
      <c r="J380" s="19" t="s">
        <v>2092</v>
      </c>
    </row>
    <row r="381" spans="1:10" ht="33.6">
      <c r="A381" s="17" t="s">
        <v>66</v>
      </c>
      <c r="B381" s="20">
        <v>31</v>
      </c>
      <c r="C381" s="22">
        <v>313</v>
      </c>
      <c r="D381" s="22">
        <v>3132</v>
      </c>
      <c r="E381" s="28" t="s">
        <v>67</v>
      </c>
      <c r="F381" s="21" t="s">
        <v>87</v>
      </c>
      <c r="G381" s="19" t="s">
        <v>2089</v>
      </c>
      <c r="H381" s="19" t="s">
        <v>2093</v>
      </c>
      <c r="I381" s="19" t="s">
        <v>2093</v>
      </c>
      <c r="J381" s="19" t="s">
        <v>2094</v>
      </c>
    </row>
    <row r="382" spans="1:10" ht="33.6">
      <c r="A382" s="17" t="s">
        <v>66</v>
      </c>
      <c r="B382" s="20">
        <v>31</v>
      </c>
      <c r="C382" s="22">
        <v>313</v>
      </c>
      <c r="D382" s="22">
        <v>3133</v>
      </c>
      <c r="E382" s="28" t="s">
        <v>67</v>
      </c>
      <c r="F382" s="21" t="s">
        <v>87</v>
      </c>
      <c r="G382" s="19" t="s">
        <v>2089</v>
      </c>
      <c r="H382" s="19" t="s">
        <v>2095</v>
      </c>
      <c r="I382" s="19" t="s">
        <v>2095</v>
      </c>
      <c r="J382" s="19" t="s">
        <v>2096</v>
      </c>
    </row>
    <row r="383" spans="1:10" ht="33.6">
      <c r="A383" s="17" t="s">
        <v>66</v>
      </c>
      <c r="B383" s="20">
        <v>31</v>
      </c>
      <c r="C383" s="22">
        <v>313</v>
      </c>
      <c r="D383" s="22">
        <v>3134</v>
      </c>
      <c r="E383" s="28" t="s">
        <v>67</v>
      </c>
      <c r="F383" s="21" t="s">
        <v>87</v>
      </c>
      <c r="G383" s="19" t="s">
        <v>2089</v>
      </c>
      <c r="H383" s="19" t="s">
        <v>2097</v>
      </c>
      <c r="I383" s="19" t="s">
        <v>2097</v>
      </c>
      <c r="J383" s="19" t="s">
        <v>2098</v>
      </c>
    </row>
    <row r="384" spans="1:10" ht="33.6">
      <c r="A384" s="17" t="s">
        <v>66</v>
      </c>
      <c r="B384" s="20">
        <v>31</v>
      </c>
      <c r="C384" s="22">
        <v>313</v>
      </c>
      <c r="D384" s="22">
        <v>3135</v>
      </c>
      <c r="E384" s="28" t="s">
        <v>67</v>
      </c>
      <c r="F384" s="21" t="s">
        <v>87</v>
      </c>
      <c r="G384" s="19" t="s">
        <v>2089</v>
      </c>
      <c r="H384" s="19" t="s">
        <v>2099</v>
      </c>
      <c r="I384" s="19" t="s">
        <v>2099</v>
      </c>
      <c r="J384" s="19" t="s">
        <v>2100</v>
      </c>
    </row>
    <row r="385" spans="1:10" ht="33.6">
      <c r="A385" s="17" t="s">
        <v>66</v>
      </c>
      <c r="B385" s="20">
        <v>31</v>
      </c>
      <c r="C385" s="22">
        <v>313</v>
      </c>
      <c r="D385" s="22">
        <v>3139</v>
      </c>
      <c r="E385" s="28" t="s">
        <v>67</v>
      </c>
      <c r="F385" s="21" t="s">
        <v>87</v>
      </c>
      <c r="G385" s="19" t="s">
        <v>2089</v>
      </c>
      <c r="H385" s="19" t="s">
        <v>2101</v>
      </c>
      <c r="I385" s="19" t="s">
        <v>2101</v>
      </c>
      <c r="J385" s="27" t="s"/>
    </row>
    <row r="386" spans="1:10" ht="22.8">
      <c r="A386" s="17" t="s">
        <v>66</v>
      </c>
      <c r="B386" s="20">
        <v>31</v>
      </c>
      <c r="C386" s="22">
        <v>314</v>
      </c>
      <c r="D386" s="22" t="s"/>
      <c r="E386" s="28" t="s">
        <v>67</v>
      </c>
      <c r="F386" s="21" t="s">
        <v>87</v>
      </c>
      <c r="G386" s="19" t="s">
        <v>2102</v>
      </c>
      <c r="H386" s="29" t="s"/>
      <c r="I386" s="19" t="s">
        <v>2102</v>
      </c>
      <c r="J386" s="19" t="s">
        <v>2103</v>
      </c>
    </row>
    <row r="387" spans="1:10" ht="22.8">
      <c r="A387" s="17" t="s">
        <v>66</v>
      </c>
      <c r="B387" s="20">
        <v>31</v>
      </c>
      <c r="C387" s="22">
        <v>314</v>
      </c>
      <c r="D387" s="22">
        <v>3141</v>
      </c>
      <c r="E387" s="28" t="s">
        <v>67</v>
      </c>
      <c r="F387" s="21" t="s">
        <v>87</v>
      </c>
      <c r="G387" s="19" t="s">
        <v>2102</v>
      </c>
      <c r="H387" s="19" t="s">
        <v>2104</v>
      </c>
      <c r="I387" s="19" t="s">
        <v>2104</v>
      </c>
      <c r="J387" s="19" t="s">
        <v>2105</v>
      </c>
    </row>
    <row r="388" spans="1:10" ht="22.8">
      <c r="A388" s="17" t="s">
        <v>66</v>
      </c>
      <c r="B388" s="20">
        <v>31</v>
      </c>
      <c r="C388" s="22">
        <v>314</v>
      </c>
      <c r="D388" s="22">
        <v>3142</v>
      </c>
      <c r="E388" s="28" t="s">
        <v>67</v>
      </c>
      <c r="F388" s="21" t="s">
        <v>87</v>
      </c>
      <c r="G388" s="19" t="s">
        <v>2102</v>
      </c>
      <c r="H388" s="19" t="s">
        <v>2106</v>
      </c>
      <c r="I388" s="19" t="s">
        <v>2106</v>
      </c>
      <c r="J388" s="19" t="s">
        <v>2107</v>
      </c>
    </row>
    <row r="389" spans="1:10" ht="22.8">
      <c r="A389" s="17" t="s">
        <v>66</v>
      </c>
      <c r="B389" s="20">
        <v>31</v>
      </c>
      <c r="C389" s="22">
        <v>314</v>
      </c>
      <c r="D389" s="22">
        <v>3143</v>
      </c>
      <c r="E389" s="28" t="s">
        <v>67</v>
      </c>
      <c r="F389" s="21" t="s">
        <v>87</v>
      </c>
      <c r="G389" s="19" t="s">
        <v>2102</v>
      </c>
      <c r="H389" s="19" t="s">
        <v>2108</v>
      </c>
      <c r="I389" s="19" t="s">
        <v>2108</v>
      </c>
      <c r="J389" s="27" t="s"/>
    </row>
    <row r="390" spans="1:10" ht="22.8">
      <c r="A390" s="17" t="s">
        <v>66</v>
      </c>
      <c r="B390" s="20">
        <v>31</v>
      </c>
      <c r="C390" s="22">
        <v>314</v>
      </c>
      <c r="D390" s="22">
        <v>3144</v>
      </c>
      <c r="E390" s="28" t="s">
        <v>67</v>
      </c>
      <c r="F390" s="21" t="s">
        <v>87</v>
      </c>
      <c r="G390" s="19" t="s">
        <v>2102</v>
      </c>
      <c r="H390" s="19" t="s">
        <v>2109</v>
      </c>
      <c r="I390" s="19" t="s">
        <v>2109</v>
      </c>
      <c r="J390" s="19" t="s">
        <v>2110</v>
      </c>
    </row>
    <row r="391" spans="1:10" ht="33.6">
      <c r="A391" s="17" t="s">
        <v>66</v>
      </c>
      <c r="B391" s="20">
        <v>31</v>
      </c>
      <c r="C391" s="22">
        <v>314</v>
      </c>
      <c r="D391" s="22">
        <v>3145</v>
      </c>
      <c r="E391" s="28" t="s">
        <v>67</v>
      </c>
      <c r="F391" s="21" t="s">
        <v>87</v>
      </c>
      <c r="G391" s="19" t="s">
        <v>2102</v>
      </c>
      <c r="H391" s="19" t="s">
        <v>2111</v>
      </c>
      <c r="I391" s="19" t="s">
        <v>2111</v>
      </c>
      <c r="J391" s="19" t="s">
        <v>2112</v>
      </c>
    </row>
    <row r="392" spans="1:10" ht="22.8">
      <c r="A392" s="17" t="s">
        <v>66</v>
      </c>
      <c r="B392" s="20">
        <v>31</v>
      </c>
      <c r="C392" s="22">
        <v>314</v>
      </c>
      <c r="D392" s="22">
        <v>3146</v>
      </c>
      <c r="E392" s="28" t="s">
        <v>67</v>
      </c>
      <c r="F392" s="21" t="s">
        <v>87</v>
      </c>
      <c r="G392" s="19" t="s">
        <v>2102</v>
      </c>
      <c r="H392" s="19" t="s">
        <v>2113</v>
      </c>
      <c r="I392" s="19" t="s">
        <v>2113</v>
      </c>
      <c r="J392" s="19" t="s">
        <v>2114</v>
      </c>
    </row>
    <row r="393" spans="1:10" ht="22.8">
      <c r="A393" s="17" t="s">
        <v>66</v>
      </c>
      <c r="B393" s="20">
        <v>31</v>
      </c>
      <c r="C393" s="22">
        <v>314</v>
      </c>
      <c r="D393" s="22">
        <v>3147</v>
      </c>
      <c r="E393" s="28" t="s">
        <v>67</v>
      </c>
      <c r="F393" s="21" t="s">
        <v>87</v>
      </c>
      <c r="G393" s="19" t="s">
        <v>2102</v>
      </c>
      <c r="H393" s="19" t="s">
        <v>2115</v>
      </c>
      <c r="I393" s="19" t="s">
        <v>2115</v>
      </c>
      <c r="J393" s="27" t="s"/>
    </row>
    <row r="394" spans="1:10" ht="22.8">
      <c r="A394" s="17" t="s">
        <v>66</v>
      </c>
      <c r="B394" s="20">
        <v>31</v>
      </c>
      <c r="C394" s="22">
        <v>314</v>
      </c>
      <c r="D394" s="22">
        <v>3148</v>
      </c>
      <c r="E394" s="28" t="s">
        <v>67</v>
      </c>
      <c r="F394" s="21" t="s">
        <v>87</v>
      </c>
      <c r="G394" s="19" t="s">
        <v>2102</v>
      </c>
      <c r="H394" s="19" t="s">
        <v>2116</v>
      </c>
      <c r="I394" s="19" t="s">
        <v>2116</v>
      </c>
      <c r="J394" s="19" t="s">
        <v>2117</v>
      </c>
    </row>
    <row r="395" spans="1:10" ht="22.8">
      <c r="A395" s="17" t="s">
        <v>66</v>
      </c>
      <c r="B395" s="20">
        <v>31</v>
      </c>
      <c r="C395" s="22">
        <v>314</v>
      </c>
      <c r="D395" s="22">
        <v>3149</v>
      </c>
      <c r="E395" s="28" t="s">
        <v>67</v>
      </c>
      <c r="F395" s="21" t="s">
        <v>87</v>
      </c>
      <c r="G395" s="19" t="s">
        <v>2102</v>
      </c>
      <c r="H395" s="19" t="s">
        <v>2118</v>
      </c>
      <c r="I395" s="19" t="s">
        <v>2118</v>
      </c>
      <c r="J395" s="27" t="s"/>
    </row>
    <row r="396" spans="1:10" ht="21.6">
      <c r="A396" s="17" t="s">
        <v>66</v>
      </c>
      <c r="B396" s="20">
        <v>31</v>
      </c>
      <c r="C396" s="22">
        <v>315</v>
      </c>
      <c r="D396" s="22" t="s"/>
      <c r="E396" s="28" t="s">
        <v>67</v>
      </c>
      <c r="F396" s="21" t="s">
        <v>87</v>
      </c>
      <c r="G396" s="19" t="s">
        <v>2119</v>
      </c>
      <c r="H396" s="29" t="s"/>
      <c r="I396" s="19" t="s">
        <v>2119</v>
      </c>
      <c r="J396" s="27" t="s"/>
    </row>
    <row r="397" spans="1:10" ht="22.8">
      <c r="A397" s="17" t="s">
        <v>66</v>
      </c>
      <c r="B397" s="20">
        <v>31</v>
      </c>
      <c r="C397" s="22">
        <v>315</v>
      </c>
      <c r="D397" s="22">
        <v>3151</v>
      </c>
      <c r="E397" s="28" t="s">
        <v>67</v>
      </c>
      <c r="F397" s="21" t="s">
        <v>87</v>
      </c>
      <c r="G397" s="19" t="s">
        <v>2119</v>
      </c>
      <c r="H397" s="19" t="s">
        <v>2120</v>
      </c>
      <c r="I397" s="19" t="s">
        <v>2120</v>
      </c>
      <c r="J397" s="19" t="s">
        <v>2121</v>
      </c>
    </row>
    <row r="398" spans="1:10" ht="22.8">
      <c r="A398" s="17" t="s">
        <v>66</v>
      </c>
      <c r="B398" s="20">
        <v>31</v>
      </c>
      <c r="C398" s="22">
        <v>315</v>
      </c>
      <c r="D398" s="22">
        <v>3152</v>
      </c>
      <c r="E398" s="28" t="s">
        <v>67</v>
      </c>
      <c r="F398" s="21" t="s">
        <v>87</v>
      </c>
      <c r="G398" s="19" t="s">
        <v>2119</v>
      </c>
      <c r="H398" s="19" t="s">
        <v>2122</v>
      </c>
      <c r="I398" s="19" t="s">
        <v>2122</v>
      </c>
      <c r="J398" s="19" t="s">
        <v>2123</v>
      </c>
    </row>
    <row r="399" spans="1:10" ht="33.6">
      <c r="A399" s="17" t="s">
        <v>66</v>
      </c>
      <c r="B399" s="20">
        <v>31</v>
      </c>
      <c r="C399" s="22">
        <v>315</v>
      </c>
      <c r="D399" s="22">
        <v>3153</v>
      </c>
      <c r="E399" s="28" t="s">
        <v>67</v>
      </c>
      <c r="F399" s="21" t="s">
        <v>87</v>
      </c>
      <c r="G399" s="19" t="s">
        <v>2119</v>
      </c>
      <c r="H399" s="19" t="s">
        <v>2124</v>
      </c>
      <c r="I399" s="19" t="s">
        <v>2124</v>
      </c>
      <c r="J399" s="19" t="s">
        <v>2125</v>
      </c>
    </row>
    <row r="400" spans="1:10" ht="44.4">
      <c r="A400" s="17" t="s">
        <v>66</v>
      </c>
      <c r="B400" s="20">
        <v>31</v>
      </c>
      <c r="C400" s="22">
        <v>315</v>
      </c>
      <c r="D400" s="22">
        <v>3159</v>
      </c>
      <c r="E400" s="28" t="s">
        <v>67</v>
      </c>
      <c r="F400" s="21" t="s">
        <v>87</v>
      </c>
      <c r="G400" s="19" t="s">
        <v>2119</v>
      </c>
      <c r="H400" s="19" t="s">
        <v>2126</v>
      </c>
      <c r="I400" s="19" t="s">
        <v>2126</v>
      </c>
      <c r="J400" s="19" t="s">
        <v>2127</v>
      </c>
    </row>
    <row r="401" spans="1:10" ht="22.8">
      <c r="A401" s="17" t="s">
        <v>66</v>
      </c>
      <c r="B401" s="20">
        <v>31</v>
      </c>
      <c r="C401" s="22">
        <v>316</v>
      </c>
      <c r="D401" s="22" t="s"/>
      <c r="E401" s="28" t="s">
        <v>67</v>
      </c>
      <c r="F401" s="21" t="s">
        <v>87</v>
      </c>
      <c r="G401" s="19" t="s">
        <v>2128</v>
      </c>
      <c r="H401" s="29" t="s"/>
      <c r="I401" s="19" t="s">
        <v>2128</v>
      </c>
      <c r="J401" s="27" t="s"/>
    </row>
    <row r="402" spans="1:10" ht="22.8">
      <c r="A402" s="17" t="s">
        <v>66</v>
      </c>
      <c r="B402" s="20">
        <v>31</v>
      </c>
      <c r="C402" s="22">
        <v>316</v>
      </c>
      <c r="D402" s="22">
        <v>3161</v>
      </c>
      <c r="E402" s="28" t="s">
        <v>67</v>
      </c>
      <c r="F402" s="21" t="s">
        <v>87</v>
      </c>
      <c r="G402" s="19" t="s">
        <v>2128</v>
      </c>
      <c r="H402" s="19" t="s">
        <v>2129</v>
      </c>
      <c r="I402" s="19" t="s">
        <v>2129</v>
      </c>
      <c r="J402" s="19" t="s">
        <v>2130</v>
      </c>
    </row>
    <row r="403" spans="1:10" ht="22.8">
      <c r="A403" s="17" t="s">
        <v>66</v>
      </c>
      <c r="B403" s="20">
        <v>31</v>
      </c>
      <c r="C403" s="22">
        <v>316</v>
      </c>
      <c r="D403" s="22">
        <v>3162</v>
      </c>
      <c r="E403" s="28" t="s">
        <v>67</v>
      </c>
      <c r="F403" s="21" t="s">
        <v>87</v>
      </c>
      <c r="G403" s="19" t="s">
        <v>2128</v>
      </c>
      <c r="H403" s="19" t="s">
        <v>2131</v>
      </c>
      <c r="I403" s="19" t="s">
        <v>2131</v>
      </c>
      <c r="J403" s="27" t="s"/>
    </row>
    <row r="404" spans="1:10" ht="33.6">
      <c r="A404" s="17" t="s">
        <v>66</v>
      </c>
      <c r="B404" s="20">
        <v>31</v>
      </c>
      <c r="C404" s="22">
        <v>316</v>
      </c>
      <c r="D404" s="22">
        <v>3169</v>
      </c>
      <c r="E404" s="28" t="s">
        <v>67</v>
      </c>
      <c r="F404" s="21" t="s">
        <v>87</v>
      </c>
      <c r="G404" s="19" t="s">
        <v>2128</v>
      </c>
      <c r="H404" s="19" t="s">
        <v>2132</v>
      </c>
      <c r="I404" s="19" t="s">
        <v>2132</v>
      </c>
      <c r="J404" s="19" t="s">
        <v>2133</v>
      </c>
    </row>
    <row r="405" spans="1:10" ht="33.6">
      <c r="A405" s="17" t="s">
        <v>66</v>
      </c>
      <c r="B405" s="20">
        <v>31</v>
      </c>
      <c r="C405" s="22">
        <v>319</v>
      </c>
      <c r="D405" s="22" t="s"/>
      <c r="E405" s="28" t="s">
        <v>67</v>
      </c>
      <c r="F405" s="21" t="s">
        <v>87</v>
      </c>
      <c r="G405" s="19" t="s">
        <v>2134</v>
      </c>
      <c r="H405" s="29" t="s"/>
      <c r="I405" s="19" t="s">
        <v>2134</v>
      </c>
      <c r="J405" s="19" t="s"/>
    </row>
    <row r="406" spans="1:10" ht="33.6">
      <c r="A406" s="17" t="s">
        <v>66</v>
      </c>
      <c r="B406" s="20">
        <v>31</v>
      </c>
      <c r="C406" s="22">
        <v>319</v>
      </c>
      <c r="D406" s="22">
        <v>3191</v>
      </c>
      <c r="E406" s="28" t="s">
        <v>67</v>
      </c>
      <c r="F406" s="21" t="s">
        <v>87</v>
      </c>
      <c r="G406" s="19" t="s">
        <v>2134</v>
      </c>
      <c r="H406" s="19" t="s">
        <v>2135</v>
      </c>
      <c r="I406" s="19" t="s">
        <v>2135</v>
      </c>
      <c r="J406" s="19" t="s">
        <v>2136</v>
      </c>
    </row>
    <row r="407" spans="1:10" ht="33.6">
      <c r="A407" s="17" t="s">
        <v>66</v>
      </c>
      <c r="B407" s="20">
        <v>31</v>
      </c>
      <c r="C407" s="22">
        <v>319</v>
      </c>
      <c r="D407" s="22">
        <v>3199</v>
      </c>
      <c r="E407" s="28" t="s">
        <v>67</v>
      </c>
      <c r="F407" s="21" t="s">
        <v>87</v>
      </c>
      <c r="G407" s="19" t="s">
        <v>2134</v>
      </c>
      <c r="H407" s="19" t="s">
        <v>2137</v>
      </c>
      <c r="I407" s="19" t="s">
        <v>2137</v>
      </c>
      <c r="J407" s="27" t="s"/>
    </row>
    <row r="408" spans="1:10" ht="32.4">
      <c r="A408" s="17" t="s">
        <v>66</v>
      </c>
      <c r="B408" s="20">
        <v>32</v>
      </c>
      <c r="C408" s="22" t="s"/>
      <c r="D408" s="20" t="s"/>
      <c r="E408" s="28" t="s">
        <v>67</v>
      </c>
      <c r="F408" s="21" t="s">
        <v>88</v>
      </c>
      <c r="G408" s="20" t="s"/>
      <c r="H408" s="29" t="s"/>
      <c r="I408" s="21" t="s">
        <v>88</v>
      </c>
      <c r="J408" s="27" t="s"/>
    </row>
    <row r="409" spans="1:10" ht="32.4">
      <c r="A409" s="17" t="s">
        <v>66</v>
      </c>
      <c r="B409" s="20">
        <v>32</v>
      </c>
      <c r="C409" s="22">
        <v>321</v>
      </c>
      <c r="D409" s="22">
        <v>3210</v>
      </c>
      <c r="E409" s="28" t="s">
        <v>67</v>
      </c>
      <c r="F409" s="21" t="s">
        <v>88</v>
      </c>
      <c r="G409" s="19" t="s">
        <v>2138</v>
      </c>
      <c r="H409" s="19" t="s">
        <v>2138</v>
      </c>
      <c r="I409" s="19" t="s">
        <v>2138</v>
      </c>
      <c r="J409" s="19" t="s">
        <v>2139</v>
      </c>
    </row>
    <row r="410" spans="1:10" ht="32.4">
      <c r="A410" s="17" t="s">
        <v>66</v>
      </c>
      <c r="B410" s="20">
        <v>32</v>
      </c>
      <c r="C410" s="22">
        <v>322</v>
      </c>
      <c r="D410" s="22">
        <v>3220</v>
      </c>
      <c r="E410" s="28" t="s">
        <v>67</v>
      </c>
      <c r="F410" s="21" t="s">
        <v>88</v>
      </c>
      <c r="G410" s="19" t="s">
        <v>2140</v>
      </c>
      <c r="H410" s="19" t="s">
        <v>2140</v>
      </c>
      <c r="I410" s="19" t="s">
        <v>2140</v>
      </c>
      <c r="J410" s="19" t="s">
        <v>2141</v>
      </c>
    </row>
    <row r="411" spans="1:10" ht="32.4">
      <c r="A411" s="17" t="s">
        <v>66</v>
      </c>
      <c r="B411" s="20">
        <v>32</v>
      </c>
      <c r="C411" s="22">
        <v>323</v>
      </c>
      <c r="D411" s="22">
        <v>3230</v>
      </c>
      <c r="E411" s="28" t="s">
        <v>67</v>
      </c>
      <c r="F411" s="21" t="s">
        <v>88</v>
      </c>
      <c r="G411" s="19" t="s">
        <v>2142</v>
      </c>
      <c r="H411" s="19" t="s">
        <v>2142</v>
      </c>
      <c r="I411" s="19" t="s">
        <v>2142</v>
      </c>
      <c r="J411" s="19" t="s">
        <v>2143</v>
      </c>
    </row>
    <row r="412" spans="1:10" ht="32.4">
      <c r="A412" s="17" t="s">
        <v>66</v>
      </c>
      <c r="B412" s="20">
        <v>32</v>
      </c>
      <c r="C412" s="22">
        <v>324</v>
      </c>
      <c r="D412" s="22">
        <v>3240</v>
      </c>
      <c r="E412" s="28" t="s">
        <v>67</v>
      </c>
      <c r="F412" s="21" t="s">
        <v>88</v>
      </c>
      <c r="G412" s="19" t="s">
        <v>2144</v>
      </c>
      <c r="H412" s="19" t="s">
        <v>2144</v>
      </c>
      <c r="I412" s="19" t="s">
        <v>2144</v>
      </c>
      <c r="J412" s="19" t="s">
        <v>2145</v>
      </c>
    </row>
    <row r="413" spans="1:10" ht="32.4">
      <c r="A413" s="17" t="s">
        <v>66</v>
      </c>
      <c r="B413" s="20">
        <v>33</v>
      </c>
      <c r="C413" s="22" t="s"/>
      <c r="D413" s="20" t="s"/>
      <c r="E413" s="28" t="s">
        <v>67</v>
      </c>
      <c r="F413" s="21" t="s">
        <v>89</v>
      </c>
      <c r="G413" s="20" t="s"/>
      <c r="H413" s="29" t="s"/>
      <c r="I413" s="21" t="s">
        <v>89</v>
      </c>
      <c r="J413" s="19" t="s"/>
    </row>
    <row r="414" spans="1:10" ht="32.4">
      <c r="A414" s="17" t="s">
        <v>66</v>
      </c>
      <c r="B414" s="20">
        <v>33</v>
      </c>
      <c r="C414" s="22">
        <v>331</v>
      </c>
      <c r="D414" s="22" t="s"/>
      <c r="E414" s="28" t="s">
        <v>67</v>
      </c>
      <c r="F414" s="21" t="s">
        <v>89</v>
      </c>
      <c r="G414" s="19" t="s">
        <v>2146</v>
      </c>
      <c r="H414" s="29" t="s"/>
      <c r="I414" s="19" t="s">
        <v>2146</v>
      </c>
      <c r="J414" s="19" t="s">
        <v>2147</v>
      </c>
    </row>
    <row r="415" spans="1:10" ht="32.4">
      <c r="A415" s="17" t="s">
        <v>66</v>
      </c>
      <c r="B415" s="20">
        <v>33</v>
      </c>
      <c r="C415" s="22">
        <v>331</v>
      </c>
      <c r="D415" s="22">
        <v>3311</v>
      </c>
      <c r="E415" s="28" t="s">
        <v>67</v>
      </c>
      <c r="F415" s="21" t="s">
        <v>89</v>
      </c>
      <c r="G415" s="19" t="s">
        <v>2146</v>
      </c>
      <c r="H415" s="19" t="s">
        <v>2148</v>
      </c>
      <c r="I415" s="19" t="s">
        <v>2148</v>
      </c>
      <c r="J415" s="19" t="s">
        <v>2149</v>
      </c>
    </row>
    <row r="416" spans="1:10" ht="32.4">
      <c r="A416" s="17" t="s">
        <v>66</v>
      </c>
      <c r="B416" s="20">
        <v>33</v>
      </c>
      <c r="C416" s="22">
        <v>331</v>
      </c>
      <c r="D416" s="22">
        <v>3312</v>
      </c>
      <c r="E416" s="28" t="s">
        <v>67</v>
      </c>
      <c r="F416" s="21" t="s">
        <v>89</v>
      </c>
      <c r="G416" s="19" t="s">
        <v>2146</v>
      </c>
      <c r="H416" s="19" t="s">
        <v>2150</v>
      </c>
      <c r="I416" s="19" t="s">
        <v>2150</v>
      </c>
      <c r="J416" s="19" t="s"/>
    </row>
    <row r="417" spans="1:10" ht="32.4">
      <c r="A417" s="17" t="s">
        <v>66</v>
      </c>
      <c r="B417" s="20">
        <v>33</v>
      </c>
      <c r="C417" s="22">
        <v>331</v>
      </c>
      <c r="D417" s="22">
        <v>3313</v>
      </c>
      <c r="E417" s="28" t="s">
        <v>67</v>
      </c>
      <c r="F417" s="21" t="s">
        <v>89</v>
      </c>
      <c r="G417" s="19" t="s">
        <v>2146</v>
      </c>
      <c r="H417" s="19" t="s">
        <v>2151</v>
      </c>
      <c r="I417" s="19" t="s">
        <v>2151</v>
      </c>
      <c r="J417" s="19" t="s"/>
    </row>
    <row r="418" spans="1:10" ht="32.4">
      <c r="A418" s="17" t="s">
        <v>66</v>
      </c>
      <c r="B418" s="20">
        <v>33</v>
      </c>
      <c r="C418" s="22">
        <v>331</v>
      </c>
      <c r="D418" s="22">
        <v>3314</v>
      </c>
      <c r="E418" s="28" t="s">
        <v>67</v>
      </c>
      <c r="F418" s="21" t="s">
        <v>89</v>
      </c>
      <c r="G418" s="19" t="s">
        <v>2146</v>
      </c>
      <c r="H418" s="19" t="s">
        <v>2152</v>
      </c>
      <c r="I418" s="19" t="s">
        <v>2152</v>
      </c>
      <c r="J418" s="19" t="s"/>
    </row>
    <row r="419" spans="1:10" ht="32.4">
      <c r="A419" s="17" t="s">
        <v>66</v>
      </c>
      <c r="B419" s="20">
        <v>33</v>
      </c>
      <c r="C419" s="22">
        <v>331</v>
      </c>
      <c r="D419" s="22">
        <v>3315</v>
      </c>
      <c r="E419" s="28" t="s">
        <v>67</v>
      </c>
      <c r="F419" s="21" t="s">
        <v>89</v>
      </c>
      <c r="G419" s="19" t="s">
        <v>2146</v>
      </c>
      <c r="H419" s="19" t="s">
        <v>2153</v>
      </c>
      <c r="I419" s="19" t="s">
        <v>2153</v>
      </c>
      <c r="J419" s="19" t="s"/>
    </row>
    <row r="420" spans="1:10" ht="32.4">
      <c r="A420" s="17" t="s">
        <v>66</v>
      </c>
      <c r="B420" s="20">
        <v>33</v>
      </c>
      <c r="C420" s="22">
        <v>331</v>
      </c>
      <c r="D420" s="22">
        <v>3316</v>
      </c>
      <c r="E420" s="28" t="s">
        <v>67</v>
      </c>
      <c r="F420" s="21" t="s">
        <v>89</v>
      </c>
      <c r="G420" s="19" t="s">
        <v>2146</v>
      </c>
      <c r="H420" s="19" t="s">
        <v>2154</v>
      </c>
      <c r="I420" s="19" t="s">
        <v>2154</v>
      </c>
      <c r="J420" s="19" t="s">
        <v>2155</v>
      </c>
    </row>
    <row r="421" spans="1:10" ht="32.4">
      <c r="A421" s="17" t="s">
        <v>66</v>
      </c>
      <c r="B421" s="20">
        <v>33</v>
      </c>
      <c r="C421" s="22">
        <v>331</v>
      </c>
      <c r="D421" s="22">
        <v>3317</v>
      </c>
      <c r="E421" s="28" t="s">
        <v>67</v>
      </c>
      <c r="F421" s="21" t="s">
        <v>89</v>
      </c>
      <c r="G421" s="19" t="s">
        <v>2146</v>
      </c>
      <c r="H421" s="19" t="s">
        <v>2156</v>
      </c>
      <c r="I421" s="19" t="s">
        <v>2156</v>
      </c>
      <c r="J421" s="19" t="s"/>
    </row>
    <row r="422" spans="1:10" ht="32.4">
      <c r="A422" s="17" t="s">
        <v>66</v>
      </c>
      <c r="B422" s="20">
        <v>33</v>
      </c>
      <c r="C422" s="22">
        <v>331</v>
      </c>
      <c r="D422" s="22">
        <v>3319</v>
      </c>
      <c r="E422" s="28" t="s">
        <v>67</v>
      </c>
      <c r="F422" s="21" t="s">
        <v>89</v>
      </c>
      <c r="G422" s="19" t="s">
        <v>2146</v>
      </c>
      <c r="H422" s="19" t="s">
        <v>2157</v>
      </c>
      <c r="I422" s="19" t="s">
        <v>2157</v>
      </c>
      <c r="J422" s="19" t="s"/>
    </row>
    <row r="423" spans="1:10" ht="32.4">
      <c r="A423" s="17" t="s">
        <v>66</v>
      </c>
      <c r="B423" s="20">
        <v>33</v>
      </c>
      <c r="C423" s="22">
        <v>332</v>
      </c>
      <c r="D423" s="22" t="s"/>
      <c r="E423" s="28" t="s">
        <v>67</v>
      </c>
      <c r="F423" s="21" t="s">
        <v>89</v>
      </c>
      <c r="G423" s="19" t="s">
        <v>2158</v>
      </c>
      <c r="H423" s="29" t="s"/>
      <c r="I423" s="19" t="s">
        <v>2158</v>
      </c>
      <c r="J423" s="19" t="s">
        <v>2159</v>
      </c>
    </row>
    <row r="424" spans="1:10" ht="32.4">
      <c r="A424" s="17" t="s">
        <v>66</v>
      </c>
      <c r="B424" s="20">
        <v>33</v>
      </c>
      <c r="C424" s="22">
        <v>332</v>
      </c>
      <c r="D424" s="22">
        <v>3321</v>
      </c>
      <c r="E424" s="28" t="s">
        <v>67</v>
      </c>
      <c r="F424" s="21" t="s">
        <v>89</v>
      </c>
      <c r="G424" s="19" t="s">
        <v>2158</v>
      </c>
      <c r="H424" s="19" t="s">
        <v>2160</v>
      </c>
      <c r="I424" s="19" t="s">
        <v>2160</v>
      </c>
      <c r="J424" s="19" t="s">
        <v>2161</v>
      </c>
    </row>
    <row r="425" spans="1:10" ht="32.4">
      <c r="A425" s="17" t="s">
        <v>66</v>
      </c>
      <c r="B425" s="20">
        <v>33</v>
      </c>
      <c r="C425" s="22">
        <v>332</v>
      </c>
      <c r="D425" s="22">
        <v>3322</v>
      </c>
      <c r="E425" s="28" t="s">
        <v>67</v>
      </c>
      <c r="F425" s="21" t="s">
        <v>89</v>
      </c>
      <c r="G425" s="19" t="s">
        <v>2158</v>
      </c>
      <c r="H425" s="19" t="s">
        <v>2162</v>
      </c>
      <c r="I425" s="19" t="s">
        <v>2162</v>
      </c>
      <c r="J425" s="19" t="s">
        <v>2163</v>
      </c>
    </row>
    <row r="426" spans="1:10" ht="32.4">
      <c r="A426" s="17" t="s">
        <v>66</v>
      </c>
      <c r="B426" s="20">
        <v>33</v>
      </c>
      <c r="C426" s="22">
        <v>332</v>
      </c>
      <c r="D426" s="22">
        <v>3329</v>
      </c>
      <c r="E426" s="28" t="s">
        <v>67</v>
      </c>
      <c r="F426" s="21" t="s">
        <v>89</v>
      </c>
      <c r="G426" s="19" t="s">
        <v>2158</v>
      </c>
      <c r="H426" s="19" t="s">
        <v>2164</v>
      </c>
      <c r="I426" s="19" t="s">
        <v>2164</v>
      </c>
      <c r="J426" s="27" t="s"/>
    </row>
    <row r="427" spans="1:10" ht="32.4">
      <c r="A427" s="17" t="s">
        <v>66</v>
      </c>
      <c r="B427" s="20">
        <v>33</v>
      </c>
      <c r="C427" s="22">
        <v>333</v>
      </c>
      <c r="D427" s="22" t="s"/>
      <c r="E427" s="28" t="s">
        <v>67</v>
      </c>
      <c r="F427" s="21" t="s">
        <v>89</v>
      </c>
      <c r="G427" s="19" t="s">
        <v>2165</v>
      </c>
      <c r="H427" s="29" t="s"/>
      <c r="I427" s="19" t="s">
        <v>2165</v>
      </c>
      <c r="J427" s="19" t="s">
        <v>2166</v>
      </c>
    </row>
    <row r="428" spans="1:10" ht="32.4">
      <c r="A428" s="17" t="s">
        <v>66</v>
      </c>
      <c r="B428" s="20">
        <v>33</v>
      </c>
      <c r="C428" s="22">
        <v>333</v>
      </c>
      <c r="D428" s="22">
        <v>3331</v>
      </c>
      <c r="E428" s="28" t="s">
        <v>67</v>
      </c>
      <c r="F428" s="21" t="s">
        <v>89</v>
      </c>
      <c r="G428" s="19" t="s">
        <v>2165</v>
      </c>
      <c r="H428" s="19" t="s">
        <v>2167</v>
      </c>
      <c r="I428" s="19" t="s">
        <v>2167</v>
      </c>
      <c r="J428" s="27" t="s"/>
    </row>
    <row r="429" spans="1:10" ht="32.4">
      <c r="A429" s="17" t="s">
        <v>66</v>
      </c>
      <c r="B429" s="20">
        <v>33</v>
      </c>
      <c r="C429" s="22">
        <v>333</v>
      </c>
      <c r="D429" s="22">
        <v>3332</v>
      </c>
      <c r="E429" s="28" t="s">
        <v>67</v>
      </c>
      <c r="F429" s="21" t="s">
        <v>89</v>
      </c>
      <c r="G429" s="19" t="s">
        <v>2165</v>
      </c>
      <c r="H429" s="19" t="s">
        <v>2168</v>
      </c>
      <c r="I429" s="19" t="s">
        <v>2168</v>
      </c>
      <c r="J429" s="27" t="s"/>
    </row>
    <row r="430" spans="1:10" ht="32.4">
      <c r="A430" s="17" t="s">
        <v>66</v>
      </c>
      <c r="B430" s="20">
        <v>33</v>
      </c>
      <c r="C430" s="22">
        <v>333</v>
      </c>
      <c r="D430" s="22">
        <v>3339</v>
      </c>
      <c r="E430" s="28" t="s">
        <v>67</v>
      </c>
      <c r="F430" s="21" t="s">
        <v>89</v>
      </c>
      <c r="G430" s="19" t="s">
        <v>2165</v>
      </c>
      <c r="H430" s="19" t="s">
        <v>2169</v>
      </c>
      <c r="I430" s="19" t="s">
        <v>2169</v>
      </c>
      <c r="J430" s="19" t="s"/>
    </row>
    <row r="431" spans="1:10" ht="32.4">
      <c r="A431" s="17" t="s">
        <v>66</v>
      </c>
      <c r="B431" s="20">
        <v>33</v>
      </c>
      <c r="C431" s="22">
        <v>334</v>
      </c>
      <c r="D431" s="22">
        <v>3340</v>
      </c>
      <c r="E431" s="28" t="s">
        <v>67</v>
      </c>
      <c r="F431" s="21" t="s">
        <v>89</v>
      </c>
      <c r="G431" s="19" t="s">
        <v>2170</v>
      </c>
      <c r="H431" s="19" t="s">
        <v>2170</v>
      </c>
      <c r="I431" s="19" t="s">
        <v>2170</v>
      </c>
      <c r="J431" s="19" t="s">
        <v>2171</v>
      </c>
    </row>
    <row r="432" spans="1:10" ht="32.4">
      <c r="A432" s="17" t="s">
        <v>66</v>
      </c>
      <c r="B432" s="20">
        <v>33</v>
      </c>
      <c r="C432" s="22">
        <v>335</v>
      </c>
      <c r="D432" s="22" t="s"/>
      <c r="E432" s="28" t="s">
        <v>67</v>
      </c>
      <c r="F432" s="21" t="s">
        <v>89</v>
      </c>
      <c r="G432" s="19" t="s">
        <v>2172</v>
      </c>
      <c r="H432" s="29" t="s"/>
      <c r="I432" s="19" t="s">
        <v>2172</v>
      </c>
      <c r="J432" s="19" t="s"/>
    </row>
    <row r="433" spans="1:10" ht="32.4">
      <c r="A433" s="17" t="s">
        <v>66</v>
      </c>
      <c r="B433" s="20">
        <v>33</v>
      </c>
      <c r="C433" s="22">
        <v>335</v>
      </c>
      <c r="D433" s="22">
        <v>3351</v>
      </c>
      <c r="E433" s="28" t="s">
        <v>67</v>
      </c>
      <c r="F433" s="21" t="s">
        <v>89</v>
      </c>
      <c r="G433" s="19" t="s">
        <v>2172</v>
      </c>
      <c r="H433" s="19" t="s">
        <v>2173</v>
      </c>
      <c r="I433" s="19" t="s">
        <v>2173</v>
      </c>
      <c r="J433" s="19" t="s">
        <v>2174</v>
      </c>
    </row>
    <row r="434" spans="1:10" ht="32.4">
      <c r="A434" s="17" t="s">
        <v>66</v>
      </c>
      <c r="B434" s="20">
        <v>33</v>
      </c>
      <c r="C434" s="22">
        <v>335</v>
      </c>
      <c r="D434" s="22">
        <v>3352</v>
      </c>
      <c r="E434" s="28" t="s">
        <v>67</v>
      </c>
      <c r="F434" s="21" t="s">
        <v>89</v>
      </c>
      <c r="G434" s="19" t="s">
        <v>2172</v>
      </c>
      <c r="H434" s="19" t="s">
        <v>2175</v>
      </c>
      <c r="I434" s="19" t="s">
        <v>2175</v>
      </c>
      <c r="J434" s="19" t="s">
        <v>2176</v>
      </c>
    </row>
    <row r="435" spans="1:10" ht="32.4">
      <c r="A435" s="17" t="s">
        <v>66</v>
      </c>
      <c r="B435" s="20">
        <v>33</v>
      </c>
      <c r="C435" s="22">
        <v>335</v>
      </c>
      <c r="D435" s="22">
        <v>3353</v>
      </c>
      <c r="E435" s="28" t="s">
        <v>67</v>
      </c>
      <c r="F435" s="21" t="s">
        <v>89</v>
      </c>
      <c r="G435" s="19" t="s">
        <v>2172</v>
      </c>
      <c r="H435" s="19" t="s">
        <v>2177</v>
      </c>
      <c r="I435" s="19" t="s">
        <v>2177</v>
      </c>
      <c r="J435" s="19" t="s">
        <v>2178</v>
      </c>
    </row>
    <row r="436" spans="1:10" ht="21.6">
      <c r="A436" s="17" t="s">
        <v>66</v>
      </c>
      <c r="B436" s="20">
        <v>34</v>
      </c>
      <c r="C436" s="22" t="s"/>
      <c r="D436" s="20" t="s"/>
      <c r="E436" s="28" t="s">
        <v>67</v>
      </c>
      <c r="F436" s="21" t="s">
        <v>90</v>
      </c>
      <c r="G436" s="20" t="s"/>
      <c r="H436" s="29" t="s"/>
      <c r="I436" s="21" t="s">
        <v>90</v>
      </c>
      <c r="J436" s="27" t="s"/>
    </row>
    <row r="437" spans="1:10" ht="22.8">
      <c r="A437" s="17" t="s">
        <v>66</v>
      </c>
      <c r="B437" s="20">
        <v>34</v>
      </c>
      <c r="C437" s="22">
        <v>341</v>
      </c>
      <c r="D437" s="22" t="s"/>
      <c r="E437" s="28" t="s">
        <v>67</v>
      </c>
      <c r="F437" s="21" t="s">
        <v>90</v>
      </c>
      <c r="G437" s="19" t="s">
        <v>2179</v>
      </c>
      <c r="H437" s="29" t="s"/>
      <c r="I437" s="19" t="s">
        <v>2179</v>
      </c>
      <c r="J437" s="27" t="s"/>
    </row>
    <row r="438" spans="1:10" ht="33.6">
      <c r="A438" s="17" t="s">
        <v>66</v>
      </c>
      <c r="B438" s="20">
        <v>34</v>
      </c>
      <c r="C438" s="22">
        <v>341</v>
      </c>
      <c r="D438" s="22">
        <v>3411</v>
      </c>
      <c r="E438" s="28" t="s">
        <v>67</v>
      </c>
      <c r="F438" s="21" t="s">
        <v>90</v>
      </c>
      <c r="G438" s="19" t="s">
        <v>2179</v>
      </c>
      <c r="H438" s="19" t="s">
        <v>2180</v>
      </c>
      <c r="I438" s="19" t="s">
        <v>2180</v>
      </c>
      <c r="J438" s="19" t="s">
        <v>2181</v>
      </c>
    </row>
    <row r="439" spans="1:10" ht="22.8">
      <c r="A439" s="17" t="s">
        <v>66</v>
      </c>
      <c r="B439" s="20">
        <v>34</v>
      </c>
      <c r="C439" s="22">
        <v>341</v>
      </c>
      <c r="D439" s="22">
        <v>3412</v>
      </c>
      <c r="E439" s="28" t="s">
        <v>67</v>
      </c>
      <c r="F439" s="21" t="s">
        <v>90</v>
      </c>
      <c r="G439" s="19" t="s">
        <v>2179</v>
      </c>
      <c r="H439" s="19" t="s">
        <v>2182</v>
      </c>
      <c r="I439" s="19" t="s">
        <v>2182</v>
      </c>
      <c r="J439" s="19" t="s">
        <v>2183</v>
      </c>
    </row>
    <row r="440" spans="1:10" ht="21.6">
      <c r="A440" s="17" t="s">
        <v>66</v>
      </c>
      <c r="B440" s="20">
        <v>34</v>
      </c>
      <c r="C440" s="22">
        <v>342</v>
      </c>
      <c r="D440" s="22" t="s"/>
      <c r="E440" s="28" t="s">
        <v>67</v>
      </c>
      <c r="F440" s="21" t="s">
        <v>90</v>
      </c>
      <c r="G440" s="19" t="s">
        <v>2184</v>
      </c>
      <c r="H440" s="29" t="s"/>
      <c r="I440" s="19" t="s">
        <v>2184</v>
      </c>
      <c r="J440" s="27" t="s"/>
    </row>
    <row r="441" spans="1:10" ht="21.6">
      <c r="A441" s="17" t="s">
        <v>66</v>
      </c>
      <c r="B441" s="20">
        <v>34</v>
      </c>
      <c r="C441" s="22">
        <v>342</v>
      </c>
      <c r="D441" s="22">
        <v>3421</v>
      </c>
      <c r="E441" s="28" t="s">
        <v>67</v>
      </c>
      <c r="F441" s="21" t="s">
        <v>90</v>
      </c>
      <c r="G441" s="19" t="s">
        <v>2184</v>
      </c>
      <c r="H441" s="19" t="s">
        <v>2185</v>
      </c>
      <c r="I441" s="19" t="s">
        <v>2185</v>
      </c>
      <c r="J441" s="19" t="s">
        <v>2186</v>
      </c>
    </row>
    <row r="442" spans="1:10" ht="22.8">
      <c r="A442" s="17" t="s">
        <v>66</v>
      </c>
      <c r="B442" s="20">
        <v>34</v>
      </c>
      <c r="C442" s="22">
        <v>342</v>
      </c>
      <c r="D442" s="22">
        <v>3422</v>
      </c>
      <c r="E442" s="28" t="s">
        <v>67</v>
      </c>
      <c r="F442" s="21" t="s">
        <v>90</v>
      </c>
      <c r="G442" s="19" t="s">
        <v>2184</v>
      </c>
      <c r="H442" s="19" t="s">
        <v>2187</v>
      </c>
      <c r="I442" s="19" t="s">
        <v>2187</v>
      </c>
      <c r="J442" s="19" t="s">
        <v>2188</v>
      </c>
    </row>
    <row r="443" spans="1:10" ht="22.8">
      <c r="A443" s="17" t="s">
        <v>66</v>
      </c>
      <c r="B443" s="20">
        <v>34</v>
      </c>
      <c r="C443" s="22">
        <v>342</v>
      </c>
      <c r="D443" s="22">
        <v>3423</v>
      </c>
      <c r="E443" s="28" t="s">
        <v>67</v>
      </c>
      <c r="F443" s="21" t="s">
        <v>90</v>
      </c>
      <c r="G443" s="19" t="s">
        <v>2184</v>
      </c>
      <c r="H443" s="19" t="s">
        <v>2189</v>
      </c>
      <c r="I443" s="19" t="s">
        <v>2189</v>
      </c>
      <c r="J443" s="19" t="s">
        <v>2190</v>
      </c>
    </row>
    <row r="444" spans="1:10" ht="22.8">
      <c r="A444" s="17" t="s">
        <v>66</v>
      </c>
      <c r="B444" s="20">
        <v>34</v>
      </c>
      <c r="C444" s="22">
        <v>342</v>
      </c>
      <c r="D444" s="22">
        <v>3424</v>
      </c>
      <c r="E444" s="28" t="s">
        <v>67</v>
      </c>
      <c r="F444" s="21" t="s">
        <v>90</v>
      </c>
      <c r="G444" s="19" t="s">
        <v>2184</v>
      </c>
      <c r="H444" s="19" t="s">
        <v>2191</v>
      </c>
      <c r="I444" s="19" t="s">
        <v>2191</v>
      </c>
      <c r="J444" s="19" t="s">
        <v>2192</v>
      </c>
    </row>
    <row r="445" spans="1:10" ht="22.8">
      <c r="A445" s="17" t="s">
        <v>66</v>
      </c>
      <c r="B445" s="20">
        <v>34</v>
      </c>
      <c r="C445" s="22">
        <v>342</v>
      </c>
      <c r="D445" s="22">
        <v>3429</v>
      </c>
      <c r="E445" s="28" t="s">
        <v>67</v>
      </c>
      <c r="F445" s="21" t="s">
        <v>90</v>
      </c>
      <c r="G445" s="19" t="s">
        <v>2184</v>
      </c>
      <c r="H445" s="19" t="s">
        <v>2193</v>
      </c>
      <c r="I445" s="19" t="s">
        <v>2193</v>
      </c>
      <c r="J445" s="19" t="s">
        <v>2194</v>
      </c>
    </row>
    <row r="446" spans="1:10" ht="22.8">
      <c r="A446" s="17" t="s">
        <v>66</v>
      </c>
      <c r="B446" s="20">
        <v>34</v>
      </c>
      <c r="C446" s="22">
        <v>343</v>
      </c>
      <c r="D446" s="22" t="s"/>
      <c r="E446" s="28" t="s">
        <v>67</v>
      </c>
      <c r="F446" s="21" t="s">
        <v>90</v>
      </c>
      <c r="G446" s="19" t="s">
        <v>2195</v>
      </c>
      <c r="H446" s="29" t="s"/>
      <c r="I446" s="19" t="s">
        <v>2195</v>
      </c>
      <c r="J446" s="27" t="s"/>
    </row>
    <row r="447" spans="1:10" ht="34.8">
      <c r="A447" s="17" t="s">
        <v>66</v>
      </c>
      <c r="B447" s="20">
        <v>34</v>
      </c>
      <c r="C447" s="22">
        <v>343</v>
      </c>
      <c r="D447" s="22">
        <v>3431</v>
      </c>
      <c r="E447" s="28" t="s">
        <v>67</v>
      </c>
      <c r="F447" s="21" t="s">
        <v>90</v>
      </c>
      <c r="G447" s="19" t="s">
        <v>2195</v>
      </c>
      <c r="H447" s="19" t="s">
        <v>2196</v>
      </c>
      <c r="I447" s="19" t="s">
        <v>2196</v>
      </c>
      <c r="J447" s="19" t="s">
        <v>2197</v>
      </c>
    </row>
    <row r="448" spans="1:10" ht="33.6">
      <c r="A448" s="17" t="s">
        <v>66</v>
      </c>
      <c r="B448" s="20">
        <v>34</v>
      </c>
      <c r="C448" s="22">
        <v>343</v>
      </c>
      <c r="D448" s="22">
        <v>3432</v>
      </c>
      <c r="E448" s="28" t="s">
        <v>67</v>
      </c>
      <c r="F448" s="21" t="s">
        <v>90</v>
      </c>
      <c r="G448" s="19" t="s">
        <v>2195</v>
      </c>
      <c r="H448" s="19" t="s">
        <v>2198</v>
      </c>
      <c r="I448" s="19" t="s">
        <v>2198</v>
      </c>
      <c r="J448" s="19" t="s">
        <v>2199</v>
      </c>
    </row>
    <row r="449" spans="1:10" ht="22.8">
      <c r="A449" s="17" t="s">
        <v>66</v>
      </c>
      <c r="B449" s="20">
        <v>34</v>
      </c>
      <c r="C449" s="22">
        <v>343</v>
      </c>
      <c r="D449" s="22">
        <v>3433</v>
      </c>
      <c r="E449" s="28" t="s">
        <v>67</v>
      </c>
      <c r="F449" s="21" t="s">
        <v>90</v>
      </c>
      <c r="G449" s="19" t="s">
        <v>2195</v>
      </c>
      <c r="H449" s="19" t="s">
        <v>2200</v>
      </c>
      <c r="I449" s="19" t="s">
        <v>2200</v>
      </c>
      <c r="J449" s="19" t="s">
        <v>2201</v>
      </c>
    </row>
    <row r="450" spans="1:10" ht="22.8">
      <c r="A450" s="17" t="s">
        <v>66</v>
      </c>
      <c r="B450" s="20">
        <v>34</v>
      </c>
      <c r="C450" s="22">
        <v>344</v>
      </c>
      <c r="D450" s="22">
        <v>3440</v>
      </c>
      <c r="E450" s="28" t="s">
        <v>67</v>
      </c>
      <c r="F450" s="21" t="s">
        <v>90</v>
      </c>
      <c r="G450" s="19" t="s">
        <v>2202</v>
      </c>
      <c r="H450" s="19" t="s">
        <v>2202</v>
      </c>
      <c r="I450" s="19" t="s">
        <v>2202</v>
      </c>
      <c r="J450" s="27" t="s"/>
    </row>
    <row r="451" spans="1:10" ht="22.8">
      <c r="A451" s="17" t="s">
        <v>66</v>
      </c>
      <c r="B451" s="20">
        <v>34</v>
      </c>
      <c r="C451" s="22">
        <v>345</v>
      </c>
      <c r="D451" s="22" t="s"/>
      <c r="E451" s="28" t="s">
        <v>67</v>
      </c>
      <c r="F451" s="21" t="s">
        <v>90</v>
      </c>
      <c r="G451" s="19" t="s">
        <v>2203</v>
      </c>
      <c r="H451" s="29" t="s"/>
      <c r="I451" s="19" t="s">
        <v>2203</v>
      </c>
      <c r="J451" s="27" t="s"/>
    </row>
    <row r="452" spans="1:10" ht="22.8">
      <c r="A452" s="17" t="s">
        <v>66</v>
      </c>
      <c r="B452" s="20">
        <v>34</v>
      </c>
      <c r="C452" s="22">
        <v>345</v>
      </c>
      <c r="D452" s="22">
        <v>3451</v>
      </c>
      <c r="E452" s="28" t="s">
        <v>67</v>
      </c>
      <c r="F452" s="21" t="s">
        <v>90</v>
      </c>
      <c r="G452" s="19" t="s">
        <v>2203</v>
      </c>
      <c r="H452" s="19" t="s">
        <v>2204</v>
      </c>
      <c r="I452" s="19" t="s">
        <v>2204</v>
      </c>
      <c r="J452" s="19" t="s">
        <v>2205</v>
      </c>
    </row>
    <row r="453" spans="1:10" ht="33.6">
      <c r="A453" s="17" t="s">
        <v>66</v>
      </c>
      <c r="B453" s="20">
        <v>34</v>
      </c>
      <c r="C453" s="22">
        <v>345</v>
      </c>
      <c r="D453" s="22">
        <v>3452</v>
      </c>
      <c r="E453" s="28" t="s">
        <v>67</v>
      </c>
      <c r="F453" s="21" t="s">
        <v>90</v>
      </c>
      <c r="G453" s="19" t="s">
        <v>2203</v>
      </c>
      <c r="H453" s="19" t="s">
        <v>2206</v>
      </c>
      <c r="I453" s="19" t="s">
        <v>2206</v>
      </c>
      <c r="J453" s="19" t="s">
        <v>2207</v>
      </c>
    </row>
    <row r="454" spans="1:10" ht="22.8">
      <c r="A454" s="17" t="s">
        <v>66</v>
      </c>
      <c r="B454" s="20">
        <v>34</v>
      </c>
      <c r="C454" s="22">
        <v>345</v>
      </c>
      <c r="D454" s="22">
        <v>3453</v>
      </c>
      <c r="E454" s="28" t="s">
        <v>67</v>
      </c>
      <c r="F454" s="21" t="s">
        <v>90</v>
      </c>
      <c r="G454" s="19" t="s">
        <v>2203</v>
      </c>
      <c r="H454" s="19" t="s">
        <v>2208</v>
      </c>
      <c r="I454" s="19" t="s">
        <v>2208</v>
      </c>
      <c r="J454" s="19" t="s">
        <v>2209</v>
      </c>
    </row>
    <row r="455" spans="1:10" ht="33.6">
      <c r="A455" s="17" t="s">
        <v>66</v>
      </c>
      <c r="B455" s="20">
        <v>34</v>
      </c>
      <c r="C455" s="22">
        <v>345</v>
      </c>
      <c r="D455" s="22">
        <v>3459</v>
      </c>
      <c r="E455" s="28" t="s">
        <v>67</v>
      </c>
      <c r="F455" s="21" t="s">
        <v>90</v>
      </c>
      <c r="G455" s="19" t="s">
        <v>2203</v>
      </c>
      <c r="H455" s="19" t="s">
        <v>2210</v>
      </c>
      <c r="I455" s="19" t="s">
        <v>2210</v>
      </c>
      <c r="J455" s="27" t="s"/>
    </row>
    <row r="456" spans="1:10" ht="22.8">
      <c r="A456" s="17" t="s">
        <v>66</v>
      </c>
      <c r="B456" s="20">
        <v>34</v>
      </c>
      <c r="C456" s="22">
        <v>346</v>
      </c>
      <c r="D456" s="22">
        <v>3460</v>
      </c>
      <c r="E456" s="28" t="s">
        <v>67</v>
      </c>
      <c r="F456" s="21" t="s">
        <v>90</v>
      </c>
      <c r="G456" s="19" t="s">
        <v>2211</v>
      </c>
      <c r="H456" s="19" t="s">
        <v>2211</v>
      </c>
      <c r="I456" s="19" t="s">
        <v>2211</v>
      </c>
      <c r="J456" s="19" t="s">
        <v>2212</v>
      </c>
    </row>
    <row r="457" spans="1:10" ht="22.8">
      <c r="A457" s="17" t="s">
        <v>66</v>
      </c>
      <c r="B457" s="20">
        <v>34</v>
      </c>
      <c r="C457" s="22">
        <v>347</v>
      </c>
      <c r="D457" s="22" t="s"/>
      <c r="E457" s="28" t="s">
        <v>67</v>
      </c>
      <c r="F457" s="21" t="s">
        <v>90</v>
      </c>
      <c r="G457" s="19" t="s">
        <v>2213</v>
      </c>
      <c r="H457" s="29" t="s"/>
      <c r="I457" s="19" t="s">
        <v>2213</v>
      </c>
      <c r="J457" s="19" t="s">
        <v>2214</v>
      </c>
    </row>
    <row r="458" spans="1:10" ht="22.8">
      <c r="A458" s="17" t="s">
        <v>66</v>
      </c>
      <c r="B458" s="20">
        <v>34</v>
      </c>
      <c r="C458" s="22">
        <v>347</v>
      </c>
      <c r="D458" s="22">
        <v>3471</v>
      </c>
      <c r="E458" s="28" t="s">
        <v>67</v>
      </c>
      <c r="F458" s="21" t="s">
        <v>90</v>
      </c>
      <c r="G458" s="19" t="s">
        <v>2213</v>
      </c>
      <c r="H458" s="19" t="s">
        <v>2215</v>
      </c>
      <c r="I458" s="19" t="s">
        <v>2215</v>
      </c>
      <c r="J458" s="19" t="s">
        <v>2216</v>
      </c>
    </row>
    <row r="459" spans="1:10" ht="22.8">
      <c r="A459" s="17" t="s">
        <v>66</v>
      </c>
      <c r="B459" s="20">
        <v>34</v>
      </c>
      <c r="C459" s="22">
        <v>347</v>
      </c>
      <c r="D459" s="22">
        <v>3472</v>
      </c>
      <c r="E459" s="28" t="s">
        <v>67</v>
      </c>
      <c r="F459" s="21" t="s">
        <v>90</v>
      </c>
      <c r="G459" s="19" t="s">
        <v>2213</v>
      </c>
      <c r="H459" s="19" t="s">
        <v>2217</v>
      </c>
      <c r="I459" s="19" t="s">
        <v>2217</v>
      </c>
      <c r="J459" s="19" t="s">
        <v>2218</v>
      </c>
    </row>
    <row r="460" spans="1:10" ht="33.6">
      <c r="A460" s="17" t="s">
        <v>66</v>
      </c>
      <c r="B460" s="20">
        <v>34</v>
      </c>
      <c r="C460" s="22">
        <v>347</v>
      </c>
      <c r="D460" s="22">
        <v>3479</v>
      </c>
      <c r="E460" s="28" t="s">
        <v>67</v>
      </c>
      <c r="F460" s="21" t="s">
        <v>90</v>
      </c>
      <c r="G460" s="19" t="s">
        <v>2213</v>
      </c>
      <c r="H460" s="19" t="s">
        <v>2219</v>
      </c>
      <c r="I460" s="19" t="s">
        <v>2219</v>
      </c>
      <c r="J460" s="19" t="s">
        <v>2220</v>
      </c>
    </row>
    <row r="461" spans="1:10" ht="33.6">
      <c r="A461" s="17" t="s">
        <v>66</v>
      </c>
      <c r="B461" s="20">
        <v>34</v>
      </c>
      <c r="C461" s="22">
        <v>348</v>
      </c>
      <c r="D461" s="22" t="s"/>
      <c r="E461" s="28" t="s">
        <v>67</v>
      </c>
      <c r="F461" s="21" t="s">
        <v>90</v>
      </c>
      <c r="G461" s="19" t="s">
        <v>2221</v>
      </c>
      <c r="H461" s="29" t="s"/>
      <c r="I461" s="19" t="s">
        <v>2221</v>
      </c>
      <c r="J461" s="19" t="s">
        <v>2222</v>
      </c>
    </row>
    <row r="462" spans="1:10" ht="33.6">
      <c r="A462" s="17" t="s">
        <v>66</v>
      </c>
      <c r="B462" s="20">
        <v>34</v>
      </c>
      <c r="C462" s="22">
        <v>348</v>
      </c>
      <c r="D462" s="22">
        <v>3481</v>
      </c>
      <c r="E462" s="28" t="s">
        <v>67</v>
      </c>
      <c r="F462" s="21" t="s">
        <v>90</v>
      </c>
      <c r="G462" s="19" t="s">
        <v>2221</v>
      </c>
      <c r="H462" s="19" t="s">
        <v>2223</v>
      </c>
      <c r="I462" s="19" t="s">
        <v>2223</v>
      </c>
      <c r="J462" s="19" t="s">
        <v>2224</v>
      </c>
    </row>
    <row r="463" spans="1:10" ht="33.6">
      <c r="A463" s="17" t="s">
        <v>66</v>
      </c>
      <c r="B463" s="20">
        <v>34</v>
      </c>
      <c r="C463" s="22">
        <v>348</v>
      </c>
      <c r="D463" s="22">
        <v>3482</v>
      </c>
      <c r="E463" s="28" t="s">
        <v>67</v>
      </c>
      <c r="F463" s="21" t="s">
        <v>90</v>
      </c>
      <c r="G463" s="19" t="s">
        <v>2221</v>
      </c>
      <c r="H463" s="19" t="s">
        <v>2225</v>
      </c>
      <c r="I463" s="19" t="s">
        <v>2225</v>
      </c>
      <c r="J463" s="19" t="s"/>
    </row>
    <row r="464" spans="1:10" ht="33.6">
      <c r="A464" s="17" t="s">
        <v>66</v>
      </c>
      <c r="B464" s="20">
        <v>34</v>
      </c>
      <c r="C464" s="22">
        <v>348</v>
      </c>
      <c r="D464" s="22">
        <v>3489</v>
      </c>
      <c r="E464" s="28" t="s">
        <v>67</v>
      </c>
      <c r="F464" s="21" t="s">
        <v>90</v>
      </c>
      <c r="G464" s="19" t="s">
        <v>2221</v>
      </c>
      <c r="H464" s="19" t="s">
        <v>2226</v>
      </c>
      <c r="I464" s="19" t="s">
        <v>2226</v>
      </c>
      <c r="J464" s="19" t="s"/>
    </row>
    <row r="465" spans="1:10" ht="22.8">
      <c r="A465" s="17" t="s">
        <v>66</v>
      </c>
      <c r="B465" s="20">
        <v>34</v>
      </c>
      <c r="C465" s="22">
        <v>349</v>
      </c>
      <c r="D465" s="22" t="s"/>
      <c r="E465" s="28" t="s">
        <v>67</v>
      </c>
      <c r="F465" s="21" t="s">
        <v>90</v>
      </c>
      <c r="G465" s="19" t="s">
        <v>2227</v>
      </c>
      <c r="H465" s="29" t="s"/>
      <c r="I465" s="19" t="s">
        <v>2227</v>
      </c>
      <c r="J465" s="27" t="s"/>
    </row>
    <row r="466" spans="1:10" ht="33.6">
      <c r="A466" s="17" t="s">
        <v>66</v>
      </c>
      <c r="B466" s="20">
        <v>34</v>
      </c>
      <c r="C466" s="22">
        <v>349</v>
      </c>
      <c r="D466" s="22">
        <v>3491</v>
      </c>
      <c r="E466" s="28" t="s">
        <v>67</v>
      </c>
      <c r="F466" s="21" t="s">
        <v>90</v>
      </c>
      <c r="G466" s="19" t="s">
        <v>2227</v>
      </c>
      <c r="H466" s="19" t="s">
        <v>2228</v>
      </c>
      <c r="I466" s="19" t="s">
        <v>2228</v>
      </c>
      <c r="J466" s="19" t="s">
        <v>2229</v>
      </c>
    </row>
    <row r="467" spans="1:10" ht="22.8">
      <c r="A467" s="17" t="s">
        <v>66</v>
      </c>
      <c r="B467" s="20">
        <v>34</v>
      </c>
      <c r="C467" s="22">
        <v>349</v>
      </c>
      <c r="D467" s="22">
        <v>3499</v>
      </c>
      <c r="E467" s="28" t="s">
        <v>67</v>
      </c>
      <c r="F467" s="21" t="s">
        <v>90</v>
      </c>
      <c r="G467" s="19" t="s">
        <v>2227</v>
      </c>
      <c r="H467" s="19" t="s">
        <v>2230</v>
      </c>
      <c r="I467" s="19" t="s">
        <v>2230</v>
      </c>
      <c r="J467" s="19" t="s"/>
    </row>
    <row r="468" spans="1:10" ht="21.6">
      <c r="A468" s="17" t="s">
        <v>66</v>
      </c>
      <c r="B468" s="20">
        <v>35</v>
      </c>
      <c r="C468" s="22" t="s"/>
      <c r="D468" s="20" t="s"/>
      <c r="E468" s="28" t="s">
        <v>67</v>
      </c>
      <c r="F468" s="21" t="s">
        <v>91</v>
      </c>
      <c r="G468" s="20" t="s"/>
      <c r="H468" s="29" t="s"/>
      <c r="I468" s="21" t="s">
        <v>91</v>
      </c>
      <c r="J468" s="27" t="s"/>
    </row>
    <row r="469" spans="1:10" ht="22.8">
      <c r="A469" s="17" t="s">
        <v>66</v>
      </c>
      <c r="B469" s="20">
        <v>35</v>
      </c>
      <c r="C469" s="22">
        <v>351</v>
      </c>
      <c r="D469" s="22" t="s"/>
      <c r="E469" s="28" t="s">
        <v>67</v>
      </c>
      <c r="F469" s="21" t="s">
        <v>91</v>
      </c>
      <c r="G469" s="19" t="s">
        <v>2231</v>
      </c>
      <c r="H469" s="29" t="s"/>
      <c r="I469" s="19" t="s">
        <v>2231</v>
      </c>
      <c r="J469" s="27" t="s"/>
    </row>
    <row r="470" spans="1:10" ht="22.8">
      <c r="A470" s="17" t="s">
        <v>66</v>
      </c>
      <c r="B470" s="20">
        <v>35</v>
      </c>
      <c r="C470" s="22">
        <v>351</v>
      </c>
      <c r="D470" s="22">
        <v>3511</v>
      </c>
      <c r="E470" s="28" t="s">
        <v>67</v>
      </c>
      <c r="F470" s="21" t="s">
        <v>91</v>
      </c>
      <c r="G470" s="19" t="s">
        <v>2231</v>
      </c>
      <c r="H470" s="19" t="s">
        <v>2232</v>
      </c>
      <c r="I470" s="19" t="s">
        <v>2232</v>
      </c>
      <c r="J470" s="19" t="s">
        <v>2233</v>
      </c>
    </row>
    <row r="471" spans="1:10" ht="22.8">
      <c r="A471" s="17" t="s">
        <v>66</v>
      </c>
      <c r="B471" s="20">
        <v>35</v>
      </c>
      <c r="C471" s="22">
        <v>351</v>
      </c>
      <c r="D471" s="22">
        <v>3512</v>
      </c>
      <c r="E471" s="28" t="s">
        <v>67</v>
      </c>
      <c r="F471" s="21" t="s">
        <v>91</v>
      </c>
      <c r="G471" s="19" t="s">
        <v>2231</v>
      </c>
      <c r="H471" s="19" t="s">
        <v>2234</v>
      </c>
      <c r="I471" s="19" t="s">
        <v>2234</v>
      </c>
      <c r="J471" s="19" t="s">
        <v>2235</v>
      </c>
    </row>
    <row r="472" spans="1:10" ht="22.8">
      <c r="A472" s="17" t="s">
        <v>66</v>
      </c>
      <c r="B472" s="20">
        <v>35</v>
      </c>
      <c r="C472" s="22">
        <v>351</v>
      </c>
      <c r="D472" s="22">
        <v>3513</v>
      </c>
      <c r="E472" s="28" t="s">
        <v>67</v>
      </c>
      <c r="F472" s="21" t="s">
        <v>91</v>
      </c>
      <c r="G472" s="19" t="s">
        <v>2231</v>
      </c>
      <c r="H472" s="19" t="s">
        <v>2236</v>
      </c>
      <c r="I472" s="19" t="s">
        <v>2236</v>
      </c>
      <c r="J472" s="19" t="s">
        <v>2237</v>
      </c>
    </row>
    <row r="473" spans="1:10" ht="22.8">
      <c r="A473" s="17" t="s">
        <v>66</v>
      </c>
      <c r="B473" s="20">
        <v>35</v>
      </c>
      <c r="C473" s="22">
        <v>351</v>
      </c>
      <c r="D473" s="22">
        <v>3514</v>
      </c>
      <c r="E473" s="28" t="s">
        <v>67</v>
      </c>
      <c r="F473" s="21" t="s">
        <v>91</v>
      </c>
      <c r="G473" s="19" t="s">
        <v>2231</v>
      </c>
      <c r="H473" s="19" t="s">
        <v>2238</v>
      </c>
      <c r="I473" s="19" t="s">
        <v>2238</v>
      </c>
      <c r="J473" s="27" t="s"/>
    </row>
    <row r="474" spans="1:10" ht="22.8">
      <c r="A474" s="17" t="s">
        <v>66</v>
      </c>
      <c r="B474" s="20">
        <v>35</v>
      </c>
      <c r="C474" s="22">
        <v>351</v>
      </c>
      <c r="D474" s="22">
        <v>3519</v>
      </c>
      <c r="E474" s="28" t="s">
        <v>67</v>
      </c>
      <c r="F474" s="21" t="s">
        <v>91</v>
      </c>
      <c r="G474" s="19" t="s">
        <v>2231</v>
      </c>
      <c r="H474" s="19" t="s">
        <v>2239</v>
      </c>
      <c r="I474" s="19" t="s">
        <v>2239</v>
      </c>
      <c r="J474" s="27" t="s"/>
    </row>
    <row r="475" spans="1:10" ht="22.8">
      <c r="A475" s="17" t="s">
        <v>66</v>
      </c>
      <c r="B475" s="20">
        <v>35</v>
      </c>
      <c r="C475" s="22">
        <v>352</v>
      </c>
      <c r="D475" s="22" t="s"/>
      <c r="E475" s="28" t="s">
        <v>67</v>
      </c>
      <c r="F475" s="21" t="s">
        <v>91</v>
      </c>
      <c r="G475" s="19" t="s">
        <v>2240</v>
      </c>
      <c r="H475" s="29" t="s"/>
      <c r="I475" s="19" t="s">
        <v>2240</v>
      </c>
      <c r="J475" s="27" t="s"/>
    </row>
    <row r="476" spans="1:10" ht="22.8">
      <c r="A476" s="17" t="s">
        <v>66</v>
      </c>
      <c r="B476" s="20">
        <v>35</v>
      </c>
      <c r="C476" s="22">
        <v>352</v>
      </c>
      <c r="D476" s="22">
        <v>3521</v>
      </c>
      <c r="E476" s="28" t="s">
        <v>67</v>
      </c>
      <c r="F476" s="21" t="s">
        <v>91</v>
      </c>
      <c r="G476" s="19" t="s">
        <v>2240</v>
      </c>
      <c r="H476" s="19" t="s">
        <v>2241</v>
      </c>
      <c r="I476" s="19" t="s">
        <v>2241</v>
      </c>
      <c r="J476" s="19" t="s">
        <v>2242</v>
      </c>
    </row>
    <row r="477" spans="1:10" ht="22.8">
      <c r="A477" s="17" t="s">
        <v>66</v>
      </c>
      <c r="B477" s="20">
        <v>35</v>
      </c>
      <c r="C477" s="22">
        <v>352</v>
      </c>
      <c r="D477" s="22">
        <v>3522</v>
      </c>
      <c r="E477" s="28" t="s">
        <v>67</v>
      </c>
      <c r="F477" s="21" t="s">
        <v>91</v>
      </c>
      <c r="G477" s="19" t="s">
        <v>2240</v>
      </c>
      <c r="H477" s="19" t="s">
        <v>2243</v>
      </c>
      <c r="I477" s="19" t="s">
        <v>2243</v>
      </c>
      <c r="J477" s="19" t="s">
        <v>2244</v>
      </c>
    </row>
    <row r="478" spans="1:10" ht="22.8">
      <c r="A478" s="17" t="s">
        <v>66</v>
      </c>
      <c r="B478" s="20">
        <v>35</v>
      </c>
      <c r="C478" s="22">
        <v>352</v>
      </c>
      <c r="D478" s="22">
        <v>3523</v>
      </c>
      <c r="E478" s="28" t="s">
        <v>67</v>
      </c>
      <c r="F478" s="21" t="s">
        <v>91</v>
      </c>
      <c r="G478" s="19" t="s">
        <v>2240</v>
      </c>
      <c r="H478" s="19" t="s">
        <v>2245</v>
      </c>
      <c r="I478" s="19" t="s">
        <v>2245</v>
      </c>
      <c r="J478" s="19" t="s">
        <v>2246</v>
      </c>
    </row>
    <row r="479" spans="1:10" ht="22.8">
      <c r="A479" s="17" t="s">
        <v>66</v>
      </c>
      <c r="B479" s="20">
        <v>35</v>
      </c>
      <c r="C479" s="22">
        <v>352</v>
      </c>
      <c r="D479" s="22">
        <v>3524</v>
      </c>
      <c r="E479" s="28" t="s">
        <v>67</v>
      </c>
      <c r="F479" s="21" t="s">
        <v>91</v>
      </c>
      <c r="G479" s="19" t="s">
        <v>2240</v>
      </c>
      <c r="H479" s="19" t="s">
        <v>2247</v>
      </c>
      <c r="I479" s="19" t="s">
        <v>2247</v>
      </c>
      <c r="J479" s="19" t="s">
        <v>2248</v>
      </c>
    </row>
    <row r="480" spans="1:10" ht="22.8">
      <c r="A480" s="17" t="s">
        <v>66</v>
      </c>
      <c r="B480" s="20">
        <v>35</v>
      </c>
      <c r="C480" s="22">
        <v>352</v>
      </c>
      <c r="D480" s="22">
        <v>3525</v>
      </c>
      <c r="E480" s="28" t="s">
        <v>67</v>
      </c>
      <c r="F480" s="21" t="s">
        <v>91</v>
      </c>
      <c r="G480" s="19" t="s">
        <v>2240</v>
      </c>
      <c r="H480" s="19" t="s">
        <v>2249</v>
      </c>
      <c r="I480" s="19" t="s">
        <v>2249</v>
      </c>
      <c r="J480" s="19" t="s">
        <v>2250</v>
      </c>
    </row>
    <row r="481" spans="1:10" ht="22.8">
      <c r="A481" s="17" t="s">
        <v>66</v>
      </c>
      <c r="B481" s="20">
        <v>35</v>
      </c>
      <c r="C481" s="22">
        <v>352</v>
      </c>
      <c r="D481" s="22">
        <v>3529</v>
      </c>
      <c r="E481" s="28" t="s">
        <v>67</v>
      </c>
      <c r="F481" s="21" t="s">
        <v>91</v>
      </c>
      <c r="G481" s="19" t="s">
        <v>2240</v>
      </c>
      <c r="H481" s="19" t="s">
        <v>2251</v>
      </c>
      <c r="I481" s="19" t="s">
        <v>2251</v>
      </c>
      <c r="J481" s="27" t="s"/>
    </row>
    <row r="482" spans="1:10" ht="33.6">
      <c r="A482" s="17" t="s">
        <v>66</v>
      </c>
      <c r="B482" s="20">
        <v>35</v>
      </c>
      <c r="C482" s="22">
        <v>353</v>
      </c>
      <c r="D482" s="22">
        <v>3530</v>
      </c>
      <c r="E482" s="28" t="s">
        <v>67</v>
      </c>
      <c r="F482" s="21" t="s">
        <v>91</v>
      </c>
      <c r="G482" s="19" t="s">
        <v>2252</v>
      </c>
      <c r="H482" s="19" t="s">
        <v>2252</v>
      </c>
      <c r="I482" s="19" t="s">
        <v>2252</v>
      </c>
      <c r="J482" s="19" t="s">
        <v>2253</v>
      </c>
    </row>
    <row r="483" spans="1:10" ht="33.6">
      <c r="A483" s="17" t="s">
        <v>66</v>
      </c>
      <c r="B483" s="20">
        <v>35</v>
      </c>
      <c r="C483" s="22">
        <v>354</v>
      </c>
      <c r="D483" s="22" t="s"/>
      <c r="E483" s="28" t="s">
        <v>67</v>
      </c>
      <c r="F483" s="21" t="s">
        <v>91</v>
      </c>
      <c r="G483" s="19" t="s">
        <v>2254</v>
      </c>
      <c r="H483" s="29" t="s"/>
      <c r="I483" s="19" t="s">
        <v>2254</v>
      </c>
      <c r="J483" s="19" t="s">
        <v>2255</v>
      </c>
    </row>
    <row r="484" spans="1:10" ht="33.6">
      <c r="A484" s="17" t="s">
        <v>66</v>
      </c>
      <c r="B484" s="20">
        <v>35</v>
      </c>
      <c r="C484" s="22">
        <v>354</v>
      </c>
      <c r="D484" s="22">
        <v>3541</v>
      </c>
      <c r="E484" s="28" t="s">
        <v>67</v>
      </c>
      <c r="F484" s="21" t="s">
        <v>91</v>
      </c>
      <c r="G484" s="19" t="s">
        <v>2254</v>
      </c>
      <c r="H484" s="19" t="s">
        <v>2256</v>
      </c>
      <c r="I484" s="19" t="s">
        <v>2256</v>
      </c>
      <c r="J484" s="19" t="s">
        <v>2257</v>
      </c>
    </row>
    <row r="485" spans="1:10" ht="33.6">
      <c r="A485" s="17" t="s">
        <v>66</v>
      </c>
      <c r="B485" s="20">
        <v>35</v>
      </c>
      <c r="C485" s="22">
        <v>354</v>
      </c>
      <c r="D485" s="22">
        <v>3542</v>
      </c>
      <c r="E485" s="28" t="s">
        <v>67</v>
      </c>
      <c r="F485" s="21" t="s">
        <v>91</v>
      </c>
      <c r="G485" s="19" t="s">
        <v>2254</v>
      </c>
      <c r="H485" s="19" t="s">
        <v>2258</v>
      </c>
      <c r="I485" s="19" t="s">
        <v>2258</v>
      </c>
      <c r="J485" s="19" t="s">
        <v>2259</v>
      </c>
    </row>
    <row r="486" spans="1:10" ht="33.6">
      <c r="A486" s="17" t="s">
        <v>66</v>
      </c>
      <c r="B486" s="20">
        <v>35</v>
      </c>
      <c r="C486" s="22">
        <v>354</v>
      </c>
      <c r="D486" s="22">
        <v>3543</v>
      </c>
      <c r="E486" s="28" t="s">
        <v>67</v>
      </c>
      <c r="F486" s="21" t="s">
        <v>91</v>
      </c>
      <c r="G486" s="19" t="s">
        <v>2254</v>
      </c>
      <c r="H486" s="19" t="s">
        <v>2260</v>
      </c>
      <c r="I486" s="19" t="s">
        <v>2260</v>
      </c>
      <c r="J486" s="19" t="s">
        <v>2261</v>
      </c>
    </row>
    <row r="487" spans="1:10" ht="33.6">
      <c r="A487" s="17" t="s">
        <v>66</v>
      </c>
      <c r="B487" s="20">
        <v>35</v>
      </c>
      <c r="C487" s="22">
        <v>354</v>
      </c>
      <c r="D487" s="22">
        <v>3544</v>
      </c>
      <c r="E487" s="28" t="s">
        <v>67</v>
      </c>
      <c r="F487" s="21" t="s">
        <v>91</v>
      </c>
      <c r="G487" s="19" t="s">
        <v>2254</v>
      </c>
      <c r="H487" s="19" t="s">
        <v>2262</v>
      </c>
      <c r="I487" s="19" t="s">
        <v>2262</v>
      </c>
      <c r="J487" s="19" t="s">
        <v>2263</v>
      </c>
    </row>
    <row r="488" spans="1:10" ht="33.6">
      <c r="A488" s="17" t="s">
        <v>66</v>
      </c>
      <c r="B488" s="20">
        <v>35</v>
      </c>
      <c r="C488" s="22">
        <v>355</v>
      </c>
      <c r="D488" s="22" t="s"/>
      <c r="E488" s="28" t="s">
        <v>67</v>
      </c>
      <c r="F488" s="21" t="s">
        <v>91</v>
      </c>
      <c r="G488" s="19" t="s">
        <v>2264</v>
      </c>
      <c r="H488" s="29" t="s"/>
      <c r="I488" s="19" t="s">
        <v>2264</v>
      </c>
      <c r="J488" s="27" t="s"/>
    </row>
    <row r="489" spans="1:10" ht="33.6">
      <c r="A489" s="17" t="s">
        <v>66</v>
      </c>
      <c r="B489" s="20">
        <v>35</v>
      </c>
      <c r="C489" s="22">
        <v>355</v>
      </c>
      <c r="D489" s="22">
        <v>3551</v>
      </c>
      <c r="E489" s="28" t="s">
        <v>67</v>
      </c>
      <c r="F489" s="21" t="s">
        <v>91</v>
      </c>
      <c r="G489" s="19" t="s">
        <v>2264</v>
      </c>
      <c r="H489" s="19" t="s">
        <v>2265</v>
      </c>
      <c r="I489" s="19" t="s">
        <v>2265</v>
      </c>
      <c r="J489" s="19" t="s">
        <v>2266</v>
      </c>
    </row>
    <row r="490" spans="1:10" ht="33.6">
      <c r="A490" s="17" t="s">
        <v>66</v>
      </c>
      <c r="B490" s="20">
        <v>35</v>
      </c>
      <c r="C490" s="22">
        <v>355</v>
      </c>
      <c r="D490" s="22">
        <v>3552</v>
      </c>
      <c r="E490" s="28" t="s">
        <v>67</v>
      </c>
      <c r="F490" s="21" t="s">
        <v>91</v>
      </c>
      <c r="G490" s="19" t="s">
        <v>2264</v>
      </c>
      <c r="H490" s="19" t="s">
        <v>2267</v>
      </c>
      <c r="I490" s="19" t="s">
        <v>2267</v>
      </c>
      <c r="J490" s="19" t="s">
        <v>2268</v>
      </c>
    </row>
    <row r="491" spans="1:10" ht="33.6">
      <c r="A491" s="17" t="s">
        <v>66</v>
      </c>
      <c r="B491" s="20">
        <v>35</v>
      </c>
      <c r="C491" s="22">
        <v>356</v>
      </c>
      <c r="D491" s="22">
        <v>3560</v>
      </c>
      <c r="E491" s="28" t="s">
        <v>67</v>
      </c>
      <c r="F491" s="21" t="s">
        <v>91</v>
      </c>
      <c r="G491" s="19" t="s">
        <v>2269</v>
      </c>
      <c r="H491" s="19" t="s">
        <v>2269</v>
      </c>
      <c r="I491" s="19" t="s">
        <v>2269</v>
      </c>
      <c r="J491" s="19" t="s">
        <v>2270</v>
      </c>
    </row>
    <row r="492" spans="1:10" ht="33.6">
      <c r="A492" s="17" t="s">
        <v>66</v>
      </c>
      <c r="B492" s="20">
        <v>35</v>
      </c>
      <c r="C492" s="22">
        <v>357</v>
      </c>
      <c r="D492" s="22" t="s"/>
      <c r="E492" s="28" t="s">
        <v>67</v>
      </c>
      <c r="F492" s="21" t="s">
        <v>91</v>
      </c>
      <c r="G492" s="19" t="s">
        <v>2271</v>
      </c>
      <c r="H492" s="29" t="s"/>
      <c r="I492" s="19" t="s">
        <v>2271</v>
      </c>
      <c r="J492" s="19" t="s"/>
    </row>
    <row r="493" spans="1:10" ht="33.6">
      <c r="A493" s="17" t="s">
        <v>66</v>
      </c>
      <c r="B493" s="20">
        <v>35</v>
      </c>
      <c r="C493" s="22">
        <v>357</v>
      </c>
      <c r="D493" s="22">
        <v>3571</v>
      </c>
      <c r="E493" s="28" t="s">
        <v>67</v>
      </c>
      <c r="F493" s="21" t="s">
        <v>91</v>
      </c>
      <c r="G493" s="19" t="s">
        <v>2271</v>
      </c>
      <c r="H493" s="19" t="s">
        <v>2272</v>
      </c>
      <c r="I493" s="19" t="s">
        <v>2272</v>
      </c>
      <c r="J493" s="19" t="s">
        <v>2273</v>
      </c>
    </row>
    <row r="494" spans="1:10" ht="33.6">
      <c r="A494" s="17" t="s">
        <v>66</v>
      </c>
      <c r="B494" s="20">
        <v>35</v>
      </c>
      <c r="C494" s="22">
        <v>357</v>
      </c>
      <c r="D494" s="22">
        <v>3572</v>
      </c>
      <c r="E494" s="28" t="s">
        <v>67</v>
      </c>
      <c r="F494" s="21" t="s">
        <v>91</v>
      </c>
      <c r="G494" s="19" t="s">
        <v>2271</v>
      </c>
      <c r="H494" s="19" t="s">
        <v>2274</v>
      </c>
      <c r="I494" s="19" t="s">
        <v>2274</v>
      </c>
      <c r="J494" s="19" t="s">
        <v>2275</v>
      </c>
    </row>
    <row r="495" spans="1:10" ht="33.6">
      <c r="A495" s="17" t="s">
        <v>66</v>
      </c>
      <c r="B495" s="20">
        <v>35</v>
      </c>
      <c r="C495" s="22">
        <v>357</v>
      </c>
      <c r="D495" s="22">
        <v>3573</v>
      </c>
      <c r="E495" s="28" t="s">
        <v>67</v>
      </c>
      <c r="F495" s="21" t="s">
        <v>91</v>
      </c>
      <c r="G495" s="19" t="s">
        <v>2271</v>
      </c>
      <c r="H495" s="19" t="s">
        <v>2276</v>
      </c>
      <c r="I495" s="19" t="s">
        <v>2276</v>
      </c>
      <c r="J495" s="19" t="s">
        <v>2277</v>
      </c>
    </row>
    <row r="496" spans="1:10" ht="33.6">
      <c r="A496" s="17" t="s">
        <v>66</v>
      </c>
      <c r="B496" s="20">
        <v>35</v>
      </c>
      <c r="C496" s="22">
        <v>357</v>
      </c>
      <c r="D496" s="22">
        <v>3574</v>
      </c>
      <c r="E496" s="28" t="s">
        <v>67</v>
      </c>
      <c r="F496" s="21" t="s">
        <v>91</v>
      </c>
      <c r="G496" s="19" t="s">
        <v>2271</v>
      </c>
      <c r="H496" s="19" t="s">
        <v>2278</v>
      </c>
      <c r="I496" s="19" t="s">
        <v>2278</v>
      </c>
      <c r="J496" s="19" t="s">
        <v>2279</v>
      </c>
    </row>
    <row r="497" spans="1:10" ht="33.6">
      <c r="A497" s="17" t="s">
        <v>66</v>
      </c>
      <c r="B497" s="20">
        <v>35</v>
      </c>
      <c r="C497" s="22">
        <v>357</v>
      </c>
      <c r="D497" s="22">
        <v>3575</v>
      </c>
      <c r="E497" s="28" t="s">
        <v>67</v>
      </c>
      <c r="F497" s="21" t="s">
        <v>91</v>
      </c>
      <c r="G497" s="19" t="s">
        <v>2271</v>
      </c>
      <c r="H497" s="19" t="s">
        <v>2280</v>
      </c>
      <c r="I497" s="19" t="s">
        <v>2280</v>
      </c>
      <c r="J497" s="27" t="s"/>
    </row>
    <row r="498" spans="1:10" ht="33.6">
      <c r="A498" s="17" t="s">
        <v>66</v>
      </c>
      <c r="B498" s="20">
        <v>35</v>
      </c>
      <c r="C498" s="22">
        <v>357</v>
      </c>
      <c r="D498" s="22">
        <v>3576</v>
      </c>
      <c r="E498" s="28" t="s">
        <v>67</v>
      </c>
      <c r="F498" s="21" t="s">
        <v>91</v>
      </c>
      <c r="G498" s="19" t="s">
        <v>2271</v>
      </c>
      <c r="H498" s="19" t="s">
        <v>2281</v>
      </c>
      <c r="I498" s="19" t="s">
        <v>2281</v>
      </c>
      <c r="J498" s="19" t="s">
        <v>2282</v>
      </c>
    </row>
    <row r="499" spans="1:10" ht="33.6">
      <c r="A499" s="17" t="s">
        <v>66</v>
      </c>
      <c r="B499" s="20">
        <v>35</v>
      </c>
      <c r="C499" s="22">
        <v>357</v>
      </c>
      <c r="D499" s="22">
        <v>3577</v>
      </c>
      <c r="E499" s="28" t="s">
        <v>67</v>
      </c>
      <c r="F499" s="21" t="s">
        <v>91</v>
      </c>
      <c r="G499" s="19" t="s">
        <v>2271</v>
      </c>
      <c r="H499" s="19" t="s">
        <v>2283</v>
      </c>
      <c r="I499" s="19" t="s">
        <v>2283</v>
      </c>
      <c r="J499" s="19" t="s">
        <v>2284</v>
      </c>
    </row>
    <row r="500" spans="1:10" ht="33.6">
      <c r="A500" s="17" t="s">
        <v>66</v>
      </c>
      <c r="B500" s="20">
        <v>35</v>
      </c>
      <c r="C500" s="22">
        <v>357</v>
      </c>
      <c r="D500" s="22">
        <v>3579</v>
      </c>
      <c r="E500" s="28" t="s">
        <v>67</v>
      </c>
      <c r="F500" s="21" t="s">
        <v>91</v>
      </c>
      <c r="G500" s="19" t="s">
        <v>2271</v>
      </c>
      <c r="H500" s="19" t="s">
        <v>2285</v>
      </c>
      <c r="I500" s="19" t="s">
        <v>2285</v>
      </c>
      <c r="J500" s="27" t="s"/>
    </row>
    <row r="501" spans="1:10" ht="22.8">
      <c r="A501" s="17" t="s">
        <v>66</v>
      </c>
      <c r="B501" s="20">
        <v>35</v>
      </c>
      <c r="C501" s="22">
        <v>358</v>
      </c>
      <c r="D501" s="22" t="s"/>
      <c r="E501" s="28" t="s">
        <v>67</v>
      </c>
      <c r="F501" s="21" t="s">
        <v>91</v>
      </c>
      <c r="G501" s="19" t="s">
        <v>2286</v>
      </c>
      <c r="H501" s="29" t="s"/>
      <c r="I501" s="19" t="s">
        <v>2286</v>
      </c>
      <c r="J501" s="27" t="s"/>
    </row>
    <row r="502" spans="1:10" ht="22.8">
      <c r="A502" s="17" t="s">
        <v>66</v>
      </c>
      <c r="B502" s="20">
        <v>35</v>
      </c>
      <c r="C502" s="22">
        <v>358</v>
      </c>
      <c r="D502" s="22">
        <v>3581</v>
      </c>
      <c r="E502" s="28" t="s">
        <v>67</v>
      </c>
      <c r="F502" s="21" t="s">
        <v>91</v>
      </c>
      <c r="G502" s="19" t="s">
        <v>2286</v>
      </c>
      <c r="H502" s="19" t="s">
        <v>2287</v>
      </c>
      <c r="I502" s="19" t="s">
        <v>2287</v>
      </c>
      <c r="J502" s="19" t="s">
        <v>2288</v>
      </c>
    </row>
    <row r="503" spans="1:10" ht="22.8">
      <c r="A503" s="17" t="s">
        <v>66</v>
      </c>
      <c r="B503" s="20">
        <v>35</v>
      </c>
      <c r="C503" s="22">
        <v>358</v>
      </c>
      <c r="D503" s="22">
        <v>3582</v>
      </c>
      <c r="E503" s="28" t="s">
        <v>67</v>
      </c>
      <c r="F503" s="21" t="s">
        <v>91</v>
      </c>
      <c r="G503" s="19" t="s">
        <v>2286</v>
      </c>
      <c r="H503" s="19" t="s">
        <v>2289</v>
      </c>
      <c r="I503" s="19" t="s">
        <v>2289</v>
      </c>
      <c r="J503" s="27" t="s"/>
    </row>
    <row r="504" spans="1:10" ht="22.8">
      <c r="A504" s="17" t="s">
        <v>66</v>
      </c>
      <c r="B504" s="20">
        <v>35</v>
      </c>
      <c r="C504" s="22">
        <v>358</v>
      </c>
      <c r="D504" s="22">
        <v>3583</v>
      </c>
      <c r="E504" s="28" t="s">
        <v>67</v>
      </c>
      <c r="F504" s="21" t="s">
        <v>91</v>
      </c>
      <c r="G504" s="19" t="s">
        <v>2286</v>
      </c>
      <c r="H504" s="19" t="s">
        <v>2290</v>
      </c>
      <c r="I504" s="19" t="s">
        <v>2290</v>
      </c>
      <c r="J504" s="19" t="s">
        <v>2291</v>
      </c>
    </row>
    <row r="505" spans="1:10" ht="22.8">
      <c r="A505" s="17" t="s">
        <v>66</v>
      </c>
      <c r="B505" s="20">
        <v>35</v>
      </c>
      <c r="C505" s="22">
        <v>358</v>
      </c>
      <c r="D505" s="22">
        <v>3589</v>
      </c>
      <c r="E505" s="28" t="s">
        <v>67</v>
      </c>
      <c r="F505" s="21" t="s">
        <v>91</v>
      </c>
      <c r="G505" s="19" t="s">
        <v>2286</v>
      </c>
      <c r="H505" s="19" t="s">
        <v>2292</v>
      </c>
      <c r="I505" s="19" t="s">
        <v>2292</v>
      </c>
      <c r="J505" s="27" t="s"/>
    </row>
    <row r="506" spans="1:10" ht="22.8">
      <c r="A506" s="17" t="s">
        <v>66</v>
      </c>
      <c r="B506" s="20">
        <v>35</v>
      </c>
      <c r="C506" s="22">
        <v>359</v>
      </c>
      <c r="D506" s="22" t="s"/>
      <c r="E506" s="28" t="s">
        <v>67</v>
      </c>
      <c r="F506" s="21" t="s">
        <v>91</v>
      </c>
      <c r="G506" s="19" t="s">
        <v>2293</v>
      </c>
      <c r="H506" s="29" t="s"/>
      <c r="I506" s="19" t="s">
        <v>2293</v>
      </c>
      <c r="J506" s="27" t="s"/>
    </row>
    <row r="507" spans="1:10" ht="22.8">
      <c r="A507" s="17" t="s">
        <v>66</v>
      </c>
      <c r="B507" s="20">
        <v>35</v>
      </c>
      <c r="C507" s="22">
        <v>359</v>
      </c>
      <c r="D507" s="22">
        <v>3591</v>
      </c>
      <c r="E507" s="28" t="s">
        <v>67</v>
      </c>
      <c r="F507" s="21" t="s">
        <v>91</v>
      </c>
      <c r="G507" s="19" t="s">
        <v>2293</v>
      </c>
      <c r="H507" s="19" t="s">
        <v>2294</v>
      </c>
      <c r="I507" s="19" t="s">
        <v>2294</v>
      </c>
      <c r="J507" s="19" t="s">
        <v>2295</v>
      </c>
    </row>
    <row r="508" spans="1:10" ht="33.6">
      <c r="A508" s="17" t="s">
        <v>66</v>
      </c>
      <c r="B508" s="20">
        <v>35</v>
      </c>
      <c r="C508" s="22">
        <v>359</v>
      </c>
      <c r="D508" s="22">
        <v>3592</v>
      </c>
      <c r="E508" s="28" t="s">
        <v>67</v>
      </c>
      <c r="F508" s="21" t="s">
        <v>91</v>
      </c>
      <c r="G508" s="19" t="s">
        <v>2293</v>
      </c>
      <c r="H508" s="19" t="s">
        <v>2296</v>
      </c>
      <c r="I508" s="19" t="s">
        <v>2296</v>
      </c>
      <c r="J508" s="19" t="s">
        <v>2297</v>
      </c>
    </row>
    <row r="509" spans="1:10" ht="21.6">
      <c r="A509" s="17" t="s">
        <v>66</v>
      </c>
      <c r="B509" s="20">
        <v>36</v>
      </c>
      <c r="C509" s="20" t="s">
        <v>51</v>
      </c>
      <c r="D509" s="20" t="s"/>
      <c r="E509" s="28" t="s">
        <v>67</v>
      </c>
      <c r="F509" s="21" t="s">
        <v>92</v>
      </c>
      <c r="G509" s="20" t="s"/>
      <c r="H509" s="29" t="s"/>
      <c r="I509" s="21" t="s">
        <v>92</v>
      </c>
      <c r="J509" s="27" t="s"/>
    </row>
    <row r="510" spans="1:10" ht="33.6">
      <c r="A510" s="17" t="s">
        <v>66</v>
      </c>
      <c r="B510" s="20">
        <v>36</v>
      </c>
      <c r="C510" s="22">
        <v>361</v>
      </c>
      <c r="D510" s="22" t="s"/>
      <c r="E510" s="28" t="s">
        <v>67</v>
      </c>
      <c r="F510" s="21" t="s">
        <v>92</v>
      </c>
      <c r="G510" s="19" t="s">
        <v>2298</v>
      </c>
      <c r="H510" s="29" t="s"/>
      <c r="I510" s="19" t="s">
        <v>2298</v>
      </c>
      <c r="J510" s="27" t="s"/>
    </row>
    <row r="511" spans="1:10" ht="33.6">
      <c r="A511" s="17" t="s">
        <v>66</v>
      </c>
      <c r="B511" s="20">
        <v>36</v>
      </c>
      <c r="C511" s="22">
        <v>361</v>
      </c>
      <c r="D511" s="22">
        <v>3611</v>
      </c>
      <c r="E511" s="28" t="s">
        <v>67</v>
      </c>
      <c r="F511" s="21" t="s">
        <v>92</v>
      </c>
      <c r="G511" s="19" t="s">
        <v>2298</v>
      </c>
      <c r="H511" s="19" t="s">
        <v>2299</v>
      </c>
      <c r="I511" s="19" t="s">
        <v>2299</v>
      </c>
      <c r="J511" s="19" t="s">
        <v>2300</v>
      </c>
    </row>
    <row r="512" spans="1:10" ht="33.6">
      <c r="A512" s="17" t="s">
        <v>66</v>
      </c>
      <c r="B512" s="20">
        <v>36</v>
      </c>
      <c r="C512" s="22">
        <v>361</v>
      </c>
      <c r="D512" s="22">
        <v>3612</v>
      </c>
      <c r="E512" s="28" t="s">
        <v>67</v>
      </c>
      <c r="F512" s="21" t="s">
        <v>92</v>
      </c>
      <c r="G512" s="19" t="s">
        <v>2298</v>
      </c>
      <c r="H512" s="19" t="s">
        <v>2301</v>
      </c>
      <c r="I512" s="19" t="s">
        <v>2301</v>
      </c>
      <c r="J512" s="19" t="s">
        <v>2302</v>
      </c>
    </row>
    <row r="513" spans="1:10" ht="33.6">
      <c r="A513" s="17" t="s">
        <v>66</v>
      </c>
      <c r="B513" s="20">
        <v>36</v>
      </c>
      <c r="C513" s="22">
        <v>361</v>
      </c>
      <c r="D513" s="22">
        <v>3613</v>
      </c>
      <c r="E513" s="28" t="s">
        <v>67</v>
      </c>
      <c r="F513" s="21" t="s">
        <v>92</v>
      </c>
      <c r="G513" s="19" t="s">
        <v>2298</v>
      </c>
      <c r="H513" s="19" t="s">
        <v>2303</v>
      </c>
      <c r="I513" s="19" t="s">
        <v>2303</v>
      </c>
      <c r="J513" s="19" t="s">
        <v>2304</v>
      </c>
    </row>
    <row r="514" spans="1:10" ht="33.6">
      <c r="A514" s="17" t="s">
        <v>66</v>
      </c>
      <c r="B514" s="20">
        <v>36</v>
      </c>
      <c r="C514" s="22">
        <v>361</v>
      </c>
      <c r="D514" s="22">
        <v>3614</v>
      </c>
      <c r="E514" s="28" t="s">
        <v>67</v>
      </c>
      <c r="F514" s="21" t="s">
        <v>92</v>
      </c>
      <c r="G514" s="19" t="s">
        <v>2298</v>
      </c>
      <c r="H514" s="19" t="s">
        <v>2305</v>
      </c>
      <c r="I514" s="19" t="s">
        <v>2305</v>
      </c>
      <c r="J514" s="19" t="s">
        <v>2306</v>
      </c>
    </row>
    <row r="515" spans="1:10" ht="33.6">
      <c r="A515" s="17" t="s">
        <v>66</v>
      </c>
      <c r="B515" s="20">
        <v>36</v>
      </c>
      <c r="C515" s="22">
        <v>361</v>
      </c>
      <c r="D515" s="22">
        <v>3615</v>
      </c>
      <c r="E515" s="28" t="s">
        <v>67</v>
      </c>
      <c r="F515" s="21" t="s">
        <v>92</v>
      </c>
      <c r="G515" s="19" t="s">
        <v>2298</v>
      </c>
      <c r="H515" s="19" t="s">
        <v>2307</v>
      </c>
      <c r="I515" s="19" t="s">
        <v>2307</v>
      </c>
      <c r="J515" s="19" t="s">
        <v>2308</v>
      </c>
    </row>
    <row r="516" spans="1:10" ht="33.6">
      <c r="A516" s="17" t="s">
        <v>66</v>
      </c>
      <c r="B516" s="20">
        <v>36</v>
      </c>
      <c r="C516" s="22">
        <v>362</v>
      </c>
      <c r="D516" s="22" t="s"/>
      <c r="E516" s="28" t="s">
        <v>67</v>
      </c>
      <c r="F516" s="21" t="s">
        <v>92</v>
      </c>
      <c r="G516" s="19" t="s">
        <v>2309</v>
      </c>
      <c r="H516" s="29" t="s"/>
      <c r="I516" s="19" t="s">
        <v>2309</v>
      </c>
      <c r="J516" s="27" t="s"/>
    </row>
    <row r="517" spans="1:10" ht="33.6">
      <c r="A517" s="17" t="s">
        <v>66</v>
      </c>
      <c r="B517" s="20">
        <v>36</v>
      </c>
      <c r="C517" s="22">
        <v>362</v>
      </c>
      <c r="D517" s="22">
        <v>3621</v>
      </c>
      <c r="E517" s="28" t="s">
        <v>67</v>
      </c>
      <c r="F517" s="21" t="s">
        <v>92</v>
      </c>
      <c r="G517" s="19" t="s">
        <v>2309</v>
      </c>
      <c r="H517" s="19" t="s">
        <v>2310</v>
      </c>
      <c r="I517" s="19" t="s">
        <v>2310</v>
      </c>
      <c r="J517" s="19" t="s">
        <v>2311</v>
      </c>
    </row>
    <row r="518" spans="1:10" ht="33.6">
      <c r="A518" s="17" t="s">
        <v>66</v>
      </c>
      <c r="B518" s="20">
        <v>36</v>
      </c>
      <c r="C518" s="22">
        <v>362</v>
      </c>
      <c r="D518" s="22">
        <v>3622</v>
      </c>
      <c r="E518" s="28" t="s">
        <v>67</v>
      </c>
      <c r="F518" s="21" t="s">
        <v>92</v>
      </c>
      <c r="G518" s="19" t="s">
        <v>2309</v>
      </c>
      <c r="H518" s="19" t="s">
        <v>2312</v>
      </c>
      <c r="I518" s="19" t="s">
        <v>2312</v>
      </c>
      <c r="J518" s="19" t="s">
        <v>2313</v>
      </c>
    </row>
    <row r="519" spans="1:10" ht="33.6">
      <c r="A519" s="17" t="s">
        <v>66</v>
      </c>
      <c r="B519" s="20">
        <v>36</v>
      </c>
      <c r="C519" s="22">
        <v>362</v>
      </c>
      <c r="D519" s="22">
        <v>3623</v>
      </c>
      <c r="E519" s="28" t="s">
        <v>67</v>
      </c>
      <c r="F519" s="21" t="s">
        <v>92</v>
      </c>
      <c r="G519" s="19" t="s">
        <v>2309</v>
      </c>
      <c r="H519" s="19" t="s">
        <v>2314</v>
      </c>
      <c r="I519" s="19" t="s">
        <v>2314</v>
      </c>
      <c r="J519" s="19" t="s">
        <v>2315</v>
      </c>
    </row>
    <row r="520" spans="1:10" ht="33.6">
      <c r="A520" s="17" t="s">
        <v>66</v>
      </c>
      <c r="B520" s="20">
        <v>36</v>
      </c>
      <c r="C520" s="22">
        <v>362</v>
      </c>
      <c r="D520" s="22">
        <v>3624</v>
      </c>
      <c r="E520" s="28" t="s">
        <v>67</v>
      </c>
      <c r="F520" s="21" t="s">
        <v>92</v>
      </c>
      <c r="G520" s="19" t="s">
        <v>2309</v>
      </c>
      <c r="H520" s="19" t="s">
        <v>2316</v>
      </c>
      <c r="I520" s="19" t="s">
        <v>2316</v>
      </c>
      <c r="J520" s="19" t="s">
        <v>2317</v>
      </c>
    </row>
    <row r="521" spans="1:10" ht="33.6">
      <c r="A521" s="17" t="s">
        <v>66</v>
      </c>
      <c r="B521" s="20">
        <v>36</v>
      </c>
      <c r="C521" s="22">
        <v>362</v>
      </c>
      <c r="D521" s="22">
        <v>3625</v>
      </c>
      <c r="E521" s="28" t="s">
        <v>67</v>
      </c>
      <c r="F521" s="21" t="s">
        <v>92</v>
      </c>
      <c r="G521" s="19" t="s">
        <v>2309</v>
      </c>
      <c r="H521" s="19" t="s">
        <v>2318</v>
      </c>
      <c r="I521" s="19" t="s">
        <v>2318</v>
      </c>
      <c r="J521" s="19" t="s">
        <v>2319</v>
      </c>
    </row>
    <row r="522" spans="1:10" ht="33.6">
      <c r="A522" s="17" t="s">
        <v>66</v>
      </c>
      <c r="B522" s="20">
        <v>36</v>
      </c>
      <c r="C522" s="22">
        <v>362</v>
      </c>
      <c r="D522" s="22">
        <v>3629</v>
      </c>
      <c r="E522" s="28" t="s">
        <v>67</v>
      </c>
      <c r="F522" s="21" t="s">
        <v>92</v>
      </c>
      <c r="G522" s="19" t="s">
        <v>2309</v>
      </c>
      <c r="H522" s="19" t="s">
        <v>2320</v>
      </c>
      <c r="I522" s="19" t="s">
        <v>2320</v>
      </c>
      <c r="J522" s="27" t="s"/>
    </row>
    <row r="523" spans="1:10" ht="44.4">
      <c r="A523" s="17" t="s">
        <v>66</v>
      </c>
      <c r="B523" s="20">
        <v>36</v>
      </c>
      <c r="C523" s="22">
        <v>363</v>
      </c>
      <c r="D523" s="22" t="s"/>
      <c r="E523" s="28" t="s">
        <v>67</v>
      </c>
      <c r="F523" s="21" t="s">
        <v>92</v>
      </c>
      <c r="G523" s="19" t="s">
        <v>2321</v>
      </c>
      <c r="H523" s="29" t="s"/>
      <c r="I523" s="19" t="s">
        <v>2321</v>
      </c>
      <c r="J523" s="19" t="s"/>
    </row>
    <row r="524" spans="1:10" ht="44.4">
      <c r="A524" s="17" t="s">
        <v>66</v>
      </c>
      <c r="B524" s="20">
        <v>36</v>
      </c>
      <c r="C524" s="22">
        <v>363</v>
      </c>
      <c r="D524" s="22">
        <v>3631</v>
      </c>
      <c r="E524" s="28" t="s">
        <v>67</v>
      </c>
      <c r="F524" s="21" t="s">
        <v>92</v>
      </c>
      <c r="G524" s="19" t="s">
        <v>2321</v>
      </c>
      <c r="H524" s="19" t="s">
        <v>2322</v>
      </c>
      <c r="I524" s="19" t="s">
        <v>2322</v>
      </c>
      <c r="J524" s="19" t="s">
        <v>2323</v>
      </c>
    </row>
    <row r="525" spans="1:10" ht="44.4">
      <c r="A525" s="17" t="s">
        <v>66</v>
      </c>
      <c r="B525" s="20">
        <v>36</v>
      </c>
      <c r="C525" s="22">
        <v>363</v>
      </c>
      <c r="D525" s="22">
        <v>3632</v>
      </c>
      <c r="E525" s="28" t="s">
        <v>67</v>
      </c>
      <c r="F525" s="21" t="s">
        <v>92</v>
      </c>
      <c r="G525" s="19" t="s">
        <v>2321</v>
      </c>
      <c r="H525" s="19" t="s">
        <v>2324</v>
      </c>
      <c r="I525" s="19" t="s">
        <v>2324</v>
      </c>
      <c r="J525" s="19" t="s">
        <v>2325</v>
      </c>
    </row>
    <row r="526" spans="1:10" ht="44.4">
      <c r="A526" s="17" t="s">
        <v>66</v>
      </c>
      <c r="B526" s="20">
        <v>36</v>
      </c>
      <c r="C526" s="22">
        <v>363</v>
      </c>
      <c r="D526" s="22">
        <v>3633</v>
      </c>
      <c r="E526" s="28" t="s">
        <v>67</v>
      </c>
      <c r="F526" s="21" t="s">
        <v>92</v>
      </c>
      <c r="G526" s="19" t="s">
        <v>2321</v>
      </c>
      <c r="H526" s="19" t="s">
        <v>2326</v>
      </c>
      <c r="I526" s="19" t="s">
        <v>2326</v>
      </c>
      <c r="J526" s="27" t="s"/>
    </row>
    <row r="527" spans="1:10" ht="33.6">
      <c r="A527" s="17" t="s">
        <v>66</v>
      </c>
      <c r="B527" s="20">
        <v>36</v>
      </c>
      <c r="C527" s="22">
        <v>364</v>
      </c>
      <c r="D527" s="22" t="s"/>
      <c r="E527" s="28" t="s">
        <v>67</v>
      </c>
      <c r="F527" s="21" t="s">
        <v>92</v>
      </c>
      <c r="G527" s="19" t="s">
        <v>2327</v>
      </c>
      <c r="H527" s="29" t="s"/>
      <c r="I527" s="19" t="s">
        <v>2327</v>
      </c>
      <c r="J527" s="27" t="s"/>
    </row>
    <row r="528" spans="1:10" ht="33.6">
      <c r="A528" s="17" t="s">
        <v>66</v>
      </c>
      <c r="B528" s="20">
        <v>36</v>
      </c>
      <c r="C528" s="22">
        <v>364</v>
      </c>
      <c r="D528" s="22">
        <v>3641</v>
      </c>
      <c r="E528" s="28" t="s">
        <v>67</v>
      </c>
      <c r="F528" s="21" t="s">
        <v>92</v>
      </c>
      <c r="G528" s="19" t="s">
        <v>2327</v>
      </c>
      <c r="H528" s="19" t="s">
        <v>2328</v>
      </c>
      <c r="I528" s="19" t="s">
        <v>2328</v>
      </c>
      <c r="J528" s="19" t="s">
        <v>2329</v>
      </c>
    </row>
    <row r="529" spans="1:10" ht="33.6">
      <c r="A529" s="17" t="s">
        <v>66</v>
      </c>
      <c r="B529" s="20">
        <v>36</v>
      </c>
      <c r="C529" s="22">
        <v>364</v>
      </c>
      <c r="D529" s="22">
        <v>3642</v>
      </c>
      <c r="E529" s="28" t="s">
        <v>67</v>
      </c>
      <c r="F529" s="21" t="s">
        <v>92</v>
      </c>
      <c r="G529" s="19" t="s">
        <v>2327</v>
      </c>
      <c r="H529" s="19" t="s">
        <v>2330</v>
      </c>
      <c r="I529" s="19" t="s">
        <v>2330</v>
      </c>
      <c r="J529" s="19" t="s">
        <v>2331</v>
      </c>
    </row>
    <row r="530" spans="1:10" ht="33.6">
      <c r="A530" s="17" t="s">
        <v>66</v>
      </c>
      <c r="B530" s="20">
        <v>36</v>
      </c>
      <c r="C530" s="22">
        <v>364</v>
      </c>
      <c r="D530" s="22">
        <v>3643</v>
      </c>
      <c r="E530" s="28" t="s">
        <v>67</v>
      </c>
      <c r="F530" s="21" t="s">
        <v>92</v>
      </c>
      <c r="G530" s="19" t="s">
        <v>2327</v>
      </c>
      <c r="H530" s="19" t="s">
        <v>2332</v>
      </c>
      <c r="I530" s="19" t="s">
        <v>2332</v>
      </c>
      <c r="J530" s="19" t="s">
        <v>2333</v>
      </c>
    </row>
    <row r="531" spans="1:10" ht="33.6">
      <c r="A531" s="17" t="s">
        <v>66</v>
      </c>
      <c r="B531" s="20">
        <v>36</v>
      </c>
      <c r="C531" s="22">
        <v>364</v>
      </c>
      <c r="D531" s="22">
        <v>3644</v>
      </c>
      <c r="E531" s="28" t="s">
        <v>67</v>
      </c>
      <c r="F531" s="21" t="s">
        <v>92</v>
      </c>
      <c r="G531" s="19" t="s">
        <v>2327</v>
      </c>
      <c r="H531" s="19" t="s">
        <v>2334</v>
      </c>
      <c r="I531" s="19" t="s">
        <v>2334</v>
      </c>
      <c r="J531" s="19" t="s">
        <v>2335</v>
      </c>
    </row>
    <row r="532" spans="1:10" ht="33.6">
      <c r="A532" s="17" t="s">
        <v>66</v>
      </c>
      <c r="B532" s="20">
        <v>36</v>
      </c>
      <c r="C532" s="22">
        <v>364</v>
      </c>
      <c r="D532" s="22">
        <v>3645</v>
      </c>
      <c r="E532" s="28" t="s">
        <v>67</v>
      </c>
      <c r="F532" s="21" t="s">
        <v>92</v>
      </c>
      <c r="G532" s="19" t="s">
        <v>2327</v>
      </c>
      <c r="H532" s="19" t="s">
        <v>2336</v>
      </c>
      <c r="I532" s="19" t="s">
        <v>2336</v>
      </c>
      <c r="J532" s="19" t="s">
        <v>2337</v>
      </c>
    </row>
    <row r="533" spans="1:10" ht="33.6">
      <c r="A533" s="17" t="s">
        <v>66</v>
      </c>
      <c r="B533" s="20">
        <v>36</v>
      </c>
      <c r="C533" s="22">
        <v>364</v>
      </c>
      <c r="D533" s="22">
        <v>3646</v>
      </c>
      <c r="E533" s="28" t="s">
        <v>67</v>
      </c>
      <c r="F533" s="21" t="s">
        <v>92</v>
      </c>
      <c r="G533" s="19" t="s">
        <v>2327</v>
      </c>
      <c r="H533" s="19" t="s">
        <v>2338</v>
      </c>
      <c r="I533" s="19" t="s">
        <v>2338</v>
      </c>
      <c r="J533" s="19" t="s">
        <v>2339</v>
      </c>
    </row>
    <row r="534" spans="1:10" ht="33.6">
      <c r="A534" s="17" t="s">
        <v>66</v>
      </c>
      <c r="B534" s="20">
        <v>36</v>
      </c>
      <c r="C534" s="22">
        <v>364</v>
      </c>
      <c r="D534" s="22">
        <v>3649</v>
      </c>
      <c r="E534" s="28" t="s">
        <v>67</v>
      </c>
      <c r="F534" s="21" t="s">
        <v>92</v>
      </c>
      <c r="G534" s="19" t="s">
        <v>2327</v>
      </c>
      <c r="H534" s="19" t="s">
        <v>2340</v>
      </c>
      <c r="I534" s="19" t="s">
        <v>2340</v>
      </c>
      <c r="J534" s="19" t="s">
        <v>2341</v>
      </c>
    </row>
    <row r="535" spans="1:10" ht="33.6">
      <c r="A535" s="17" t="s">
        <v>66</v>
      </c>
      <c r="B535" s="20">
        <v>36</v>
      </c>
      <c r="C535" s="22">
        <v>365</v>
      </c>
      <c r="D535" s="22" t="s"/>
      <c r="E535" s="28" t="s">
        <v>67</v>
      </c>
      <c r="F535" s="21" t="s">
        <v>92</v>
      </c>
      <c r="G535" s="19" t="s">
        <v>2342</v>
      </c>
      <c r="H535" s="29" t="s"/>
      <c r="I535" s="19" t="s">
        <v>2342</v>
      </c>
      <c r="J535" s="19" t="s"/>
    </row>
    <row r="536" spans="1:10" ht="33.6">
      <c r="A536" s="17" t="s">
        <v>66</v>
      </c>
      <c r="B536" s="20">
        <v>36</v>
      </c>
      <c r="C536" s="22">
        <v>365</v>
      </c>
      <c r="D536" s="22">
        <v>3651</v>
      </c>
      <c r="E536" s="28" t="s">
        <v>67</v>
      </c>
      <c r="F536" s="21" t="s">
        <v>92</v>
      </c>
      <c r="G536" s="19" t="s">
        <v>2342</v>
      </c>
      <c r="H536" s="19" t="s">
        <v>2343</v>
      </c>
      <c r="I536" s="19" t="s">
        <v>2343</v>
      </c>
      <c r="J536" s="19" t="s">
        <v>2344</v>
      </c>
    </row>
    <row r="537" spans="1:10" ht="33.6">
      <c r="A537" s="17" t="s">
        <v>66</v>
      </c>
      <c r="B537" s="20">
        <v>36</v>
      </c>
      <c r="C537" s="22">
        <v>365</v>
      </c>
      <c r="D537" s="22">
        <v>3652</v>
      </c>
      <c r="E537" s="28" t="s">
        <v>67</v>
      </c>
      <c r="F537" s="21" t="s">
        <v>92</v>
      </c>
      <c r="G537" s="19" t="s">
        <v>2342</v>
      </c>
      <c r="H537" s="19" t="s">
        <v>2345</v>
      </c>
      <c r="I537" s="19" t="s">
        <v>2345</v>
      </c>
      <c r="J537" s="19" t="s">
        <v>2346</v>
      </c>
    </row>
    <row r="538" spans="1:10" ht="33.6">
      <c r="A538" s="17" t="s">
        <v>66</v>
      </c>
      <c r="B538" s="20">
        <v>36</v>
      </c>
      <c r="C538" s="22">
        <v>365</v>
      </c>
      <c r="D538" s="22">
        <v>3653</v>
      </c>
      <c r="E538" s="28" t="s">
        <v>67</v>
      </c>
      <c r="F538" s="21" t="s">
        <v>92</v>
      </c>
      <c r="G538" s="19" t="s">
        <v>2342</v>
      </c>
      <c r="H538" s="19" t="s">
        <v>2347</v>
      </c>
      <c r="I538" s="19" t="s">
        <v>2347</v>
      </c>
      <c r="J538" s="19" t="s">
        <v>2348</v>
      </c>
    </row>
    <row r="539" spans="1:10" ht="33.6">
      <c r="A539" s="17" t="s">
        <v>66</v>
      </c>
      <c r="B539" s="20">
        <v>36</v>
      </c>
      <c r="C539" s="22">
        <v>365</v>
      </c>
      <c r="D539" s="22">
        <v>3659</v>
      </c>
      <c r="E539" s="28" t="s">
        <v>67</v>
      </c>
      <c r="F539" s="21" t="s">
        <v>92</v>
      </c>
      <c r="G539" s="19" t="s">
        <v>2342</v>
      </c>
      <c r="H539" s="19" t="s">
        <v>2349</v>
      </c>
      <c r="I539" s="19" t="s">
        <v>2349</v>
      </c>
      <c r="J539" s="19" t="s">
        <v>2350</v>
      </c>
    </row>
    <row r="540" spans="1:10" ht="33.6">
      <c r="A540" s="17" t="s">
        <v>66</v>
      </c>
      <c r="B540" s="20">
        <v>36</v>
      </c>
      <c r="C540" s="22">
        <v>366</v>
      </c>
      <c r="D540" s="22" t="s"/>
      <c r="E540" s="28" t="s">
        <v>67</v>
      </c>
      <c r="F540" s="21" t="s">
        <v>92</v>
      </c>
      <c r="G540" s="19" t="s">
        <v>2351</v>
      </c>
      <c r="H540" s="29" t="s"/>
      <c r="I540" s="19" t="s">
        <v>2351</v>
      </c>
      <c r="J540" s="19" t="s"/>
    </row>
    <row r="541" spans="1:10" ht="33.6">
      <c r="A541" s="17" t="s">
        <v>66</v>
      </c>
      <c r="B541" s="20">
        <v>36</v>
      </c>
      <c r="C541" s="22">
        <v>366</v>
      </c>
      <c r="D541" s="22">
        <v>3661</v>
      </c>
      <c r="E541" s="28" t="s">
        <v>67</v>
      </c>
      <c r="F541" s="21" t="s">
        <v>92</v>
      </c>
      <c r="G541" s="19" t="s">
        <v>2351</v>
      </c>
      <c r="H541" s="19" t="s">
        <v>2352</v>
      </c>
      <c r="I541" s="19" t="s">
        <v>2352</v>
      </c>
      <c r="J541" s="19" t="s">
        <v>2353</v>
      </c>
    </row>
    <row r="542" spans="1:10" ht="33.6">
      <c r="A542" s="17" t="s">
        <v>66</v>
      </c>
      <c r="B542" s="20">
        <v>36</v>
      </c>
      <c r="C542" s="22">
        <v>366</v>
      </c>
      <c r="D542" s="22">
        <v>3662</v>
      </c>
      <c r="E542" s="28" t="s">
        <v>67</v>
      </c>
      <c r="F542" s="21" t="s">
        <v>92</v>
      </c>
      <c r="G542" s="19" t="s">
        <v>2351</v>
      </c>
      <c r="H542" s="19" t="s">
        <v>2354</v>
      </c>
      <c r="I542" s="19" t="s">
        <v>2354</v>
      </c>
      <c r="J542" s="19" t="s">
        <v>2355</v>
      </c>
    </row>
    <row r="543" spans="1:10" ht="33.6">
      <c r="A543" s="17" t="s">
        <v>66</v>
      </c>
      <c r="B543" s="20">
        <v>36</v>
      </c>
      <c r="C543" s="22">
        <v>366</v>
      </c>
      <c r="D543" s="22">
        <v>3663</v>
      </c>
      <c r="E543" s="28" t="s">
        <v>67</v>
      </c>
      <c r="F543" s="21" t="s">
        <v>92</v>
      </c>
      <c r="G543" s="19" t="s">
        <v>2351</v>
      </c>
      <c r="H543" s="19" t="s">
        <v>2356</v>
      </c>
      <c r="I543" s="19" t="s">
        <v>2356</v>
      </c>
      <c r="J543" s="27" t="s"/>
    </row>
    <row r="544" spans="1:10" ht="33.6">
      <c r="A544" s="17" t="s">
        <v>66</v>
      </c>
      <c r="B544" s="20">
        <v>36</v>
      </c>
      <c r="C544" s="22">
        <v>366</v>
      </c>
      <c r="D544" s="22">
        <v>3669</v>
      </c>
      <c r="E544" s="28" t="s">
        <v>67</v>
      </c>
      <c r="F544" s="21" t="s">
        <v>92</v>
      </c>
      <c r="G544" s="19" t="s">
        <v>2351</v>
      </c>
      <c r="H544" s="19" t="s">
        <v>2357</v>
      </c>
      <c r="I544" s="19" t="s">
        <v>2357</v>
      </c>
      <c r="J544" s="27" t="s"/>
    </row>
    <row r="545" spans="1:10" ht="33.6">
      <c r="A545" s="17" t="s">
        <v>66</v>
      </c>
      <c r="B545" s="20">
        <v>36</v>
      </c>
      <c r="C545" s="22">
        <v>367</v>
      </c>
      <c r="D545" s="22" t="s"/>
      <c r="E545" s="28" t="s">
        <v>67</v>
      </c>
      <c r="F545" s="21" t="s">
        <v>92</v>
      </c>
      <c r="G545" s="19" t="s">
        <v>2358</v>
      </c>
      <c r="H545" s="29" t="s"/>
      <c r="I545" s="19" t="s">
        <v>2358</v>
      </c>
      <c r="J545" s="19" t="s"/>
    </row>
    <row r="546" spans="1:10" ht="33.6">
      <c r="A546" s="17" t="s">
        <v>66</v>
      </c>
      <c r="B546" s="20">
        <v>36</v>
      </c>
      <c r="C546" s="22">
        <v>367</v>
      </c>
      <c r="D546" s="22">
        <v>3671</v>
      </c>
      <c r="E546" s="28" t="s">
        <v>67</v>
      </c>
      <c r="F546" s="21" t="s">
        <v>92</v>
      </c>
      <c r="G546" s="19" t="s">
        <v>2358</v>
      </c>
      <c r="H546" s="19" t="s">
        <v>2359</v>
      </c>
      <c r="I546" s="19" t="s">
        <v>2359</v>
      </c>
      <c r="J546" s="27" t="s"/>
    </row>
    <row r="547" spans="1:10" ht="33.6">
      <c r="A547" s="17" t="s">
        <v>66</v>
      </c>
      <c r="B547" s="20">
        <v>36</v>
      </c>
      <c r="C547" s="22">
        <v>367</v>
      </c>
      <c r="D547" s="22">
        <v>3672</v>
      </c>
      <c r="E547" s="28" t="s">
        <v>67</v>
      </c>
      <c r="F547" s="21" t="s">
        <v>92</v>
      </c>
      <c r="G547" s="19" t="s">
        <v>2358</v>
      </c>
      <c r="H547" s="19" t="s">
        <v>2360</v>
      </c>
      <c r="I547" s="19" t="s">
        <v>2360</v>
      </c>
      <c r="J547" s="19" t="s">
        <v>2361</v>
      </c>
    </row>
    <row r="548" spans="1:10" ht="33.6">
      <c r="A548" s="17" t="s">
        <v>66</v>
      </c>
      <c r="B548" s="20">
        <v>36</v>
      </c>
      <c r="C548" s="22">
        <v>367</v>
      </c>
      <c r="D548" s="22">
        <v>3673</v>
      </c>
      <c r="E548" s="28" t="s">
        <v>67</v>
      </c>
      <c r="F548" s="21" t="s">
        <v>92</v>
      </c>
      <c r="G548" s="19" t="s">
        <v>2358</v>
      </c>
      <c r="H548" s="19" t="s">
        <v>2362</v>
      </c>
      <c r="I548" s="19" t="s">
        <v>2362</v>
      </c>
      <c r="J548" s="27" t="s"/>
    </row>
    <row r="549" spans="1:10" ht="33.6">
      <c r="A549" s="17" t="s">
        <v>66</v>
      </c>
      <c r="B549" s="20">
        <v>36</v>
      </c>
      <c r="C549" s="22">
        <v>367</v>
      </c>
      <c r="D549" s="22">
        <v>3674</v>
      </c>
      <c r="E549" s="28" t="s">
        <v>67</v>
      </c>
      <c r="F549" s="21" t="s">
        <v>92</v>
      </c>
      <c r="G549" s="19" t="s">
        <v>2358</v>
      </c>
      <c r="H549" s="19" t="s">
        <v>2363</v>
      </c>
      <c r="I549" s="19" t="s">
        <v>2363</v>
      </c>
      <c r="J549" s="19" t="s">
        <v>2364</v>
      </c>
    </row>
    <row r="550" spans="1:10" ht="33.6">
      <c r="A550" s="17" t="s">
        <v>66</v>
      </c>
      <c r="B550" s="20">
        <v>36</v>
      </c>
      <c r="C550" s="22">
        <v>367</v>
      </c>
      <c r="D550" s="22">
        <v>3675</v>
      </c>
      <c r="E550" s="28" t="s">
        <v>67</v>
      </c>
      <c r="F550" s="21" t="s">
        <v>92</v>
      </c>
      <c r="G550" s="19" t="s">
        <v>2358</v>
      </c>
      <c r="H550" s="19" t="s">
        <v>2365</v>
      </c>
      <c r="I550" s="19" t="s">
        <v>2365</v>
      </c>
      <c r="J550" s="19" t="s">
        <v>2366</v>
      </c>
    </row>
    <row r="551" spans="1:10" ht="33.6">
      <c r="A551" s="17" t="s">
        <v>66</v>
      </c>
      <c r="B551" s="20">
        <v>36</v>
      </c>
      <c r="C551" s="22">
        <v>367</v>
      </c>
      <c r="D551" s="22">
        <v>3676</v>
      </c>
      <c r="E551" s="28" t="s">
        <v>67</v>
      </c>
      <c r="F551" s="21" t="s">
        <v>92</v>
      </c>
      <c r="G551" s="19" t="s">
        <v>2358</v>
      </c>
      <c r="H551" s="19" t="s">
        <v>2367</v>
      </c>
      <c r="I551" s="19" t="s">
        <v>2367</v>
      </c>
      <c r="J551" s="19" t="s">
        <v>2368</v>
      </c>
    </row>
    <row r="552" spans="1:10" ht="33.6">
      <c r="A552" s="17" t="s">
        <v>66</v>
      </c>
      <c r="B552" s="20">
        <v>36</v>
      </c>
      <c r="C552" s="22">
        <v>367</v>
      </c>
      <c r="D552" s="22">
        <v>3679</v>
      </c>
      <c r="E552" s="28" t="s">
        <v>67</v>
      </c>
      <c r="F552" s="21" t="s">
        <v>92</v>
      </c>
      <c r="G552" s="19" t="s">
        <v>2358</v>
      </c>
      <c r="H552" s="19" t="s">
        <v>2369</v>
      </c>
      <c r="I552" s="19" t="s">
        <v>2369</v>
      </c>
      <c r="J552" s="19" t="s">
        <v>2370</v>
      </c>
    </row>
    <row r="553" spans="1:10" ht="22.8">
      <c r="A553" s="17" t="s">
        <v>66</v>
      </c>
      <c r="B553" s="20">
        <v>36</v>
      </c>
      <c r="C553" s="22">
        <v>368</v>
      </c>
      <c r="D553" s="22" t="s"/>
      <c r="E553" s="28" t="s">
        <v>67</v>
      </c>
      <c r="F553" s="21" t="s">
        <v>92</v>
      </c>
      <c r="G553" s="19" t="s">
        <v>2371</v>
      </c>
      <c r="H553" s="29" t="s"/>
      <c r="I553" s="19" t="s">
        <v>2371</v>
      </c>
      <c r="J553" s="27" t="s"/>
    </row>
    <row r="554" spans="1:10" ht="33.6">
      <c r="A554" s="17" t="s">
        <v>66</v>
      </c>
      <c r="B554" s="20">
        <v>36</v>
      </c>
      <c r="C554" s="22">
        <v>368</v>
      </c>
      <c r="D554" s="22">
        <v>3681</v>
      </c>
      <c r="E554" s="28" t="s">
        <v>67</v>
      </c>
      <c r="F554" s="21" t="s">
        <v>92</v>
      </c>
      <c r="G554" s="19" t="s">
        <v>2371</v>
      </c>
      <c r="H554" s="19" t="s">
        <v>2372</v>
      </c>
      <c r="I554" s="19" t="s">
        <v>2372</v>
      </c>
      <c r="J554" s="19" t="s">
        <v>2373</v>
      </c>
    </row>
    <row r="555" spans="1:10" ht="22.8">
      <c r="A555" s="17" t="s">
        <v>66</v>
      </c>
      <c r="B555" s="20">
        <v>36</v>
      </c>
      <c r="C555" s="22">
        <v>368</v>
      </c>
      <c r="D555" s="22">
        <v>3682</v>
      </c>
      <c r="E555" s="28" t="s">
        <v>67</v>
      </c>
      <c r="F555" s="21" t="s">
        <v>92</v>
      </c>
      <c r="G555" s="19" t="s">
        <v>2371</v>
      </c>
      <c r="H555" s="19" t="s">
        <v>2374</v>
      </c>
      <c r="I555" s="19" t="s">
        <v>2374</v>
      </c>
      <c r="J555" s="19" t="s">
        <v>2375</v>
      </c>
    </row>
    <row r="556" spans="1:10" ht="33.6">
      <c r="A556" s="17" t="s">
        <v>66</v>
      </c>
      <c r="B556" s="20">
        <v>36</v>
      </c>
      <c r="C556" s="22">
        <v>368</v>
      </c>
      <c r="D556" s="22">
        <v>3683</v>
      </c>
      <c r="E556" s="28" t="s">
        <v>67</v>
      </c>
      <c r="F556" s="21" t="s">
        <v>92</v>
      </c>
      <c r="G556" s="19" t="s">
        <v>2371</v>
      </c>
      <c r="H556" s="19" t="s">
        <v>2376</v>
      </c>
      <c r="I556" s="19" t="s">
        <v>2376</v>
      </c>
      <c r="J556" s="19" t="s">
        <v>2377</v>
      </c>
    </row>
    <row r="557" spans="1:10" ht="22.8">
      <c r="A557" s="17" t="s">
        <v>66</v>
      </c>
      <c r="B557" s="20">
        <v>36</v>
      </c>
      <c r="C557" s="22">
        <v>368</v>
      </c>
      <c r="D557" s="22">
        <v>3684</v>
      </c>
      <c r="E557" s="28" t="s">
        <v>67</v>
      </c>
      <c r="F557" s="21" t="s">
        <v>92</v>
      </c>
      <c r="G557" s="19" t="s">
        <v>2371</v>
      </c>
      <c r="H557" s="19" t="s">
        <v>2378</v>
      </c>
      <c r="I557" s="19" t="s">
        <v>2378</v>
      </c>
      <c r="J557" s="19" t="s">
        <v>2379</v>
      </c>
    </row>
    <row r="558" spans="1:10" ht="22.8">
      <c r="A558" s="17" t="s">
        <v>66</v>
      </c>
      <c r="B558" s="20">
        <v>36</v>
      </c>
      <c r="C558" s="22">
        <v>368</v>
      </c>
      <c r="D558" s="22">
        <v>3685</v>
      </c>
      <c r="E558" s="28" t="s">
        <v>67</v>
      </c>
      <c r="F558" s="21" t="s">
        <v>92</v>
      </c>
      <c r="G558" s="19" t="s">
        <v>2371</v>
      </c>
      <c r="H558" s="19" t="s">
        <v>2380</v>
      </c>
      <c r="I558" s="19" t="s">
        <v>2380</v>
      </c>
      <c r="J558" s="19" t="s">
        <v>2381</v>
      </c>
    </row>
    <row r="559" spans="1:10" ht="33.6">
      <c r="A559" s="17" t="s">
        <v>66</v>
      </c>
      <c r="B559" s="20">
        <v>36</v>
      </c>
      <c r="C559" s="22">
        <v>368</v>
      </c>
      <c r="D559" s="22">
        <v>3686</v>
      </c>
      <c r="E559" s="28" t="s">
        <v>67</v>
      </c>
      <c r="F559" s="21" t="s">
        <v>92</v>
      </c>
      <c r="G559" s="19" t="s">
        <v>2371</v>
      </c>
      <c r="H559" s="19" t="s">
        <v>2382</v>
      </c>
      <c r="I559" s="19" t="s">
        <v>2382</v>
      </c>
      <c r="J559" s="19" t="s">
        <v>2383</v>
      </c>
    </row>
    <row r="560" spans="1:10" ht="22.8">
      <c r="A560" s="17" t="s">
        <v>66</v>
      </c>
      <c r="B560" s="20">
        <v>36</v>
      </c>
      <c r="C560" s="22">
        <v>368</v>
      </c>
      <c r="D560" s="22">
        <v>3689</v>
      </c>
      <c r="E560" s="28" t="s">
        <v>67</v>
      </c>
      <c r="F560" s="21" t="s">
        <v>92</v>
      </c>
      <c r="G560" s="19" t="s">
        <v>2371</v>
      </c>
      <c r="H560" s="19" t="s">
        <v>2384</v>
      </c>
      <c r="I560" s="19" t="s">
        <v>2384</v>
      </c>
      <c r="J560" s="19" t="s">
        <v>2385</v>
      </c>
    </row>
    <row r="561" spans="1:10" ht="33.6">
      <c r="A561" s="17" t="s">
        <v>66</v>
      </c>
      <c r="B561" s="20">
        <v>36</v>
      </c>
      <c r="C561" s="22">
        <v>369</v>
      </c>
      <c r="D561" s="22" t="s"/>
      <c r="E561" s="28" t="s">
        <v>67</v>
      </c>
      <c r="F561" s="21" t="s">
        <v>92</v>
      </c>
      <c r="G561" s="19" t="s">
        <v>2386</v>
      </c>
      <c r="H561" s="29" t="s"/>
      <c r="I561" s="19" t="s">
        <v>2386</v>
      </c>
      <c r="J561" s="19" t="s"/>
    </row>
    <row r="562" spans="1:10" ht="33.6">
      <c r="A562" s="17" t="s">
        <v>66</v>
      </c>
      <c r="B562" s="20">
        <v>36</v>
      </c>
      <c r="C562" s="22">
        <v>369</v>
      </c>
      <c r="D562" s="22">
        <v>3691</v>
      </c>
      <c r="E562" s="28" t="s">
        <v>67</v>
      </c>
      <c r="F562" s="21" t="s">
        <v>92</v>
      </c>
      <c r="G562" s="19" t="s">
        <v>2386</v>
      </c>
      <c r="H562" s="19" t="s">
        <v>2387</v>
      </c>
      <c r="I562" s="19" t="s">
        <v>2387</v>
      </c>
      <c r="J562" s="19" t="s">
        <v>2388</v>
      </c>
    </row>
    <row r="563" spans="1:10" ht="33.6">
      <c r="A563" s="17" t="s">
        <v>66</v>
      </c>
      <c r="B563" s="20">
        <v>36</v>
      </c>
      <c r="C563" s="22">
        <v>369</v>
      </c>
      <c r="D563" s="22">
        <v>3692</v>
      </c>
      <c r="E563" s="28" t="s">
        <v>67</v>
      </c>
      <c r="F563" s="21" t="s">
        <v>92</v>
      </c>
      <c r="G563" s="19" t="s">
        <v>2386</v>
      </c>
      <c r="H563" s="19" t="s">
        <v>2389</v>
      </c>
      <c r="I563" s="19" t="s">
        <v>2389</v>
      </c>
      <c r="J563" s="19" t="s">
        <v>2390</v>
      </c>
    </row>
    <row r="564" spans="1:10" ht="33.6">
      <c r="A564" s="17" t="s">
        <v>66</v>
      </c>
      <c r="B564" s="20">
        <v>36</v>
      </c>
      <c r="C564" s="22">
        <v>369</v>
      </c>
      <c r="D564" s="22">
        <v>3693</v>
      </c>
      <c r="E564" s="28" t="s">
        <v>67</v>
      </c>
      <c r="F564" s="21" t="s">
        <v>92</v>
      </c>
      <c r="G564" s="19" t="s">
        <v>2386</v>
      </c>
      <c r="H564" s="19" t="s">
        <v>2391</v>
      </c>
      <c r="I564" s="19" t="s">
        <v>2391</v>
      </c>
      <c r="J564" s="19" t="s"/>
    </row>
    <row r="565" spans="1:10" ht="33.6">
      <c r="A565" s="17" t="s">
        <v>66</v>
      </c>
      <c r="B565" s="20">
        <v>36</v>
      </c>
      <c r="C565" s="22">
        <v>369</v>
      </c>
      <c r="D565" s="22">
        <v>3694</v>
      </c>
      <c r="E565" s="28" t="s">
        <v>67</v>
      </c>
      <c r="F565" s="21" t="s">
        <v>92</v>
      </c>
      <c r="G565" s="19" t="s">
        <v>2386</v>
      </c>
      <c r="H565" s="19" t="s">
        <v>2392</v>
      </c>
      <c r="I565" s="19" t="s">
        <v>2392</v>
      </c>
      <c r="J565" s="19" t="s"/>
    </row>
    <row r="566" spans="1:10" ht="33.6">
      <c r="A566" s="17" t="s">
        <v>66</v>
      </c>
      <c r="B566" s="20">
        <v>36</v>
      </c>
      <c r="C566" s="22">
        <v>369</v>
      </c>
      <c r="D566" s="22">
        <v>3695</v>
      </c>
      <c r="E566" s="28" t="s">
        <v>67</v>
      </c>
      <c r="F566" s="21" t="s">
        <v>92</v>
      </c>
      <c r="G566" s="19" t="s">
        <v>2386</v>
      </c>
      <c r="H566" s="19" t="s">
        <v>2393</v>
      </c>
      <c r="I566" s="19" t="s">
        <v>2393</v>
      </c>
      <c r="J566" s="19" t="s">
        <v>2394</v>
      </c>
    </row>
    <row r="567" spans="1:10" ht="33.6">
      <c r="A567" s="17" t="s">
        <v>66</v>
      </c>
      <c r="B567" s="20">
        <v>36</v>
      </c>
      <c r="C567" s="22">
        <v>369</v>
      </c>
      <c r="D567" s="22">
        <v>3696</v>
      </c>
      <c r="E567" s="28" t="s">
        <v>67</v>
      </c>
      <c r="F567" s="21" t="s">
        <v>92</v>
      </c>
      <c r="G567" s="19" t="s">
        <v>2386</v>
      </c>
      <c r="H567" s="19" t="s">
        <v>2395</v>
      </c>
      <c r="I567" s="19" t="s">
        <v>2395</v>
      </c>
      <c r="J567" s="19" t="s">
        <v>2396</v>
      </c>
    </row>
    <row r="568" spans="1:10" ht="33.6">
      <c r="A568" s="17" t="s">
        <v>66</v>
      </c>
      <c r="B568" s="20">
        <v>36</v>
      </c>
      <c r="C568" s="22">
        <v>369</v>
      </c>
      <c r="D568" s="22">
        <v>3697</v>
      </c>
      <c r="E568" s="28" t="s">
        <v>67</v>
      </c>
      <c r="F568" s="21" t="s">
        <v>92</v>
      </c>
      <c r="G568" s="19" t="s">
        <v>2386</v>
      </c>
      <c r="H568" s="19" t="s">
        <v>2397</v>
      </c>
      <c r="I568" s="19" t="s">
        <v>2397</v>
      </c>
      <c r="J568" s="19" t="s">
        <v>2398</v>
      </c>
    </row>
    <row r="569" spans="1:10" ht="33.6">
      <c r="A569" s="17" t="s">
        <v>66</v>
      </c>
      <c r="B569" s="20">
        <v>36</v>
      </c>
      <c r="C569" s="22">
        <v>369</v>
      </c>
      <c r="D569" s="22">
        <v>3699</v>
      </c>
      <c r="E569" s="28" t="s">
        <v>67</v>
      </c>
      <c r="F569" s="21" t="s">
        <v>92</v>
      </c>
      <c r="G569" s="19" t="s">
        <v>2386</v>
      </c>
      <c r="H569" s="19" t="s">
        <v>2399</v>
      </c>
      <c r="I569" s="19" t="s">
        <v>2399</v>
      </c>
      <c r="J569" s="19" t="s">
        <v>2400</v>
      </c>
    </row>
    <row r="570" spans="1:10" ht="32.4">
      <c r="A570" s="17" t="s">
        <v>66</v>
      </c>
      <c r="B570" s="20">
        <v>37</v>
      </c>
      <c r="C570" s="20" t="s"/>
      <c r="D570" s="20" t="s"/>
      <c r="E570" s="28" t="s">
        <v>67</v>
      </c>
      <c r="F570" s="21" t="s">
        <v>93</v>
      </c>
      <c r="G570" s="20" t="s"/>
      <c r="H570" s="29" t="s"/>
      <c r="I570" s="21" t="s">
        <v>93</v>
      </c>
      <c r="J570" s="27" t="s"/>
    </row>
    <row r="571" spans="1:10" ht="32.4">
      <c r="A571" s="17" t="s">
        <v>66</v>
      </c>
      <c r="B571" s="20">
        <v>37</v>
      </c>
      <c r="C571" s="22">
        <v>371</v>
      </c>
      <c r="D571" s="22" t="s"/>
      <c r="E571" s="28" t="s">
        <v>67</v>
      </c>
      <c r="F571" s="21" t="s">
        <v>93</v>
      </c>
      <c r="G571" s="19" t="s">
        <v>2401</v>
      </c>
      <c r="H571" s="29" t="s"/>
      <c r="I571" s="19" t="s">
        <v>2401</v>
      </c>
      <c r="J571" s="27" t="s"/>
    </row>
    <row r="572" spans="1:10" ht="44.4">
      <c r="A572" s="17" t="s">
        <v>66</v>
      </c>
      <c r="B572" s="20">
        <v>37</v>
      </c>
      <c r="C572" s="22">
        <v>371</v>
      </c>
      <c r="D572" s="22">
        <v>3711</v>
      </c>
      <c r="E572" s="28" t="s">
        <v>67</v>
      </c>
      <c r="F572" s="21" t="s">
        <v>93</v>
      </c>
      <c r="G572" s="19" t="s">
        <v>2401</v>
      </c>
      <c r="H572" s="19" t="s">
        <v>2402</v>
      </c>
      <c r="I572" s="19" t="s">
        <v>2402</v>
      </c>
      <c r="J572" s="19" t="s">
        <v>2403</v>
      </c>
    </row>
    <row r="573" spans="1:10" ht="32.4">
      <c r="A573" s="17" t="s">
        <v>66</v>
      </c>
      <c r="B573" s="20">
        <v>37</v>
      </c>
      <c r="C573" s="22">
        <v>371</v>
      </c>
      <c r="D573" s="22">
        <v>3712</v>
      </c>
      <c r="E573" s="28" t="s">
        <v>67</v>
      </c>
      <c r="F573" s="21" t="s">
        <v>93</v>
      </c>
      <c r="G573" s="19" t="s">
        <v>2401</v>
      </c>
      <c r="H573" s="19" t="s">
        <v>2404</v>
      </c>
      <c r="I573" s="19" t="s">
        <v>2404</v>
      </c>
      <c r="J573" s="19" t="s">
        <v>2405</v>
      </c>
    </row>
    <row r="574" spans="1:10" ht="32.4">
      <c r="A574" s="17" t="s">
        <v>66</v>
      </c>
      <c r="B574" s="20">
        <v>37</v>
      </c>
      <c r="C574" s="22">
        <v>371</v>
      </c>
      <c r="D574" s="22">
        <v>3713</v>
      </c>
      <c r="E574" s="28" t="s">
        <v>67</v>
      </c>
      <c r="F574" s="21" t="s">
        <v>93</v>
      </c>
      <c r="G574" s="19" t="s">
        <v>2401</v>
      </c>
      <c r="H574" s="19" t="s">
        <v>2406</v>
      </c>
      <c r="I574" s="19" t="s">
        <v>2406</v>
      </c>
      <c r="J574" s="19" t="s">
        <v>2407</v>
      </c>
    </row>
    <row r="575" spans="1:10" ht="33.6">
      <c r="A575" s="17" t="s">
        <v>66</v>
      </c>
      <c r="B575" s="20">
        <v>37</v>
      </c>
      <c r="C575" s="22">
        <v>371</v>
      </c>
      <c r="D575" s="22">
        <v>3714</v>
      </c>
      <c r="E575" s="28" t="s">
        <v>67</v>
      </c>
      <c r="F575" s="21" t="s">
        <v>93</v>
      </c>
      <c r="G575" s="19" t="s">
        <v>2401</v>
      </c>
      <c r="H575" s="19" t="s">
        <v>2408</v>
      </c>
      <c r="I575" s="19" t="s">
        <v>2408</v>
      </c>
      <c r="J575" s="19" t="s">
        <v>2409</v>
      </c>
    </row>
    <row r="576" spans="1:10" ht="32.4">
      <c r="A576" s="17" t="s">
        <v>66</v>
      </c>
      <c r="B576" s="20">
        <v>37</v>
      </c>
      <c r="C576" s="22">
        <v>371</v>
      </c>
      <c r="D576" s="22">
        <v>3719</v>
      </c>
      <c r="E576" s="28" t="s">
        <v>67</v>
      </c>
      <c r="F576" s="21" t="s">
        <v>93</v>
      </c>
      <c r="G576" s="19" t="s">
        <v>2401</v>
      </c>
      <c r="H576" s="19" t="s">
        <v>2410</v>
      </c>
      <c r="I576" s="19" t="s">
        <v>2410</v>
      </c>
      <c r="J576" s="19" t="s">
        <v>2411</v>
      </c>
    </row>
    <row r="577" spans="1:10" ht="32.4">
      <c r="A577" s="17" t="s">
        <v>66</v>
      </c>
      <c r="B577" s="20">
        <v>37</v>
      </c>
      <c r="C577" s="22">
        <v>372</v>
      </c>
      <c r="D577" s="22" t="s"/>
      <c r="E577" s="28" t="s">
        <v>67</v>
      </c>
      <c r="F577" s="21" t="s">
        <v>93</v>
      </c>
      <c r="G577" s="19" t="s">
        <v>2412</v>
      </c>
      <c r="H577" s="29" t="s"/>
      <c r="I577" s="19" t="s">
        <v>2412</v>
      </c>
      <c r="J577" s="19" t="s"/>
    </row>
    <row r="578" spans="1:10" ht="33.6">
      <c r="A578" s="17" t="s">
        <v>66</v>
      </c>
      <c r="B578" s="20">
        <v>37</v>
      </c>
      <c r="C578" s="22">
        <v>372</v>
      </c>
      <c r="D578" s="22">
        <v>3721</v>
      </c>
      <c r="E578" s="28" t="s">
        <v>67</v>
      </c>
      <c r="F578" s="21" t="s">
        <v>93</v>
      </c>
      <c r="G578" s="19" t="s">
        <v>2412</v>
      </c>
      <c r="H578" s="19" t="s">
        <v>2413</v>
      </c>
      <c r="I578" s="19" t="s">
        <v>2413</v>
      </c>
      <c r="J578" s="19" t="s">
        <v>2414</v>
      </c>
    </row>
    <row r="579" spans="1:10" ht="32.4">
      <c r="A579" s="17" t="s">
        <v>66</v>
      </c>
      <c r="B579" s="20">
        <v>37</v>
      </c>
      <c r="C579" s="22">
        <v>372</v>
      </c>
      <c r="D579" s="22">
        <v>3722</v>
      </c>
      <c r="E579" s="28" t="s">
        <v>67</v>
      </c>
      <c r="F579" s="21" t="s">
        <v>93</v>
      </c>
      <c r="G579" s="19" t="s">
        <v>2412</v>
      </c>
      <c r="H579" s="19" t="s">
        <v>2415</v>
      </c>
      <c r="I579" s="19" t="s">
        <v>2415</v>
      </c>
      <c r="J579" s="19" t="s">
        <v>2416</v>
      </c>
    </row>
    <row r="580" spans="1:10" ht="32.4">
      <c r="A580" s="17" t="s">
        <v>66</v>
      </c>
      <c r="B580" s="20">
        <v>37</v>
      </c>
      <c r="C580" s="22">
        <v>372</v>
      </c>
      <c r="D580" s="22">
        <v>3723</v>
      </c>
      <c r="E580" s="28" t="s">
        <v>67</v>
      </c>
      <c r="F580" s="21" t="s">
        <v>93</v>
      </c>
      <c r="G580" s="19" t="s">
        <v>2412</v>
      </c>
      <c r="H580" s="19" t="s">
        <v>2417</v>
      </c>
      <c r="I580" s="19" t="s">
        <v>2417</v>
      </c>
      <c r="J580" s="19" t="s">
        <v>2418</v>
      </c>
    </row>
    <row r="581" spans="1:10" ht="32.4">
      <c r="A581" s="17" t="s">
        <v>66</v>
      </c>
      <c r="B581" s="20">
        <v>37</v>
      </c>
      <c r="C581" s="22">
        <v>372</v>
      </c>
      <c r="D581" s="22">
        <v>3724</v>
      </c>
      <c r="E581" s="28" t="s">
        <v>67</v>
      </c>
      <c r="F581" s="21" t="s">
        <v>93</v>
      </c>
      <c r="G581" s="19" t="s">
        <v>2412</v>
      </c>
      <c r="H581" s="19" t="s">
        <v>2419</v>
      </c>
      <c r="I581" s="19" t="s">
        <v>2419</v>
      </c>
      <c r="J581" s="19" t="s">
        <v>2420</v>
      </c>
    </row>
    <row r="582" spans="1:10" ht="32.4">
      <c r="A582" s="17" t="s">
        <v>66</v>
      </c>
      <c r="B582" s="20">
        <v>37</v>
      </c>
      <c r="C582" s="22">
        <v>372</v>
      </c>
      <c r="D582" s="22">
        <v>3725</v>
      </c>
      <c r="E582" s="28" t="s">
        <v>67</v>
      </c>
      <c r="F582" s="21" t="s">
        <v>93</v>
      </c>
      <c r="G582" s="19" t="s">
        <v>2412</v>
      </c>
      <c r="H582" s="19" t="s">
        <v>2421</v>
      </c>
      <c r="I582" s="19" t="s">
        <v>2421</v>
      </c>
      <c r="J582" s="19" t="s">
        <v>2422</v>
      </c>
    </row>
    <row r="583" spans="1:10" ht="32.4">
      <c r="A583" s="17" t="s">
        <v>66</v>
      </c>
      <c r="B583" s="20">
        <v>37</v>
      </c>
      <c r="C583" s="22">
        <v>372</v>
      </c>
      <c r="D583" s="22">
        <v>3726</v>
      </c>
      <c r="E583" s="28" t="s">
        <v>67</v>
      </c>
      <c r="F583" s="21" t="s">
        <v>93</v>
      </c>
      <c r="G583" s="19" t="s">
        <v>2412</v>
      </c>
      <c r="H583" s="19" t="s">
        <v>2423</v>
      </c>
      <c r="I583" s="19" t="s">
        <v>2423</v>
      </c>
      <c r="J583" s="19" t="s">
        <v>2424</v>
      </c>
    </row>
    <row r="584" spans="1:10" ht="32.4">
      <c r="A584" s="17" t="s">
        <v>66</v>
      </c>
      <c r="B584" s="20">
        <v>37</v>
      </c>
      <c r="C584" s="22">
        <v>373</v>
      </c>
      <c r="D584" s="22" t="s"/>
      <c r="E584" s="28" t="s">
        <v>67</v>
      </c>
      <c r="F584" s="21" t="s">
        <v>93</v>
      </c>
      <c r="G584" s="19" t="s">
        <v>2425</v>
      </c>
      <c r="H584" s="29" t="s"/>
      <c r="I584" s="19" t="s">
        <v>2425</v>
      </c>
      <c r="J584" s="19" t="s"/>
    </row>
    <row r="585" spans="1:10" ht="32.4">
      <c r="A585" s="17" t="s">
        <v>66</v>
      </c>
      <c r="B585" s="20">
        <v>37</v>
      </c>
      <c r="C585" s="22">
        <v>373</v>
      </c>
      <c r="D585" s="22">
        <v>3731</v>
      </c>
      <c r="E585" s="28" t="s">
        <v>67</v>
      </c>
      <c r="F585" s="21" t="s">
        <v>93</v>
      </c>
      <c r="G585" s="19" t="s">
        <v>2425</v>
      </c>
      <c r="H585" s="19" t="s">
        <v>2426</v>
      </c>
      <c r="I585" s="19" t="s">
        <v>2426</v>
      </c>
      <c r="J585" s="19" t="s">
        <v>2427</v>
      </c>
    </row>
    <row r="586" spans="1:10" ht="32.4">
      <c r="A586" s="17" t="s">
        <v>66</v>
      </c>
      <c r="B586" s="20">
        <v>37</v>
      </c>
      <c r="C586" s="22">
        <v>373</v>
      </c>
      <c r="D586" s="22">
        <v>3732</v>
      </c>
      <c r="E586" s="28" t="s">
        <v>67</v>
      </c>
      <c r="F586" s="21" t="s">
        <v>93</v>
      </c>
      <c r="G586" s="19" t="s">
        <v>2425</v>
      </c>
      <c r="H586" s="19" t="s">
        <v>2428</v>
      </c>
      <c r="I586" s="19" t="s">
        <v>2428</v>
      </c>
      <c r="J586" s="19" t="s"/>
    </row>
    <row r="587" spans="1:10" ht="32.4">
      <c r="A587" s="17" t="s">
        <v>66</v>
      </c>
      <c r="B587" s="20">
        <v>37</v>
      </c>
      <c r="C587" s="22">
        <v>374</v>
      </c>
      <c r="D587" s="22" t="s"/>
      <c r="E587" s="28" t="s">
        <v>67</v>
      </c>
      <c r="F587" s="21" t="s">
        <v>93</v>
      </c>
      <c r="G587" s="19" t="s">
        <v>2429</v>
      </c>
      <c r="H587" s="29" t="s"/>
      <c r="I587" s="19" t="s">
        <v>2429</v>
      </c>
      <c r="J587" s="19" t="s"/>
    </row>
    <row r="588" spans="1:10" ht="32.4">
      <c r="A588" s="17" t="s">
        <v>66</v>
      </c>
      <c r="B588" s="20">
        <v>37</v>
      </c>
      <c r="C588" s="22">
        <v>374</v>
      </c>
      <c r="D588" s="22">
        <v>3741</v>
      </c>
      <c r="E588" s="28" t="s">
        <v>67</v>
      </c>
      <c r="F588" s="21" t="s">
        <v>93</v>
      </c>
      <c r="G588" s="19" t="s">
        <v>2429</v>
      </c>
      <c r="H588" s="19" t="s">
        <v>2430</v>
      </c>
      <c r="I588" s="19" t="s">
        <v>2430</v>
      </c>
      <c r="J588" s="19" t="s">
        <v>2431</v>
      </c>
    </row>
    <row r="589" spans="1:10" ht="32.4">
      <c r="A589" s="17" t="s">
        <v>66</v>
      </c>
      <c r="B589" s="20">
        <v>37</v>
      </c>
      <c r="C589" s="22">
        <v>374</v>
      </c>
      <c r="D589" s="22">
        <v>3742</v>
      </c>
      <c r="E589" s="28" t="s">
        <v>67</v>
      </c>
      <c r="F589" s="21" t="s">
        <v>93</v>
      </c>
      <c r="G589" s="19" t="s">
        <v>2429</v>
      </c>
      <c r="H589" s="19" t="s">
        <v>2432</v>
      </c>
      <c r="I589" s="19" t="s">
        <v>2432</v>
      </c>
      <c r="J589" s="19" t="s">
        <v>2433</v>
      </c>
    </row>
    <row r="590" spans="1:10" ht="32.4">
      <c r="A590" s="17" t="s">
        <v>66</v>
      </c>
      <c r="B590" s="20">
        <v>37</v>
      </c>
      <c r="C590" s="22">
        <v>375</v>
      </c>
      <c r="D590" s="22" t="s"/>
      <c r="E590" s="28" t="s">
        <v>67</v>
      </c>
      <c r="F590" s="21" t="s">
        <v>93</v>
      </c>
      <c r="G590" s="19" t="s">
        <v>2434</v>
      </c>
      <c r="H590" s="29" t="s"/>
      <c r="I590" s="19" t="s">
        <v>2434</v>
      </c>
      <c r="J590" s="27" t="s"/>
    </row>
    <row r="591" spans="1:10" ht="32.4">
      <c r="A591" s="17" t="s">
        <v>66</v>
      </c>
      <c r="B591" s="20">
        <v>37</v>
      </c>
      <c r="C591" s="22">
        <v>375</v>
      </c>
      <c r="D591" s="22">
        <v>3751</v>
      </c>
      <c r="E591" s="28" t="s">
        <v>67</v>
      </c>
      <c r="F591" s="21" t="s">
        <v>93</v>
      </c>
      <c r="G591" s="19" t="s">
        <v>2434</v>
      </c>
      <c r="H591" s="19" t="s">
        <v>2435</v>
      </c>
      <c r="I591" s="19" t="s">
        <v>2435</v>
      </c>
      <c r="J591" s="19" t="s">
        <v>2436</v>
      </c>
    </row>
    <row r="592" spans="1:10" ht="32.4">
      <c r="A592" s="17" t="s">
        <v>66</v>
      </c>
      <c r="B592" s="20">
        <v>37</v>
      </c>
      <c r="C592" s="22">
        <v>375</v>
      </c>
      <c r="D592" s="22">
        <v>3752</v>
      </c>
      <c r="E592" s="28" t="s">
        <v>67</v>
      </c>
      <c r="F592" s="21" t="s">
        <v>93</v>
      </c>
      <c r="G592" s="19" t="s">
        <v>2434</v>
      </c>
      <c r="H592" s="19" t="s">
        <v>2437</v>
      </c>
      <c r="I592" s="19" t="s">
        <v>2437</v>
      </c>
      <c r="J592" s="19" t="s">
        <v>2438</v>
      </c>
    </row>
    <row r="593" spans="1:10" ht="32.4">
      <c r="A593" s="17" t="s">
        <v>66</v>
      </c>
      <c r="B593" s="20">
        <v>37</v>
      </c>
      <c r="C593" s="22">
        <v>375</v>
      </c>
      <c r="D593" s="22">
        <v>3753</v>
      </c>
      <c r="E593" s="28" t="s">
        <v>67</v>
      </c>
      <c r="F593" s="21" t="s">
        <v>93</v>
      </c>
      <c r="G593" s="19" t="s">
        <v>2434</v>
      </c>
      <c r="H593" s="19" t="s">
        <v>2439</v>
      </c>
      <c r="I593" s="19" t="s">
        <v>2439</v>
      </c>
      <c r="J593" s="19" t="s">
        <v>2440</v>
      </c>
    </row>
    <row r="594" spans="1:10" ht="32.4">
      <c r="A594" s="17" t="s">
        <v>66</v>
      </c>
      <c r="B594" s="20">
        <v>37</v>
      </c>
      <c r="C594" s="22">
        <v>375</v>
      </c>
      <c r="D594" s="22">
        <v>3754</v>
      </c>
      <c r="E594" s="28" t="s">
        <v>67</v>
      </c>
      <c r="F594" s="21" t="s">
        <v>93</v>
      </c>
      <c r="G594" s="19" t="s">
        <v>2434</v>
      </c>
      <c r="H594" s="19" t="s">
        <v>2441</v>
      </c>
      <c r="I594" s="19" t="s">
        <v>2441</v>
      </c>
      <c r="J594" s="19" t="s">
        <v>2442</v>
      </c>
    </row>
    <row r="595" spans="1:10" ht="32.4">
      <c r="A595" s="17" t="s">
        <v>66</v>
      </c>
      <c r="B595" s="20">
        <v>37</v>
      </c>
      <c r="C595" s="22">
        <v>375</v>
      </c>
      <c r="D595" s="22">
        <v>3755</v>
      </c>
      <c r="E595" s="28" t="s">
        <v>67</v>
      </c>
      <c r="F595" s="21" t="s">
        <v>93</v>
      </c>
      <c r="G595" s="19" t="s">
        <v>2434</v>
      </c>
      <c r="H595" s="19" t="s">
        <v>2443</v>
      </c>
      <c r="I595" s="19" t="s">
        <v>2443</v>
      </c>
      <c r="J595" s="19" t="s"/>
    </row>
    <row r="596" spans="1:10" ht="33.6">
      <c r="A596" s="17" t="s">
        <v>66</v>
      </c>
      <c r="B596" s="20">
        <v>37</v>
      </c>
      <c r="C596" s="22">
        <v>375</v>
      </c>
      <c r="D596" s="22">
        <v>3759</v>
      </c>
      <c r="E596" s="28" t="s">
        <v>67</v>
      </c>
      <c r="F596" s="21" t="s">
        <v>93</v>
      </c>
      <c r="G596" s="19" t="s">
        <v>2434</v>
      </c>
      <c r="H596" s="19" t="s">
        <v>2444</v>
      </c>
      <c r="I596" s="19" t="s">
        <v>2444</v>
      </c>
      <c r="J596" s="19" t="s">
        <v>2445</v>
      </c>
    </row>
    <row r="597" spans="1:10" ht="32.4">
      <c r="A597" s="17" t="s">
        <v>66</v>
      </c>
      <c r="B597" s="20">
        <v>37</v>
      </c>
      <c r="C597" s="22">
        <v>376</v>
      </c>
      <c r="D597" s="22" t="s"/>
      <c r="E597" s="28" t="s">
        <v>67</v>
      </c>
      <c r="F597" s="21" t="s">
        <v>93</v>
      </c>
      <c r="G597" s="19" t="s">
        <v>2446</v>
      </c>
      <c r="H597" s="29" t="s"/>
      <c r="I597" s="19" t="s">
        <v>2446</v>
      </c>
      <c r="J597" s="19" t="s"/>
    </row>
    <row r="598" spans="1:10" ht="32.4">
      <c r="A598" s="17" t="s">
        <v>66</v>
      </c>
      <c r="B598" s="20">
        <v>37</v>
      </c>
      <c r="C598" s="22">
        <v>376</v>
      </c>
      <c r="D598" s="22">
        <v>3761</v>
      </c>
      <c r="E598" s="28" t="s">
        <v>67</v>
      </c>
      <c r="F598" s="21" t="s">
        <v>93</v>
      </c>
      <c r="G598" s="19" t="s">
        <v>2446</v>
      </c>
      <c r="H598" s="19" t="s">
        <v>2447</v>
      </c>
      <c r="I598" s="19" t="s">
        <v>2447</v>
      </c>
      <c r="J598" s="19" t="s">
        <v>2448</v>
      </c>
    </row>
    <row r="599" spans="1:10" ht="32.4">
      <c r="A599" s="17" t="s">
        <v>66</v>
      </c>
      <c r="B599" s="20">
        <v>37</v>
      </c>
      <c r="C599" s="22">
        <v>376</v>
      </c>
      <c r="D599" s="22">
        <v>3762</v>
      </c>
      <c r="E599" s="28" t="s">
        <v>67</v>
      </c>
      <c r="F599" s="21" t="s">
        <v>93</v>
      </c>
      <c r="G599" s="19" t="s">
        <v>2446</v>
      </c>
      <c r="H599" s="19" t="s">
        <v>2449</v>
      </c>
      <c r="I599" s="19" t="s">
        <v>2449</v>
      </c>
      <c r="J599" s="27" t="s"/>
    </row>
    <row r="600" spans="1:10" ht="32.4">
      <c r="A600" s="17" t="s">
        <v>66</v>
      </c>
      <c r="B600" s="20">
        <v>37</v>
      </c>
      <c r="C600" s="22">
        <v>376</v>
      </c>
      <c r="D600" s="22">
        <v>3769</v>
      </c>
      <c r="E600" s="28" t="s">
        <v>67</v>
      </c>
      <c r="F600" s="21" t="s">
        <v>93</v>
      </c>
      <c r="G600" s="19" t="s">
        <v>2446</v>
      </c>
      <c r="H600" s="19" t="s">
        <v>2450</v>
      </c>
      <c r="I600" s="19" t="s">
        <v>2450</v>
      </c>
      <c r="J600" s="27" t="s"/>
    </row>
    <row r="601" spans="1:10" ht="33.6">
      <c r="A601" s="17" t="s">
        <v>66</v>
      </c>
      <c r="B601" s="20">
        <v>37</v>
      </c>
      <c r="C601" s="22">
        <v>379</v>
      </c>
      <c r="D601" s="22" t="s"/>
      <c r="E601" s="28" t="s">
        <v>67</v>
      </c>
      <c r="F601" s="21" t="s">
        <v>93</v>
      </c>
      <c r="G601" s="19" t="s">
        <v>2451</v>
      </c>
      <c r="H601" s="29" t="s"/>
      <c r="I601" s="19" t="s">
        <v>2451</v>
      </c>
      <c r="J601" s="27" t="s"/>
    </row>
    <row r="602" spans="1:10" ht="33.6">
      <c r="A602" s="17" t="s">
        <v>66</v>
      </c>
      <c r="B602" s="20">
        <v>37</v>
      </c>
      <c r="C602" s="22">
        <v>379</v>
      </c>
      <c r="D602" s="22">
        <v>3791</v>
      </c>
      <c r="E602" s="28" t="s">
        <v>67</v>
      </c>
      <c r="F602" s="21" t="s">
        <v>93</v>
      </c>
      <c r="G602" s="19" t="s">
        <v>2451</v>
      </c>
      <c r="H602" s="19" t="s">
        <v>2452</v>
      </c>
      <c r="I602" s="19" t="s">
        <v>2452</v>
      </c>
      <c r="J602" s="19" t="s">
        <v>2453</v>
      </c>
    </row>
    <row r="603" spans="1:10" ht="33.6">
      <c r="A603" s="17" t="s">
        <v>66</v>
      </c>
      <c r="B603" s="20">
        <v>37</v>
      </c>
      <c r="C603" s="22">
        <v>379</v>
      </c>
      <c r="D603" s="22">
        <v>3792</v>
      </c>
      <c r="E603" s="28" t="s">
        <v>67</v>
      </c>
      <c r="F603" s="21" t="s">
        <v>93</v>
      </c>
      <c r="G603" s="19" t="s">
        <v>2451</v>
      </c>
      <c r="H603" s="19" t="s">
        <v>2454</v>
      </c>
      <c r="I603" s="19" t="s">
        <v>2454</v>
      </c>
      <c r="J603" s="19" t="s"/>
    </row>
    <row r="604" spans="1:10" ht="33.6">
      <c r="A604" s="17" t="s">
        <v>66</v>
      </c>
      <c r="B604" s="20">
        <v>37</v>
      </c>
      <c r="C604" s="22">
        <v>379</v>
      </c>
      <c r="D604" s="22">
        <v>3799</v>
      </c>
      <c r="E604" s="28" t="s">
        <v>67</v>
      </c>
      <c r="F604" s="21" t="s">
        <v>93</v>
      </c>
      <c r="G604" s="19" t="s">
        <v>2451</v>
      </c>
      <c r="H604" s="19" t="s">
        <v>2455</v>
      </c>
      <c r="I604" s="19" t="s">
        <v>2455</v>
      </c>
      <c r="J604" s="19" t="s">
        <v>2456</v>
      </c>
    </row>
    <row r="605" spans="1:10" ht="32.4">
      <c r="A605" s="17" t="s">
        <v>66</v>
      </c>
      <c r="B605" s="20">
        <v>39</v>
      </c>
      <c r="C605" s="20" t="s"/>
      <c r="D605" s="20" t="s"/>
      <c r="E605" s="28" t="s">
        <v>67</v>
      </c>
      <c r="F605" s="21" t="s">
        <v>94</v>
      </c>
      <c r="G605" s="20" t="s"/>
      <c r="H605" s="29" t="s"/>
      <c r="I605" s="21" t="s">
        <v>94</v>
      </c>
      <c r="J605" s="27" t="s"/>
    </row>
    <row r="606" spans="1:10" ht="32.4">
      <c r="A606" s="17" t="s">
        <v>66</v>
      </c>
      <c r="B606" s="20">
        <v>39</v>
      </c>
      <c r="C606" s="22">
        <v>391</v>
      </c>
      <c r="D606" s="22" t="s"/>
      <c r="E606" s="28" t="s">
        <v>67</v>
      </c>
      <c r="F606" s="21" t="s">
        <v>94</v>
      </c>
      <c r="G606" s="19" t="s">
        <v>2457</v>
      </c>
      <c r="H606" s="29" t="s"/>
      <c r="I606" s="19" t="s">
        <v>2457</v>
      </c>
      <c r="J606" s="27" t="s"/>
    </row>
    <row r="607" spans="1:10" ht="32.4">
      <c r="A607" s="17" t="s">
        <v>66</v>
      </c>
      <c r="B607" s="20">
        <v>39</v>
      </c>
      <c r="C607" s="22">
        <v>391</v>
      </c>
      <c r="D607" s="22">
        <v>3911</v>
      </c>
      <c r="E607" s="28" t="s">
        <v>67</v>
      </c>
      <c r="F607" s="21" t="s">
        <v>94</v>
      </c>
      <c r="G607" s="19" t="s">
        <v>2457</v>
      </c>
      <c r="H607" s="19" t="s">
        <v>2458</v>
      </c>
      <c r="I607" s="19" t="s">
        <v>2458</v>
      </c>
      <c r="J607" s="19" t="s">
        <v>2459</v>
      </c>
    </row>
    <row r="608" spans="1:10" ht="32.4">
      <c r="A608" s="17" t="s">
        <v>66</v>
      </c>
      <c r="B608" s="20">
        <v>39</v>
      </c>
      <c r="C608" s="22">
        <v>391</v>
      </c>
      <c r="D608" s="22">
        <v>3912</v>
      </c>
      <c r="E608" s="28" t="s">
        <v>67</v>
      </c>
      <c r="F608" s="21" t="s">
        <v>94</v>
      </c>
      <c r="G608" s="19" t="s">
        <v>2457</v>
      </c>
      <c r="H608" s="19" t="s">
        <v>2460</v>
      </c>
      <c r="I608" s="19" t="s">
        <v>2460</v>
      </c>
      <c r="J608" s="19" t="s">
        <v>2461</v>
      </c>
    </row>
    <row r="609" spans="1:10" ht="32.4">
      <c r="A609" s="17" t="s">
        <v>66</v>
      </c>
      <c r="B609" s="20">
        <v>39</v>
      </c>
      <c r="C609" s="22">
        <v>391</v>
      </c>
      <c r="D609" s="22">
        <v>3919</v>
      </c>
      <c r="E609" s="28" t="s">
        <v>67</v>
      </c>
      <c r="F609" s="21" t="s">
        <v>94</v>
      </c>
      <c r="G609" s="19" t="s">
        <v>2457</v>
      </c>
      <c r="H609" s="19" t="s">
        <v>2462</v>
      </c>
      <c r="I609" s="19" t="s">
        <v>2462</v>
      </c>
      <c r="J609" s="19" t="s">
        <v>2463</v>
      </c>
    </row>
    <row r="610" spans="1:10" ht="32.4">
      <c r="A610" s="17" t="s">
        <v>66</v>
      </c>
      <c r="B610" s="20">
        <v>39</v>
      </c>
      <c r="C610" s="22">
        <v>392</v>
      </c>
      <c r="D610" s="22" t="s"/>
      <c r="E610" s="28" t="s">
        <v>67</v>
      </c>
      <c r="F610" s="21" t="s">
        <v>94</v>
      </c>
      <c r="G610" s="19" t="s">
        <v>2464</v>
      </c>
      <c r="H610" s="29" t="s"/>
      <c r="I610" s="19" t="s">
        <v>2464</v>
      </c>
      <c r="J610" s="27" t="s"/>
    </row>
    <row r="611" spans="1:10" ht="32.4">
      <c r="A611" s="17" t="s">
        <v>66</v>
      </c>
      <c r="B611" s="20">
        <v>39</v>
      </c>
      <c r="C611" s="22">
        <v>392</v>
      </c>
      <c r="D611" s="22">
        <v>3921</v>
      </c>
      <c r="E611" s="28" t="s">
        <v>67</v>
      </c>
      <c r="F611" s="21" t="s">
        <v>94</v>
      </c>
      <c r="G611" s="19" t="s">
        <v>2464</v>
      </c>
      <c r="H611" s="19" t="s">
        <v>2465</v>
      </c>
      <c r="I611" s="19" t="s">
        <v>2465</v>
      </c>
      <c r="J611" s="19" t="s">
        <v>2466</v>
      </c>
    </row>
    <row r="612" spans="1:10" ht="32.4">
      <c r="A612" s="17" t="s">
        <v>66</v>
      </c>
      <c r="B612" s="20">
        <v>39</v>
      </c>
      <c r="C612" s="22">
        <v>392</v>
      </c>
      <c r="D612" s="22">
        <v>3922</v>
      </c>
      <c r="E612" s="28" t="s">
        <v>67</v>
      </c>
      <c r="F612" s="21" t="s">
        <v>94</v>
      </c>
      <c r="G612" s="19" t="s">
        <v>2464</v>
      </c>
      <c r="H612" s="19" t="s">
        <v>2467</v>
      </c>
      <c r="I612" s="19" t="s">
        <v>2467</v>
      </c>
      <c r="J612" s="19" t="s">
        <v>2468</v>
      </c>
    </row>
    <row r="613" spans="1:10" ht="34.8">
      <c r="A613" s="17" t="s">
        <v>66</v>
      </c>
      <c r="B613" s="20">
        <v>39</v>
      </c>
      <c r="C613" s="22">
        <v>392</v>
      </c>
      <c r="D613" s="22">
        <v>3923</v>
      </c>
      <c r="E613" s="28" t="s">
        <v>67</v>
      </c>
      <c r="F613" s="21" t="s">
        <v>94</v>
      </c>
      <c r="G613" s="19" t="s">
        <v>2464</v>
      </c>
      <c r="H613" s="19" t="s">
        <v>2469</v>
      </c>
      <c r="I613" s="19" t="s">
        <v>2469</v>
      </c>
      <c r="J613" s="19" t="s">
        <v>2470</v>
      </c>
    </row>
    <row r="614" spans="1:10" ht="32.4">
      <c r="A614" s="17" t="s">
        <v>66</v>
      </c>
      <c r="B614" s="20">
        <v>39</v>
      </c>
      <c r="C614" s="22">
        <v>392</v>
      </c>
      <c r="D614" s="22">
        <v>3924</v>
      </c>
      <c r="E614" s="28" t="s">
        <v>67</v>
      </c>
      <c r="F614" s="21" t="s">
        <v>94</v>
      </c>
      <c r="G614" s="19" t="s">
        <v>2464</v>
      </c>
      <c r="H614" s="19" t="s">
        <v>2471</v>
      </c>
      <c r="I614" s="19" t="s">
        <v>2471</v>
      </c>
      <c r="J614" s="19" t="s">
        <v>2472</v>
      </c>
    </row>
    <row r="615" spans="1:10" ht="32.4">
      <c r="A615" s="17" t="s">
        <v>66</v>
      </c>
      <c r="B615" s="20">
        <v>39</v>
      </c>
      <c r="C615" s="22">
        <v>392</v>
      </c>
      <c r="D615" s="22">
        <v>3929</v>
      </c>
      <c r="E615" s="28" t="s">
        <v>67</v>
      </c>
      <c r="F615" s="21" t="s">
        <v>94</v>
      </c>
      <c r="G615" s="19" t="s">
        <v>2464</v>
      </c>
      <c r="H615" s="19" t="s">
        <v>2473</v>
      </c>
      <c r="I615" s="19" t="s">
        <v>2473</v>
      </c>
      <c r="J615" s="19" t="s">
        <v>2474</v>
      </c>
    </row>
    <row r="616" spans="1:10" ht="33.6">
      <c r="A616" s="17" t="s">
        <v>66</v>
      </c>
      <c r="B616" s="20">
        <v>39</v>
      </c>
      <c r="C616" s="22">
        <v>393</v>
      </c>
      <c r="D616" s="22" t="s"/>
      <c r="E616" s="28" t="s">
        <v>67</v>
      </c>
      <c r="F616" s="21" t="s">
        <v>94</v>
      </c>
      <c r="G616" s="19" t="s">
        <v>2475</v>
      </c>
      <c r="H616" s="29" t="s"/>
      <c r="I616" s="19" t="s">
        <v>2475</v>
      </c>
      <c r="J616" s="27" t="s"/>
    </row>
    <row r="617" spans="1:10" ht="33.6">
      <c r="A617" s="17" t="s">
        <v>66</v>
      </c>
      <c r="B617" s="20">
        <v>39</v>
      </c>
      <c r="C617" s="22">
        <v>393</v>
      </c>
      <c r="D617" s="22">
        <v>3931</v>
      </c>
      <c r="E617" s="28" t="s">
        <v>67</v>
      </c>
      <c r="F617" s="21" t="s">
        <v>94</v>
      </c>
      <c r="G617" s="19" t="s">
        <v>2475</v>
      </c>
      <c r="H617" s="19" t="s">
        <v>2476</v>
      </c>
      <c r="I617" s="19" t="s">
        <v>2476</v>
      </c>
      <c r="J617" s="19" t="s">
        <v>2477</v>
      </c>
    </row>
    <row r="618" spans="1:10" ht="33.6">
      <c r="A618" s="17" t="s">
        <v>66</v>
      </c>
      <c r="B618" s="20">
        <v>39</v>
      </c>
      <c r="C618" s="22">
        <v>393</v>
      </c>
      <c r="D618" s="22">
        <v>3932</v>
      </c>
      <c r="E618" s="28" t="s">
        <v>67</v>
      </c>
      <c r="F618" s="21" t="s">
        <v>94</v>
      </c>
      <c r="G618" s="19" t="s">
        <v>2475</v>
      </c>
      <c r="H618" s="19" t="s">
        <v>2478</v>
      </c>
      <c r="I618" s="19" t="s">
        <v>2478</v>
      </c>
      <c r="J618" s="19" t="s">
        <v>2479</v>
      </c>
    </row>
    <row r="619" spans="1:10" ht="33.6">
      <c r="A619" s="17" t="s">
        <v>66</v>
      </c>
      <c r="B619" s="20">
        <v>39</v>
      </c>
      <c r="C619" s="22">
        <v>393</v>
      </c>
      <c r="D619" s="22">
        <v>3933</v>
      </c>
      <c r="E619" s="28" t="s">
        <v>67</v>
      </c>
      <c r="F619" s="21" t="s">
        <v>94</v>
      </c>
      <c r="G619" s="19" t="s">
        <v>2475</v>
      </c>
      <c r="H619" s="19" t="s">
        <v>2480</v>
      </c>
      <c r="I619" s="19" t="s">
        <v>2480</v>
      </c>
      <c r="J619" s="19" t="s">
        <v>2481</v>
      </c>
    </row>
    <row r="620" spans="1:10" ht="33.6">
      <c r="A620" s="17" t="s">
        <v>66</v>
      </c>
      <c r="B620" s="20">
        <v>39</v>
      </c>
      <c r="C620" s="22">
        <v>393</v>
      </c>
      <c r="D620" s="22">
        <v>3939</v>
      </c>
      <c r="E620" s="28" t="s">
        <v>67</v>
      </c>
      <c r="F620" s="21" t="s">
        <v>94</v>
      </c>
      <c r="G620" s="19" t="s">
        <v>2475</v>
      </c>
      <c r="H620" s="19" t="s">
        <v>2482</v>
      </c>
      <c r="I620" s="19" t="s">
        <v>2482</v>
      </c>
      <c r="J620" s="27" t="s"/>
    </row>
    <row r="621" spans="1:10" ht="55.2">
      <c r="A621" s="17" t="s">
        <v>66</v>
      </c>
      <c r="B621" s="20">
        <v>39</v>
      </c>
      <c r="C621" s="22">
        <v>394</v>
      </c>
      <c r="D621" s="22">
        <v>3940</v>
      </c>
      <c r="E621" s="28" t="s">
        <v>67</v>
      </c>
      <c r="F621" s="21" t="s">
        <v>94</v>
      </c>
      <c r="G621" s="19" t="s">
        <v>2483</v>
      </c>
      <c r="H621" s="19" t="s">
        <v>2483</v>
      </c>
      <c r="I621" s="19" t="s">
        <v>2483</v>
      </c>
      <c r="J621" s="19" t="s">
        <v>2484</v>
      </c>
    </row>
    <row r="622" spans="1:10" ht="32.4">
      <c r="A622" s="17" t="s">
        <v>66</v>
      </c>
      <c r="B622" s="20">
        <v>39</v>
      </c>
      <c r="C622" s="22">
        <v>395</v>
      </c>
      <c r="D622" s="22" t="s"/>
      <c r="E622" s="28" t="s">
        <v>67</v>
      </c>
      <c r="F622" s="21" t="s">
        <v>94</v>
      </c>
      <c r="G622" s="19" t="s">
        <v>2485</v>
      </c>
      <c r="H622" s="29" t="s"/>
      <c r="I622" s="19" t="s">
        <v>2485</v>
      </c>
      <c r="J622" s="19" t="s">
        <v>2486</v>
      </c>
    </row>
    <row r="623" spans="1:10" ht="32.4">
      <c r="A623" s="17" t="s">
        <v>66</v>
      </c>
      <c r="B623" s="20">
        <v>39</v>
      </c>
      <c r="C623" s="22">
        <v>395</v>
      </c>
      <c r="D623" s="22">
        <v>3951</v>
      </c>
      <c r="E623" s="28" t="s">
        <v>67</v>
      </c>
      <c r="F623" s="21" t="s">
        <v>94</v>
      </c>
      <c r="G623" s="19" t="s">
        <v>2485</v>
      </c>
      <c r="H623" s="19" t="s">
        <v>2487</v>
      </c>
      <c r="I623" s="19" t="s">
        <v>2487</v>
      </c>
      <c r="J623" s="19" t="s"/>
    </row>
    <row r="624" spans="1:10" ht="32.4">
      <c r="A624" s="17" t="s">
        <v>66</v>
      </c>
      <c r="B624" s="20">
        <v>39</v>
      </c>
      <c r="C624" s="22">
        <v>395</v>
      </c>
      <c r="D624" s="22">
        <v>3952</v>
      </c>
      <c r="E624" s="28" t="s">
        <v>67</v>
      </c>
      <c r="F624" s="21" t="s">
        <v>94</v>
      </c>
      <c r="G624" s="19" t="s">
        <v>2485</v>
      </c>
      <c r="H624" s="19" t="s">
        <v>2488</v>
      </c>
      <c r="I624" s="19" t="s">
        <v>2488</v>
      </c>
      <c r="J624" s="19" t="s">
        <v>2489</v>
      </c>
    </row>
    <row r="625" spans="1:10" ht="32.4">
      <c r="A625" s="17" t="s">
        <v>66</v>
      </c>
      <c r="B625" s="20">
        <v>39</v>
      </c>
      <c r="C625" s="22">
        <v>395</v>
      </c>
      <c r="D625" s="22">
        <v>3953</v>
      </c>
      <c r="E625" s="28" t="s">
        <v>67</v>
      </c>
      <c r="F625" s="21" t="s">
        <v>94</v>
      </c>
      <c r="G625" s="19" t="s">
        <v>2485</v>
      </c>
      <c r="H625" s="19" t="s">
        <v>2490</v>
      </c>
      <c r="I625" s="19" t="s">
        <v>2490</v>
      </c>
      <c r="J625" s="19" t="s">
        <v>2491</v>
      </c>
    </row>
    <row r="626" spans="1:10" ht="33.6">
      <c r="A626" s="17" t="s">
        <v>66</v>
      </c>
      <c r="B626" s="20">
        <v>39</v>
      </c>
      <c r="C626" s="22">
        <v>395</v>
      </c>
      <c r="D626" s="22">
        <v>3954</v>
      </c>
      <c r="E626" s="28" t="s">
        <v>67</v>
      </c>
      <c r="F626" s="21" t="s">
        <v>94</v>
      </c>
      <c r="G626" s="19" t="s">
        <v>2485</v>
      </c>
      <c r="H626" s="19" t="s">
        <v>2492</v>
      </c>
      <c r="I626" s="19" t="s">
        <v>2492</v>
      </c>
      <c r="J626" s="19" t="s">
        <v>2493</v>
      </c>
    </row>
    <row r="627" spans="1:10" ht="32.4">
      <c r="A627" s="17" t="s">
        <v>66</v>
      </c>
      <c r="B627" s="20">
        <v>39</v>
      </c>
      <c r="C627" s="22">
        <v>395</v>
      </c>
      <c r="D627" s="22">
        <v>3955</v>
      </c>
      <c r="E627" s="28" t="s">
        <v>67</v>
      </c>
      <c r="F627" s="21" t="s">
        <v>94</v>
      </c>
      <c r="G627" s="19" t="s">
        <v>2485</v>
      </c>
      <c r="H627" s="19" t="s">
        <v>2494</v>
      </c>
      <c r="I627" s="19" t="s">
        <v>2494</v>
      </c>
      <c r="J627" s="19" t="s"/>
    </row>
    <row r="628" spans="1:10" ht="32.4">
      <c r="A628" s="17" t="s">
        <v>66</v>
      </c>
      <c r="B628" s="20">
        <v>39</v>
      </c>
      <c r="C628" s="22">
        <v>395</v>
      </c>
      <c r="D628" s="22">
        <v>3956</v>
      </c>
      <c r="E628" s="28" t="s">
        <v>67</v>
      </c>
      <c r="F628" s="21" t="s">
        <v>94</v>
      </c>
      <c r="G628" s="19" t="s">
        <v>2485</v>
      </c>
      <c r="H628" s="19" t="s">
        <v>2495</v>
      </c>
      <c r="I628" s="19" t="s">
        <v>2495</v>
      </c>
      <c r="J628" s="19" t="s"/>
    </row>
    <row r="629" spans="1:10" ht="32.4">
      <c r="A629" s="17" t="s">
        <v>66</v>
      </c>
      <c r="B629" s="20">
        <v>39</v>
      </c>
      <c r="C629" s="22">
        <v>395</v>
      </c>
      <c r="D629" s="22">
        <v>3957</v>
      </c>
      <c r="E629" s="28" t="s">
        <v>67</v>
      </c>
      <c r="F629" s="21" t="s">
        <v>94</v>
      </c>
      <c r="G629" s="19" t="s">
        <v>2485</v>
      </c>
      <c r="H629" s="19" t="s">
        <v>2496</v>
      </c>
      <c r="I629" s="19" t="s">
        <v>2496</v>
      </c>
      <c r="J629" s="19" t="s">
        <v>2497</v>
      </c>
    </row>
    <row r="630" spans="1:10" ht="32.4">
      <c r="A630" s="17" t="s">
        <v>66</v>
      </c>
      <c r="B630" s="20">
        <v>39</v>
      </c>
      <c r="C630" s="22">
        <v>395</v>
      </c>
      <c r="D630" s="22">
        <v>3959</v>
      </c>
      <c r="E630" s="28" t="s">
        <v>67</v>
      </c>
      <c r="F630" s="21" t="s">
        <v>94</v>
      </c>
      <c r="G630" s="19" t="s">
        <v>2485</v>
      </c>
      <c r="H630" s="19" t="s">
        <v>2498</v>
      </c>
      <c r="I630" s="19" t="s">
        <v>2498</v>
      </c>
      <c r="J630" s="19" t="s"/>
    </row>
    <row r="631" spans="1:10" ht="32.4">
      <c r="A631" s="17" t="s">
        <v>66</v>
      </c>
      <c r="B631" s="20">
        <v>39</v>
      </c>
      <c r="C631" s="22">
        <v>396</v>
      </c>
      <c r="D631" s="22" t="s"/>
      <c r="E631" s="28" t="s">
        <v>67</v>
      </c>
      <c r="F631" s="21" t="s">
        <v>94</v>
      </c>
      <c r="G631" s="19" t="s">
        <v>2499</v>
      </c>
      <c r="H631" s="29" t="s"/>
      <c r="I631" s="19" t="s">
        <v>2499</v>
      </c>
      <c r="J631" s="27" t="s"/>
    </row>
    <row r="632" spans="1:10" ht="33.6">
      <c r="A632" s="17" t="s">
        <v>66</v>
      </c>
      <c r="B632" s="20">
        <v>39</v>
      </c>
      <c r="C632" s="22">
        <v>396</v>
      </c>
      <c r="D632" s="22">
        <v>3961</v>
      </c>
      <c r="E632" s="28" t="s">
        <v>67</v>
      </c>
      <c r="F632" s="21" t="s">
        <v>94</v>
      </c>
      <c r="G632" s="19" t="s">
        <v>2499</v>
      </c>
      <c r="H632" s="19" t="s">
        <v>2500</v>
      </c>
      <c r="I632" s="19" t="s">
        <v>2500</v>
      </c>
      <c r="J632" s="19" t="s">
        <v>2501</v>
      </c>
    </row>
    <row r="633" spans="1:10" ht="32.4">
      <c r="A633" s="17" t="s">
        <v>66</v>
      </c>
      <c r="B633" s="20">
        <v>39</v>
      </c>
      <c r="C633" s="22">
        <v>396</v>
      </c>
      <c r="D633" s="22">
        <v>3969</v>
      </c>
      <c r="E633" s="28" t="s">
        <v>67</v>
      </c>
      <c r="F633" s="21" t="s">
        <v>94</v>
      </c>
      <c r="G633" s="19" t="s">
        <v>2499</v>
      </c>
      <c r="H633" s="19" t="s">
        <v>2502</v>
      </c>
      <c r="I633" s="19" t="s">
        <v>2502</v>
      </c>
      <c r="J633" s="19" t="s"/>
    </row>
    <row r="634" spans="1:10" ht="32.4">
      <c r="A634" s="17" t="s">
        <v>66</v>
      </c>
      <c r="B634" s="20">
        <v>39</v>
      </c>
      <c r="C634" s="22">
        <v>397</v>
      </c>
      <c r="D634" s="22" t="s"/>
      <c r="E634" s="28" t="s">
        <v>67</v>
      </c>
      <c r="F634" s="21" t="s">
        <v>94</v>
      </c>
      <c r="G634" s="19" t="s">
        <v>2503</v>
      </c>
      <c r="H634" s="29" t="s"/>
      <c r="I634" s="19" t="s">
        <v>2503</v>
      </c>
      <c r="J634" s="27" t="s"/>
    </row>
    <row r="635" spans="1:10" ht="44.4">
      <c r="A635" s="17" t="s">
        <v>66</v>
      </c>
      <c r="B635" s="20">
        <v>39</v>
      </c>
      <c r="C635" s="22">
        <v>397</v>
      </c>
      <c r="D635" s="22">
        <v>3971</v>
      </c>
      <c r="E635" s="28" t="s">
        <v>67</v>
      </c>
      <c r="F635" s="21" t="s">
        <v>94</v>
      </c>
      <c r="G635" s="19" t="s">
        <v>2503</v>
      </c>
      <c r="H635" s="19" t="s">
        <v>2504</v>
      </c>
      <c r="I635" s="19" t="s">
        <v>2504</v>
      </c>
      <c r="J635" s="19" t="s">
        <v>2505</v>
      </c>
    </row>
    <row r="636" spans="1:10" ht="33.6">
      <c r="A636" s="17" t="s">
        <v>66</v>
      </c>
      <c r="B636" s="20">
        <v>39</v>
      </c>
      <c r="C636" s="22">
        <v>397</v>
      </c>
      <c r="D636" s="22">
        <v>3972</v>
      </c>
      <c r="E636" s="28" t="s">
        <v>67</v>
      </c>
      <c r="F636" s="21" t="s">
        <v>94</v>
      </c>
      <c r="G636" s="19" t="s">
        <v>2503</v>
      </c>
      <c r="H636" s="19" t="s">
        <v>2506</v>
      </c>
      <c r="I636" s="19" t="s">
        <v>2506</v>
      </c>
      <c r="J636" s="19" t="s">
        <v>2507</v>
      </c>
    </row>
    <row r="637" spans="1:10" ht="33.6">
      <c r="A637" s="17" t="s">
        <v>66</v>
      </c>
      <c r="B637" s="20">
        <v>39</v>
      </c>
      <c r="C637" s="22">
        <v>397</v>
      </c>
      <c r="D637" s="22">
        <v>3979</v>
      </c>
      <c r="E637" s="28" t="s">
        <v>67</v>
      </c>
      <c r="F637" s="21" t="s">
        <v>94</v>
      </c>
      <c r="G637" s="19" t="s">
        <v>2503</v>
      </c>
      <c r="H637" s="19" t="s">
        <v>2508</v>
      </c>
      <c r="I637" s="19" t="s">
        <v>2508</v>
      </c>
      <c r="J637" s="19" t="s">
        <v>2509</v>
      </c>
    </row>
    <row r="638" spans="1:10" ht="32.4">
      <c r="A638" s="17" t="s">
        <v>66</v>
      </c>
      <c r="B638" s="20">
        <v>39</v>
      </c>
      <c r="C638" s="22">
        <v>399</v>
      </c>
      <c r="D638" s="22" t="s"/>
      <c r="E638" s="28" t="s">
        <v>67</v>
      </c>
      <c r="F638" s="21" t="s">
        <v>94</v>
      </c>
      <c r="G638" s="19" t="s">
        <v>2510</v>
      </c>
      <c r="H638" s="29" t="s"/>
      <c r="I638" s="19" t="s">
        <v>2510</v>
      </c>
      <c r="J638" s="27" t="s"/>
    </row>
    <row r="639" spans="1:10" ht="33.6">
      <c r="A639" s="17" t="s">
        <v>66</v>
      </c>
      <c r="B639" s="20">
        <v>39</v>
      </c>
      <c r="C639" s="22">
        <v>399</v>
      </c>
      <c r="D639" s="22">
        <v>3991</v>
      </c>
      <c r="E639" s="28" t="s">
        <v>67</v>
      </c>
      <c r="F639" s="21" t="s">
        <v>94</v>
      </c>
      <c r="G639" s="19" t="s">
        <v>2510</v>
      </c>
      <c r="H639" s="19" t="s">
        <v>2511</v>
      </c>
      <c r="I639" s="19" t="s">
        <v>2511</v>
      </c>
      <c r="J639" s="19" t="s">
        <v>2512</v>
      </c>
    </row>
    <row r="640" spans="1:10" ht="32.4">
      <c r="A640" s="17" t="s">
        <v>66</v>
      </c>
      <c r="B640" s="20">
        <v>39</v>
      </c>
      <c r="C640" s="22">
        <v>399</v>
      </c>
      <c r="D640" s="22">
        <v>3999</v>
      </c>
      <c r="E640" s="28" t="s">
        <v>67</v>
      </c>
      <c r="F640" s="21" t="s">
        <v>94</v>
      </c>
      <c r="G640" s="19" t="s">
        <v>2510</v>
      </c>
      <c r="H640" s="19" t="s">
        <v>2513</v>
      </c>
      <c r="I640" s="19" t="s">
        <v>2513</v>
      </c>
      <c r="J640" s="19" t="s">
        <v>2514</v>
      </c>
    </row>
    <row r="641" spans="1:10" ht="54">
      <c r="A641" s="17" t="s">
        <v>66</v>
      </c>
      <c r="B641" s="20">
        <v>40</v>
      </c>
      <c r="C641" s="20" t="s"/>
      <c r="D641" s="20" t="s"/>
      <c r="E641" s="28" t="s">
        <v>67</v>
      </c>
      <c r="F641" s="21" t="s">
        <v>95</v>
      </c>
      <c r="G641" s="20" t="s"/>
      <c r="H641" s="29" t="s"/>
      <c r="I641" s="21" t="s">
        <v>95</v>
      </c>
      <c r="J641" s="27" t="s"/>
    </row>
    <row r="642" spans="1:10" ht="54">
      <c r="A642" s="17" t="s">
        <v>66</v>
      </c>
      <c r="B642" s="20">
        <v>40</v>
      </c>
      <c r="C642" s="22">
        <v>401</v>
      </c>
      <c r="D642" s="22" t="s"/>
      <c r="E642" s="28" t="s">
        <v>67</v>
      </c>
      <c r="F642" s="21" t="s">
        <v>95</v>
      </c>
      <c r="G642" s="19" t="s">
        <v>2515</v>
      </c>
      <c r="H642" s="29" t="s"/>
      <c r="I642" s="19" t="s">
        <v>2515</v>
      </c>
      <c r="J642" s="27" t="s"/>
    </row>
    <row r="643" spans="1:10" ht="54">
      <c r="A643" s="17" t="s">
        <v>66</v>
      </c>
      <c r="B643" s="20">
        <v>40</v>
      </c>
      <c r="C643" s="22">
        <v>401</v>
      </c>
      <c r="D643" s="22">
        <v>4011</v>
      </c>
      <c r="E643" s="28" t="s">
        <v>67</v>
      </c>
      <c r="F643" s="21" t="s">
        <v>95</v>
      </c>
      <c r="G643" s="19" t="s">
        <v>2515</v>
      </c>
      <c r="H643" s="19" t="s">
        <v>2516</v>
      </c>
      <c r="I643" s="19" t="s">
        <v>2516</v>
      </c>
      <c r="J643" s="19" t="s">
        <v>2517</v>
      </c>
    </row>
    <row r="644" spans="1:10" ht="54">
      <c r="A644" s="17" t="s">
        <v>66</v>
      </c>
      <c r="B644" s="20">
        <v>40</v>
      </c>
      <c r="C644" s="22">
        <v>401</v>
      </c>
      <c r="D644" s="22">
        <v>4012</v>
      </c>
      <c r="E644" s="28" t="s">
        <v>67</v>
      </c>
      <c r="F644" s="21" t="s">
        <v>95</v>
      </c>
      <c r="G644" s="19" t="s">
        <v>2515</v>
      </c>
      <c r="H644" s="19" t="s">
        <v>2518</v>
      </c>
      <c r="I644" s="19" t="s">
        <v>2518</v>
      </c>
      <c r="J644" s="19" t="s">
        <v>2519</v>
      </c>
    </row>
    <row r="645" spans="1:10" ht="54">
      <c r="A645" s="17" t="s">
        <v>66</v>
      </c>
      <c r="B645" s="20">
        <v>40</v>
      </c>
      <c r="C645" s="22">
        <v>401</v>
      </c>
      <c r="D645" s="22">
        <v>4013</v>
      </c>
      <c r="E645" s="28" t="s">
        <v>67</v>
      </c>
      <c r="F645" s="21" t="s">
        <v>95</v>
      </c>
      <c r="G645" s="19" t="s">
        <v>2515</v>
      </c>
      <c r="H645" s="19" t="s">
        <v>2520</v>
      </c>
      <c r="I645" s="19" t="s">
        <v>2520</v>
      </c>
      <c r="J645" s="19" t="s">
        <v>2521</v>
      </c>
    </row>
    <row r="646" spans="1:10" ht="54">
      <c r="A646" s="17" t="s">
        <v>66</v>
      </c>
      <c r="B646" s="20">
        <v>40</v>
      </c>
      <c r="C646" s="22">
        <v>401</v>
      </c>
      <c r="D646" s="22">
        <v>4014</v>
      </c>
      <c r="E646" s="28" t="s">
        <v>67</v>
      </c>
      <c r="F646" s="21" t="s">
        <v>95</v>
      </c>
      <c r="G646" s="19" t="s">
        <v>2515</v>
      </c>
      <c r="H646" s="19" t="s">
        <v>2522</v>
      </c>
      <c r="I646" s="19" t="s">
        <v>2522</v>
      </c>
      <c r="J646" s="19" t="s">
        <v>2523</v>
      </c>
    </row>
    <row r="647" spans="1:10" ht="54">
      <c r="A647" s="17" t="s">
        <v>66</v>
      </c>
      <c r="B647" s="20">
        <v>40</v>
      </c>
      <c r="C647" s="22">
        <v>401</v>
      </c>
      <c r="D647" s="22">
        <v>4019</v>
      </c>
      <c r="E647" s="28" t="s">
        <v>67</v>
      </c>
      <c r="F647" s="21" t="s">
        <v>95</v>
      </c>
      <c r="G647" s="19" t="s">
        <v>2515</v>
      </c>
      <c r="H647" s="19" t="s">
        <v>2524</v>
      </c>
      <c r="I647" s="19" t="s">
        <v>2524</v>
      </c>
      <c r="J647" s="19" t="s">
        <v>2525</v>
      </c>
    </row>
    <row r="648" spans="1:10" ht="54">
      <c r="A648" s="17" t="s">
        <v>66</v>
      </c>
      <c r="B648" s="20">
        <v>40</v>
      </c>
      <c r="C648" s="22">
        <v>402</v>
      </c>
      <c r="D648" s="22">
        <v>4020</v>
      </c>
      <c r="E648" s="28" t="s">
        <v>67</v>
      </c>
      <c r="F648" s="21" t="s">
        <v>95</v>
      </c>
      <c r="G648" s="19" t="s">
        <v>2526</v>
      </c>
      <c r="H648" s="19" t="s">
        <v>2526</v>
      </c>
      <c r="I648" s="19" t="s">
        <v>2526</v>
      </c>
      <c r="J648" s="19" t="s">
        <v>2527</v>
      </c>
    </row>
    <row r="649" spans="1:10" ht="54">
      <c r="A649" s="17" t="s">
        <v>66</v>
      </c>
      <c r="B649" s="20">
        <v>40</v>
      </c>
      <c r="C649" s="22">
        <v>403</v>
      </c>
      <c r="D649" s="22" t="s"/>
      <c r="E649" s="28" t="s">
        <v>67</v>
      </c>
      <c r="F649" s="21" t="s">
        <v>95</v>
      </c>
      <c r="G649" s="19" t="s">
        <v>2528</v>
      </c>
      <c r="H649" s="29" t="s"/>
      <c r="I649" s="19" t="s">
        <v>2528</v>
      </c>
      <c r="J649" s="19" t="s"/>
    </row>
    <row r="650" spans="1:10" ht="54">
      <c r="A650" s="17" t="s">
        <v>66</v>
      </c>
      <c r="B650" s="20">
        <v>40</v>
      </c>
      <c r="C650" s="22">
        <v>403</v>
      </c>
      <c r="D650" s="22">
        <v>4031</v>
      </c>
      <c r="E650" s="28" t="s">
        <v>67</v>
      </c>
      <c r="F650" s="21" t="s">
        <v>95</v>
      </c>
      <c r="G650" s="19" t="s">
        <v>2528</v>
      </c>
      <c r="H650" s="19" t="s">
        <v>2529</v>
      </c>
      <c r="I650" s="19" t="s">
        <v>2529</v>
      </c>
      <c r="J650" s="19" t="s">
        <v>2530</v>
      </c>
    </row>
    <row r="651" spans="1:10" ht="54">
      <c r="A651" s="17" t="s">
        <v>66</v>
      </c>
      <c r="B651" s="20">
        <v>40</v>
      </c>
      <c r="C651" s="22">
        <v>403</v>
      </c>
      <c r="D651" s="22">
        <v>4032</v>
      </c>
      <c r="E651" s="28" t="s">
        <v>67</v>
      </c>
      <c r="F651" s="21" t="s">
        <v>95</v>
      </c>
      <c r="G651" s="19" t="s">
        <v>2528</v>
      </c>
      <c r="H651" s="19" t="s">
        <v>2531</v>
      </c>
      <c r="I651" s="19" t="s">
        <v>2531</v>
      </c>
      <c r="J651" s="19" t="s">
        <v>2532</v>
      </c>
    </row>
    <row r="652" spans="1:10" ht="54">
      <c r="A652" s="17" t="s">
        <v>66</v>
      </c>
      <c r="B652" s="20">
        <v>40</v>
      </c>
      <c r="C652" s="22">
        <v>403</v>
      </c>
      <c r="D652" s="22">
        <v>4039</v>
      </c>
      <c r="E652" s="28" t="s">
        <v>67</v>
      </c>
      <c r="F652" s="21" t="s">
        <v>95</v>
      </c>
      <c r="G652" s="19" t="s">
        <v>2528</v>
      </c>
      <c r="H652" s="19" t="s">
        <v>2533</v>
      </c>
      <c r="I652" s="19" t="s">
        <v>2533</v>
      </c>
      <c r="J652" s="19" t="s">
        <v>2534</v>
      </c>
    </row>
    <row r="653" spans="1:10" ht="54">
      <c r="A653" s="17" t="s">
        <v>66</v>
      </c>
      <c r="B653" s="20">
        <v>40</v>
      </c>
      <c r="C653" s="22">
        <v>404</v>
      </c>
      <c r="D653" s="22" t="s"/>
      <c r="E653" s="28" t="s">
        <v>67</v>
      </c>
      <c r="F653" s="21" t="s">
        <v>95</v>
      </c>
      <c r="G653" s="19" t="s">
        <v>2535</v>
      </c>
      <c r="H653" s="29" t="s"/>
      <c r="I653" s="19" t="s">
        <v>2535</v>
      </c>
      <c r="J653" s="27" t="s"/>
    </row>
    <row r="654" spans="1:10" ht="54">
      <c r="A654" s="17" t="s">
        <v>66</v>
      </c>
      <c r="B654" s="20">
        <v>40</v>
      </c>
      <c r="C654" s="22">
        <v>404</v>
      </c>
      <c r="D654" s="22">
        <v>4041</v>
      </c>
      <c r="E654" s="28" t="s">
        <v>67</v>
      </c>
      <c r="F654" s="21" t="s">
        <v>95</v>
      </c>
      <c r="G654" s="19" t="s">
        <v>2535</v>
      </c>
      <c r="H654" s="19" t="s">
        <v>2536</v>
      </c>
      <c r="I654" s="19" t="s">
        <v>2536</v>
      </c>
      <c r="J654" s="19" t="s">
        <v>2537</v>
      </c>
    </row>
    <row r="655" spans="1:10" ht="54">
      <c r="A655" s="17" t="s">
        <v>66</v>
      </c>
      <c r="B655" s="20">
        <v>40</v>
      </c>
      <c r="C655" s="22">
        <v>404</v>
      </c>
      <c r="D655" s="22">
        <v>4042</v>
      </c>
      <c r="E655" s="28" t="s">
        <v>67</v>
      </c>
      <c r="F655" s="21" t="s">
        <v>95</v>
      </c>
      <c r="G655" s="19" t="s">
        <v>2535</v>
      </c>
      <c r="H655" s="19" t="s">
        <v>2538</v>
      </c>
      <c r="I655" s="19" t="s">
        <v>2538</v>
      </c>
      <c r="J655" s="19" t="s">
        <v>2539</v>
      </c>
    </row>
    <row r="656" spans="1:10" ht="54">
      <c r="A656" s="17" t="s">
        <v>66</v>
      </c>
      <c r="B656" s="20">
        <v>40</v>
      </c>
      <c r="C656" s="22">
        <v>404</v>
      </c>
      <c r="D656" s="22">
        <v>4043</v>
      </c>
      <c r="E656" s="28" t="s">
        <v>67</v>
      </c>
      <c r="F656" s="21" t="s">
        <v>95</v>
      </c>
      <c r="G656" s="19" t="s">
        <v>2535</v>
      </c>
      <c r="H656" s="19" t="s">
        <v>2540</v>
      </c>
      <c r="I656" s="19" t="s">
        <v>2540</v>
      </c>
      <c r="J656" s="19" t="s">
        <v>2541</v>
      </c>
    </row>
    <row r="657" spans="1:10" ht="54">
      <c r="A657" s="17" t="s">
        <v>66</v>
      </c>
      <c r="B657" s="20">
        <v>40</v>
      </c>
      <c r="C657" s="22">
        <v>405</v>
      </c>
      <c r="D657" s="22" t="s"/>
      <c r="E657" s="28" t="s">
        <v>67</v>
      </c>
      <c r="F657" s="21" t="s">
        <v>95</v>
      </c>
      <c r="G657" s="19" t="s">
        <v>2542</v>
      </c>
      <c r="H657" s="29" t="s"/>
      <c r="I657" s="19" t="s">
        <v>2542</v>
      </c>
      <c r="J657" s="27" t="s"/>
    </row>
    <row r="658" spans="1:10" ht="54">
      <c r="A658" s="17" t="s">
        <v>66</v>
      </c>
      <c r="B658" s="20">
        <v>40</v>
      </c>
      <c r="C658" s="22">
        <v>405</v>
      </c>
      <c r="D658" s="22">
        <v>4051</v>
      </c>
      <c r="E658" s="28" t="s">
        <v>67</v>
      </c>
      <c r="F658" s="21" t="s">
        <v>95</v>
      </c>
      <c r="G658" s="19" t="s">
        <v>2542</v>
      </c>
      <c r="H658" s="19" t="s">
        <v>2543</v>
      </c>
      <c r="I658" s="19" t="s">
        <v>2543</v>
      </c>
      <c r="J658" s="19" t="s">
        <v>2544</v>
      </c>
    </row>
    <row r="659" spans="1:10" ht="54">
      <c r="A659" s="17" t="s">
        <v>66</v>
      </c>
      <c r="B659" s="20">
        <v>40</v>
      </c>
      <c r="C659" s="22">
        <v>405</v>
      </c>
      <c r="D659" s="22">
        <v>4052</v>
      </c>
      <c r="E659" s="28" t="s">
        <v>67</v>
      </c>
      <c r="F659" s="21" t="s">
        <v>95</v>
      </c>
      <c r="G659" s="19" t="s">
        <v>2542</v>
      </c>
      <c r="H659" s="19" t="s">
        <v>2545</v>
      </c>
      <c r="I659" s="19" t="s">
        <v>2545</v>
      </c>
      <c r="J659" s="27" t="s"/>
    </row>
    <row r="660" spans="1:10" ht="54">
      <c r="A660" s="17" t="s">
        <v>66</v>
      </c>
      <c r="B660" s="20">
        <v>40</v>
      </c>
      <c r="C660" s="22">
        <v>405</v>
      </c>
      <c r="D660" s="22">
        <v>4053</v>
      </c>
      <c r="E660" s="28" t="s">
        <v>67</v>
      </c>
      <c r="F660" s="21" t="s">
        <v>95</v>
      </c>
      <c r="G660" s="19" t="s">
        <v>2542</v>
      </c>
      <c r="H660" s="19" t="s">
        <v>2546</v>
      </c>
      <c r="I660" s="19" t="s">
        <v>2546</v>
      </c>
      <c r="J660" s="19" t="s">
        <v>2547</v>
      </c>
    </row>
    <row r="661" spans="1:10" ht="54">
      <c r="A661" s="17" t="s">
        <v>66</v>
      </c>
      <c r="B661" s="20">
        <v>40</v>
      </c>
      <c r="C661" s="22">
        <v>405</v>
      </c>
      <c r="D661" s="22">
        <v>4059</v>
      </c>
      <c r="E661" s="28" t="s">
        <v>67</v>
      </c>
      <c r="F661" s="21" t="s">
        <v>95</v>
      </c>
      <c r="G661" s="19" t="s">
        <v>2542</v>
      </c>
      <c r="H661" s="19" t="s">
        <v>2548</v>
      </c>
      <c r="I661" s="19" t="s">
        <v>2548</v>
      </c>
      <c r="J661" s="19" t="s">
        <v>2549</v>
      </c>
    </row>
    <row r="662" spans="1:10" ht="54">
      <c r="A662" s="17" t="s">
        <v>66</v>
      </c>
      <c r="B662" s="20">
        <v>40</v>
      </c>
      <c r="C662" s="22">
        <v>406</v>
      </c>
      <c r="D662" s="22" t="s"/>
      <c r="E662" s="28" t="s">
        <v>67</v>
      </c>
      <c r="F662" s="21" t="s">
        <v>95</v>
      </c>
      <c r="G662" s="19" t="s">
        <v>2550</v>
      </c>
      <c r="H662" s="29" t="s"/>
      <c r="I662" s="19" t="s">
        <v>2550</v>
      </c>
      <c r="J662" s="27" t="s"/>
    </row>
    <row r="663" spans="1:10" ht="54">
      <c r="A663" s="17" t="s">
        <v>66</v>
      </c>
      <c r="B663" s="20">
        <v>40</v>
      </c>
      <c r="C663" s="22">
        <v>406</v>
      </c>
      <c r="D663" s="22">
        <v>4061</v>
      </c>
      <c r="E663" s="28" t="s">
        <v>67</v>
      </c>
      <c r="F663" s="21" t="s">
        <v>95</v>
      </c>
      <c r="G663" s="19" t="s">
        <v>2550</v>
      </c>
      <c r="H663" s="19" t="s">
        <v>2551</v>
      </c>
      <c r="I663" s="19" t="s">
        <v>2551</v>
      </c>
      <c r="J663" s="19" t="s"/>
    </row>
    <row r="664" spans="1:10" ht="54">
      <c r="A664" s="17" t="s">
        <v>66</v>
      </c>
      <c r="B664" s="20">
        <v>40</v>
      </c>
      <c r="C664" s="22">
        <v>406</v>
      </c>
      <c r="D664" s="22">
        <v>4062</v>
      </c>
      <c r="E664" s="28" t="s">
        <v>67</v>
      </c>
      <c r="F664" s="21" t="s">
        <v>95</v>
      </c>
      <c r="G664" s="19" t="s">
        <v>2550</v>
      </c>
      <c r="H664" s="19" t="s">
        <v>2552</v>
      </c>
      <c r="I664" s="19" t="s">
        <v>2552</v>
      </c>
      <c r="J664" s="19" t="s">
        <v>2553</v>
      </c>
    </row>
    <row r="665" spans="1:10" ht="54">
      <c r="A665" s="17" t="s">
        <v>66</v>
      </c>
      <c r="B665" s="20">
        <v>40</v>
      </c>
      <c r="C665" s="22">
        <v>407</v>
      </c>
      <c r="D665" s="22" t="s"/>
      <c r="E665" s="28" t="s">
        <v>67</v>
      </c>
      <c r="F665" s="21" t="s">
        <v>95</v>
      </c>
      <c r="G665" s="19" t="s">
        <v>2554</v>
      </c>
      <c r="H665" s="29" t="s"/>
      <c r="I665" s="19" t="s">
        <v>2554</v>
      </c>
      <c r="J665" s="27" t="s"/>
    </row>
    <row r="666" spans="1:10" ht="54">
      <c r="A666" s="17" t="s">
        <v>66</v>
      </c>
      <c r="B666" s="20">
        <v>40</v>
      </c>
      <c r="C666" s="22">
        <v>407</v>
      </c>
      <c r="D666" s="22">
        <v>4071</v>
      </c>
      <c r="E666" s="28" t="s">
        <v>67</v>
      </c>
      <c r="F666" s="21" t="s">
        <v>95</v>
      </c>
      <c r="G666" s="19" t="s">
        <v>2554</v>
      </c>
      <c r="H666" s="19" t="s">
        <v>2555</v>
      </c>
      <c r="I666" s="19" t="s">
        <v>2555</v>
      </c>
      <c r="J666" s="19" t="s">
        <v>2556</v>
      </c>
    </row>
    <row r="667" spans="1:10" ht="54">
      <c r="A667" s="17" t="s">
        <v>66</v>
      </c>
      <c r="B667" s="20">
        <v>40</v>
      </c>
      <c r="C667" s="22">
        <v>407</v>
      </c>
      <c r="D667" s="22">
        <v>4072</v>
      </c>
      <c r="E667" s="28" t="s">
        <v>67</v>
      </c>
      <c r="F667" s="21" t="s">
        <v>95</v>
      </c>
      <c r="G667" s="19" t="s">
        <v>2554</v>
      </c>
      <c r="H667" s="19" t="s">
        <v>2557</v>
      </c>
      <c r="I667" s="19" t="s">
        <v>2557</v>
      </c>
      <c r="J667" s="19" t="s">
        <v>2558</v>
      </c>
    </row>
    <row r="668" spans="1:10" ht="54">
      <c r="A668" s="17" t="s">
        <v>66</v>
      </c>
      <c r="B668" s="20">
        <v>40</v>
      </c>
      <c r="C668" s="22">
        <v>409</v>
      </c>
      <c r="D668" s="22">
        <v>4090</v>
      </c>
      <c r="E668" s="28" t="s">
        <v>67</v>
      </c>
      <c r="F668" s="21" t="s">
        <v>95</v>
      </c>
      <c r="G668" s="19" t="s">
        <v>2559</v>
      </c>
      <c r="H668" s="19" t="s">
        <v>2559</v>
      </c>
      <c r="I668" s="19" t="s">
        <v>2559</v>
      </c>
      <c r="J668" s="19" t="s">
        <v>2560</v>
      </c>
    </row>
    <row r="669" spans="1:10" ht="43.2">
      <c r="A669" s="17" t="s">
        <v>66</v>
      </c>
      <c r="B669" s="20">
        <v>41</v>
      </c>
      <c r="C669" s="20" t="s"/>
      <c r="D669" s="20" t="s"/>
      <c r="E669" s="28" t="s">
        <v>67</v>
      </c>
      <c r="F669" s="21" t="s">
        <v>96</v>
      </c>
      <c r="G669" s="20" t="s"/>
      <c r="H669" s="29" t="s"/>
      <c r="I669" s="21" t="s">
        <v>96</v>
      </c>
      <c r="J669" s="27" t="s"/>
    </row>
    <row r="670" spans="1:10" ht="43.2">
      <c r="A670" s="17" t="s">
        <v>66</v>
      </c>
      <c r="B670" s="20">
        <v>41</v>
      </c>
      <c r="C670" s="22">
        <v>411</v>
      </c>
      <c r="D670" s="22" t="s"/>
      <c r="E670" s="28" t="s">
        <v>67</v>
      </c>
      <c r="F670" s="21" t="s">
        <v>96</v>
      </c>
      <c r="G670" s="19" t="s">
        <v>2561</v>
      </c>
      <c r="H670" s="29" t="s"/>
      <c r="I670" s="19" t="s">
        <v>2561</v>
      </c>
      <c r="J670" s="27" t="s"/>
    </row>
    <row r="671" spans="1:10" ht="43.2">
      <c r="A671" s="17" t="s">
        <v>66</v>
      </c>
      <c r="B671" s="20">
        <v>41</v>
      </c>
      <c r="C671" s="22">
        <v>411</v>
      </c>
      <c r="D671" s="22">
        <v>4111</v>
      </c>
      <c r="E671" s="28" t="s">
        <v>67</v>
      </c>
      <c r="F671" s="21" t="s">
        <v>96</v>
      </c>
      <c r="G671" s="19" t="s">
        <v>2561</v>
      </c>
      <c r="H671" s="19" t="s">
        <v>2562</v>
      </c>
      <c r="I671" s="19" t="s">
        <v>2562</v>
      </c>
      <c r="J671" s="19" t="s">
        <v>2563</v>
      </c>
    </row>
    <row r="672" spans="1:10" ht="43.2">
      <c r="A672" s="17" t="s">
        <v>66</v>
      </c>
      <c r="B672" s="20">
        <v>41</v>
      </c>
      <c r="C672" s="22">
        <v>411</v>
      </c>
      <c r="D672" s="22">
        <v>4112</v>
      </c>
      <c r="E672" s="28" t="s">
        <v>67</v>
      </c>
      <c r="F672" s="21" t="s">
        <v>96</v>
      </c>
      <c r="G672" s="19" t="s">
        <v>2561</v>
      </c>
      <c r="H672" s="19" t="s">
        <v>2564</v>
      </c>
      <c r="I672" s="19" t="s">
        <v>2564</v>
      </c>
      <c r="J672" s="19" t="s">
        <v>2565</v>
      </c>
    </row>
    <row r="673" spans="1:10" ht="43.2">
      <c r="A673" s="17" t="s">
        <v>66</v>
      </c>
      <c r="B673" s="20">
        <v>41</v>
      </c>
      <c r="C673" s="22">
        <v>411</v>
      </c>
      <c r="D673" s="22">
        <v>4113</v>
      </c>
      <c r="E673" s="28" t="s">
        <v>67</v>
      </c>
      <c r="F673" s="21" t="s">
        <v>96</v>
      </c>
      <c r="G673" s="19" t="s">
        <v>2561</v>
      </c>
      <c r="H673" s="19" t="s">
        <v>2566</v>
      </c>
      <c r="I673" s="19" t="s">
        <v>2566</v>
      </c>
      <c r="J673" s="19" t="s">
        <v>2567</v>
      </c>
    </row>
    <row r="674" spans="1:10" ht="43.2">
      <c r="A674" s="17" t="s">
        <v>66</v>
      </c>
      <c r="B674" s="20">
        <v>41</v>
      </c>
      <c r="C674" s="22">
        <v>411</v>
      </c>
      <c r="D674" s="22">
        <v>4114</v>
      </c>
      <c r="E674" s="28" t="s">
        <v>67</v>
      </c>
      <c r="F674" s="21" t="s">
        <v>96</v>
      </c>
      <c r="G674" s="19" t="s">
        <v>2561</v>
      </c>
      <c r="H674" s="19" t="s">
        <v>2568</v>
      </c>
      <c r="I674" s="19" t="s">
        <v>2568</v>
      </c>
      <c r="J674" s="19" t="s">
        <v>2569</v>
      </c>
    </row>
    <row r="675" spans="1:10" ht="43.2">
      <c r="A675" s="17" t="s">
        <v>66</v>
      </c>
      <c r="B675" s="20">
        <v>41</v>
      </c>
      <c r="C675" s="22">
        <v>411</v>
      </c>
      <c r="D675" s="22">
        <v>4115</v>
      </c>
      <c r="E675" s="28" t="s">
        <v>67</v>
      </c>
      <c r="F675" s="21" t="s">
        <v>96</v>
      </c>
      <c r="G675" s="19" t="s">
        <v>2561</v>
      </c>
      <c r="H675" s="19" t="s">
        <v>2570</v>
      </c>
      <c r="I675" s="19" t="s">
        <v>2570</v>
      </c>
      <c r="J675" s="19" t="s">
        <v>2571</v>
      </c>
    </row>
    <row r="676" spans="1:10" ht="43.2">
      <c r="A676" s="17" t="s">
        <v>66</v>
      </c>
      <c r="B676" s="20">
        <v>41</v>
      </c>
      <c r="C676" s="22">
        <v>411</v>
      </c>
      <c r="D676" s="22">
        <v>4119</v>
      </c>
      <c r="E676" s="28" t="s">
        <v>67</v>
      </c>
      <c r="F676" s="21" t="s">
        <v>96</v>
      </c>
      <c r="G676" s="19" t="s">
        <v>2561</v>
      </c>
      <c r="H676" s="19" t="s">
        <v>2572</v>
      </c>
      <c r="I676" s="19" t="s">
        <v>2572</v>
      </c>
      <c r="J676" s="19" t="s">
        <v>2573</v>
      </c>
    </row>
    <row r="677" spans="1:10" ht="43.2">
      <c r="A677" s="17" t="s">
        <v>66</v>
      </c>
      <c r="B677" s="20">
        <v>41</v>
      </c>
      <c r="C677" s="22">
        <v>412</v>
      </c>
      <c r="D677" s="22" t="s"/>
      <c r="E677" s="28" t="s">
        <v>67</v>
      </c>
      <c r="F677" s="21" t="s">
        <v>96</v>
      </c>
      <c r="G677" s="19" t="s">
        <v>2574</v>
      </c>
      <c r="H677" s="29" t="s"/>
      <c r="I677" s="19" t="s">
        <v>2574</v>
      </c>
      <c r="J677" s="27" t="s"/>
    </row>
    <row r="678" spans="1:10" ht="43.2">
      <c r="A678" s="17" t="s">
        <v>66</v>
      </c>
      <c r="B678" s="20">
        <v>41</v>
      </c>
      <c r="C678" s="22">
        <v>412</v>
      </c>
      <c r="D678" s="22">
        <v>4121</v>
      </c>
      <c r="E678" s="28" t="s">
        <v>67</v>
      </c>
      <c r="F678" s="21" t="s">
        <v>96</v>
      </c>
      <c r="G678" s="19" t="s">
        <v>2574</v>
      </c>
      <c r="H678" s="19" t="s">
        <v>2575</v>
      </c>
      <c r="I678" s="19" t="s">
        <v>2575</v>
      </c>
      <c r="J678" s="19" t="s">
        <v>2576</v>
      </c>
    </row>
    <row r="679" spans="1:10" ht="43.2">
      <c r="A679" s="17" t="s">
        <v>66</v>
      </c>
      <c r="B679" s="20">
        <v>41</v>
      </c>
      <c r="C679" s="22">
        <v>412</v>
      </c>
      <c r="D679" s="22">
        <v>4122</v>
      </c>
      <c r="E679" s="28" t="s">
        <v>67</v>
      </c>
      <c r="F679" s="21" t="s">
        <v>96</v>
      </c>
      <c r="G679" s="19" t="s">
        <v>2574</v>
      </c>
      <c r="H679" s="19" t="s">
        <v>2577</v>
      </c>
      <c r="I679" s="19" t="s">
        <v>2577</v>
      </c>
      <c r="J679" s="19" t="s">
        <v>2578</v>
      </c>
    </row>
    <row r="680" spans="1:10" ht="43.2">
      <c r="A680" s="17" t="s">
        <v>66</v>
      </c>
      <c r="B680" s="20">
        <v>41</v>
      </c>
      <c r="C680" s="22">
        <v>412</v>
      </c>
      <c r="D680" s="22">
        <v>4123</v>
      </c>
      <c r="E680" s="28" t="s">
        <v>67</v>
      </c>
      <c r="F680" s="21" t="s">
        <v>96</v>
      </c>
      <c r="G680" s="19" t="s">
        <v>2574</v>
      </c>
      <c r="H680" s="19" t="s">
        <v>2579</v>
      </c>
      <c r="I680" s="19" t="s">
        <v>2579</v>
      </c>
      <c r="J680" s="19" t="s">
        <v>2580</v>
      </c>
    </row>
    <row r="681" spans="1:10" ht="43.2">
      <c r="A681" s="17" t="s">
        <v>66</v>
      </c>
      <c r="B681" s="20">
        <v>41</v>
      </c>
      <c r="C681" s="22">
        <v>412</v>
      </c>
      <c r="D681" s="22">
        <v>4124</v>
      </c>
      <c r="E681" s="28" t="s">
        <v>67</v>
      </c>
      <c r="F681" s="21" t="s">
        <v>96</v>
      </c>
      <c r="G681" s="19" t="s">
        <v>2574</v>
      </c>
      <c r="H681" s="19" t="s">
        <v>2581</v>
      </c>
      <c r="I681" s="19" t="s">
        <v>2581</v>
      </c>
      <c r="J681" s="19" t="s">
        <v>2582</v>
      </c>
    </row>
    <row r="682" spans="1:10" ht="43.2">
      <c r="A682" s="17" t="s">
        <v>66</v>
      </c>
      <c r="B682" s="20">
        <v>41</v>
      </c>
      <c r="C682" s="22">
        <v>412</v>
      </c>
      <c r="D682" s="22">
        <v>4125</v>
      </c>
      <c r="E682" s="28" t="s">
        <v>67</v>
      </c>
      <c r="F682" s="21" t="s">
        <v>96</v>
      </c>
      <c r="G682" s="19" t="s">
        <v>2574</v>
      </c>
      <c r="H682" s="19" t="s">
        <v>2583</v>
      </c>
      <c r="I682" s="19" t="s">
        <v>2583</v>
      </c>
      <c r="J682" s="19" t="s">
        <v>2584</v>
      </c>
    </row>
    <row r="683" spans="1:10" ht="43.2">
      <c r="A683" s="17" t="s">
        <v>66</v>
      </c>
      <c r="B683" s="20">
        <v>41</v>
      </c>
      <c r="C683" s="22">
        <v>412</v>
      </c>
      <c r="D683" s="22">
        <v>4126</v>
      </c>
      <c r="E683" s="28" t="s">
        <v>67</v>
      </c>
      <c r="F683" s="21" t="s">
        <v>96</v>
      </c>
      <c r="G683" s="19" t="s">
        <v>2574</v>
      </c>
      <c r="H683" s="19" t="s">
        <v>2585</v>
      </c>
      <c r="I683" s="19" t="s">
        <v>2585</v>
      </c>
      <c r="J683" s="19" t="s">
        <v>2586</v>
      </c>
    </row>
    <row r="684" spans="1:10" ht="43.2">
      <c r="A684" s="17" t="s">
        <v>66</v>
      </c>
      <c r="B684" s="20">
        <v>41</v>
      </c>
      <c r="C684" s="22">
        <v>412</v>
      </c>
      <c r="D684" s="22">
        <v>4127</v>
      </c>
      <c r="E684" s="28" t="s">
        <v>67</v>
      </c>
      <c r="F684" s="21" t="s">
        <v>96</v>
      </c>
      <c r="G684" s="19" t="s">
        <v>2574</v>
      </c>
      <c r="H684" s="19" t="s">
        <v>2587</v>
      </c>
      <c r="I684" s="19" t="s">
        <v>2587</v>
      </c>
      <c r="J684" s="19" t="s">
        <v>2588</v>
      </c>
    </row>
    <row r="685" spans="1:10" ht="43.2">
      <c r="A685" s="17" t="s">
        <v>66</v>
      </c>
      <c r="B685" s="20">
        <v>41</v>
      </c>
      <c r="C685" s="22">
        <v>412</v>
      </c>
      <c r="D685" s="22">
        <v>4128</v>
      </c>
      <c r="E685" s="28" t="s">
        <v>67</v>
      </c>
      <c r="F685" s="21" t="s">
        <v>96</v>
      </c>
      <c r="G685" s="19" t="s">
        <v>2574</v>
      </c>
      <c r="H685" s="19" t="s">
        <v>2589</v>
      </c>
      <c r="I685" s="19" t="s">
        <v>2589</v>
      </c>
      <c r="J685" s="19" t="s">
        <v>2590</v>
      </c>
    </row>
    <row r="686" spans="1:10" ht="43.2">
      <c r="A686" s="17" t="s">
        <v>66</v>
      </c>
      <c r="B686" s="20">
        <v>41</v>
      </c>
      <c r="C686" s="22">
        <v>412</v>
      </c>
      <c r="D686" s="22">
        <v>4129</v>
      </c>
      <c r="E686" s="28" t="s">
        <v>67</v>
      </c>
      <c r="F686" s="21" t="s">
        <v>96</v>
      </c>
      <c r="G686" s="19" t="s">
        <v>2574</v>
      </c>
      <c r="H686" s="19" t="s">
        <v>2591</v>
      </c>
      <c r="I686" s="19" t="s">
        <v>2591</v>
      </c>
      <c r="J686" s="19" t="s">
        <v>2592</v>
      </c>
    </row>
    <row r="687" spans="1:10" ht="43.2">
      <c r="A687" s="17" t="s">
        <v>66</v>
      </c>
      <c r="B687" s="20">
        <v>41</v>
      </c>
      <c r="C687" s="22">
        <v>413</v>
      </c>
      <c r="D687" s="22">
        <v>4130</v>
      </c>
      <c r="E687" s="28" t="s">
        <v>67</v>
      </c>
      <c r="F687" s="21" t="s">
        <v>96</v>
      </c>
      <c r="G687" s="19" t="s">
        <v>2593</v>
      </c>
      <c r="H687" s="19" t="s">
        <v>2593</v>
      </c>
      <c r="I687" s="19" t="s">
        <v>2593</v>
      </c>
      <c r="J687" s="19" t="s">
        <v>2594</v>
      </c>
    </row>
    <row r="688" spans="1:10" ht="43.2">
      <c r="A688" s="17" t="s">
        <v>66</v>
      </c>
      <c r="B688" s="20">
        <v>41</v>
      </c>
      <c r="C688" s="22">
        <v>414</v>
      </c>
      <c r="D688" s="22" t="s"/>
      <c r="E688" s="28" t="s">
        <v>67</v>
      </c>
      <c r="F688" s="21" t="s">
        <v>96</v>
      </c>
      <c r="G688" s="19" t="s">
        <v>2595</v>
      </c>
      <c r="H688" s="29" t="s"/>
      <c r="I688" s="19" t="s">
        <v>2595</v>
      </c>
      <c r="J688" s="19" t="s"/>
    </row>
    <row r="689" spans="1:10" ht="43.2">
      <c r="A689" s="17" t="s">
        <v>66</v>
      </c>
      <c r="B689" s="20">
        <v>41</v>
      </c>
      <c r="C689" s="22">
        <v>414</v>
      </c>
      <c r="D689" s="22">
        <v>4141</v>
      </c>
      <c r="E689" s="28" t="s">
        <v>67</v>
      </c>
      <c r="F689" s="21" t="s">
        <v>96</v>
      </c>
      <c r="G689" s="19" t="s">
        <v>2595</v>
      </c>
      <c r="H689" s="19" t="s">
        <v>2596</v>
      </c>
      <c r="I689" s="19" t="s">
        <v>2596</v>
      </c>
      <c r="J689" s="19" t="s">
        <v>2597</v>
      </c>
    </row>
    <row r="690" spans="1:10" ht="43.2">
      <c r="A690" s="17" t="s">
        <v>66</v>
      </c>
      <c r="B690" s="20">
        <v>41</v>
      </c>
      <c r="C690" s="22">
        <v>414</v>
      </c>
      <c r="D690" s="22">
        <v>4142</v>
      </c>
      <c r="E690" s="28" t="s">
        <v>67</v>
      </c>
      <c r="F690" s="21" t="s">
        <v>96</v>
      </c>
      <c r="G690" s="19" t="s">
        <v>2595</v>
      </c>
      <c r="H690" s="19" t="s">
        <v>2598</v>
      </c>
      <c r="I690" s="19" t="s">
        <v>2598</v>
      </c>
      <c r="J690" s="19" t="s">
        <v>2599</v>
      </c>
    </row>
    <row r="691" spans="1:10" ht="43.2">
      <c r="A691" s="17" t="s">
        <v>66</v>
      </c>
      <c r="B691" s="20">
        <v>41</v>
      </c>
      <c r="C691" s="22">
        <v>415</v>
      </c>
      <c r="D691" s="22" t="s"/>
      <c r="E691" s="28" t="s">
        <v>67</v>
      </c>
      <c r="F691" s="21" t="s">
        <v>96</v>
      </c>
      <c r="G691" s="19" t="s">
        <v>2600</v>
      </c>
      <c r="H691" s="29" t="s"/>
      <c r="I691" s="19" t="s">
        <v>2600</v>
      </c>
      <c r="J691" s="27" t="s"/>
    </row>
    <row r="692" spans="1:10" ht="43.2">
      <c r="A692" s="17" t="s">
        <v>66</v>
      </c>
      <c r="B692" s="20">
        <v>41</v>
      </c>
      <c r="C692" s="22">
        <v>415</v>
      </c>
      <c r="D692" s="22">
        <v>4151</v>
      </c>
      <c r="E692" s="28" t="s">
        <v>67</v>
      </c>
      <c r="F692" s="21" t="s">
        <v>96</v>
      </c>
      <c r="G692" s="19" t="s">
        <v>2600</v>
      </c>
      <c r="H692" s="19" t="s">
        <v>2601</v>
      </c>
      <c r="I692" s="19" t="s">
        <v>2601</v>
      </c>
      <c r="J692" s="19" t="s">
        <v>2602</v>
      </c>
    </row>
    <row r="693" spans="1:10" ht="43.2">
      <c r="A693" s="17" t="s">
        <v>66</v>
      </c>
      <c r="B693" s="20">
        <v>41</v>
      </c>
      <c r="C693" s="22">
        <v>415</v>
      </c>
      <c r="D693" s="22">
        <v>4152</v>
      </c>
      <c r="E693" s="28" t="s">
        <v>67</v>
      </c>
      <c r="F693" s="21" t="s">
        <v>96</v>
      </c>
      <c r="G693" s="19" t="s">
        <v>2600</v>
      </c>
      <c r="H693" s="19" t="s">
        <v>2603</v>
      </c>
      <c r="I693" s="19" t="s">
        <v>2603</v>
      </c>
      <c r="J693" s="19" t="s">
        <v>2604</v>
      </c>
    </row>
    <row r="694" spans="1:10" ht="43.2">
      <c r="A694" s="17" t="s">
        <v>66</v>
      </c>
      <c r="B694" s="20">
        <v>41</v>
      </c>
      <c r="C694" s="22">
        <v>415</v>
      </c>
      <c r="D694" s="22">
        <v>4153</v>
      </c>
      <c r="E694" s="28" t="s">
        <v>67</v>
      </c>
      <c r="F694" s="21" t="s">
        <v>96</v>
      </c>
      <c r="G694" s="19" t="s">
        <v>2600</v>
      </c>
      <c r="H694" s="19" t="s">
        <v>2605</v>
      </c>
      <c r="I694" s="19" t="s">
        <v>2605</v>
      </c>
      <c r="J694" s="19" t="s">
        <v>2606</v>
      </c>
    </row>
    <row r="695" spans="1:10" ht="43.2">
      <c r="A695" s="17" t="s">
        <v>66</v>
      </c>
      <c r="B695" s="20">
        <v>41</v>
      </c>
      <c r="C695" s="22">
        <v>415</v>
      </c>
      <c r="D695" s="22">
        <v>4154</v>
      </c>
      <c r="E695" s="28" t="s">
        <v>67</v>
      </c>
      <c r="F695" s="21" t="s">
        <v>96</v>
      </c>
      <c r="G695" s="19" t="s">
        <v>2600</v>
      </c>
      <c r="H695" s="19" t="s">
        <v>2607</v>
      </c>
      <c r="I695" s="19" t="s">
        <v>2607</v>
      </c>
      <c r="J695" s="19" t="s">
        <v>2608</v>
      </c>
    </row>
    <row r="696" spans="1:10" ht="43.2">
      <c r="A696" s="17" t="s">
        <v>66</v>
      </c>
      <c r="B696" s="20">
        <v>41</v>
      </c>
      <c r="C696" s="22">
        <v>415</v>
      </c>
      <c r="D696" s="22">
        <v>4155</v>
      </c>
      <c r="E696" s="28" t="s">
        <v>67</v>
      </c>
      <c r="F696" s="21" t="s">
        <v>96</v>
      </c>
      <c r="G696" s="19" t="s">
        <v>2600</v>
      </c>
      <c r="H696" s="19" t="s">
        <v>2609</v>
      </c>
      <c r="I696" s="19" t="s">
        <v>2609</v>
      </c>
      <c r="J696" s="19" t="s">
        <v>2610</v>
      </c>
    </row>
    <row r="697" spans="1:10" ht="43.2">
      <c r="A697" s="17" t="s">
        <v>66</v>
      </c>
      <c r="B697" s="20">
        <v>41</v>
      </c>
      <c r="C697" s="22">
        <v>415</v>
      </c>
      <c r="D697" s="22">
        <v>4159</v>
      </c>
      <c r="E697" s="28" t="s">
        <v>67</v>
      </c>
      <c r="F697" s="21" t="s">
        <v>96</v>
      </c>
      <c r="G697" s="19" t="s">
        <v>2600</v>
      </c>
      <c r="H697" s="19" t="s">
        <v>2611</v>
      </c>
      <c r="I697" s="19" t="s">
        <v>2611</v>
      </c>
      <c r="J697" s="27" t="s"/>
    </row>
    <row r="698" spans="1:10" ht="43.2">
      <c r="A698" s="17" t="s">
        <v>66</v>
      </c>
      <c r="B698" s="20">
        <v>41</v>
      </c>
      <c r="C698" s="22">
        <v>419</v>
      </c>
      <c r="D698" s="22">
        <v>4190</v>
      </c>
      <c r="E698" s="28" t="s">
        <v>67</v>
      </c>
      <c r="F698" s="21" t="s">
        <v>96</v>
      </c>
      <c r="G698" s="19" t="s">
        <v>2612</v>
      </c>
      <c r="H698" s="19" t="s">
        <v>2612</v>
      </c>
      <c r="I698" s="19" t="s">
        <v>2612</v>
      </c>
      <c r="J698" s="19" t="s">
        <v>2613</v>
      </c>
    </row>
    <row r="699" spans="1:10" ht="32.4">
      <c r="A699" s="17" t="s">
        <v>66</v>
      </c>
      <c r="B699" s="20">
        <v>42</v>
      </c>
      <c r="C699" s="20" t="s"/>
      <c r="D699" s="20" t="s"/>
      <c r="E699" s="28" t="s">
        <v>67</v>
      </c>
      <c r="F699" s="21" t="s">
        <v>97</v>
      </c>
      <c r="G699" s="20" t="s"/>
      <c r="H699" s="29" t="s"/>
      <c r="I699" s="21" t="s">
        <v>97</v>
      </c>
      <c r="J699" s="27" t="s"/>
    </row>
    <row r="700" spans="1:10" ht="32.4">
      <c r="A700" s="17" t="s">
        <v>66</v>
      </c>
      <c r="B700" s="20">
        <v>42</v>
      </c>
      <c r="C700" s="22">
        <v>421</v>
      </c>
      <c r="D700" s="20" t="s"/>
      <c r="E700" s="28" t="s">
        <v>67</v>
      </c>
      <c r="F700" s="21" t="s">
        <v>97</v>
      </c>
      <c r="G700" s="19" t="s">
        <v>2614</v>
      </c>
      <c r="H700" s="29" t="s"/>
      <c r="I700" s="19" t="s">
        <v>2614</v>
      </c>
      <c r="J700" s="27" t="s"/>
    </row>
    <row r="701" spans="1:10" ht="44.4">
      <c r="A701" s="17" t="s">
        <v>66</v>
      </c>
      <c r="B701" s="20">
        <v>42</v>
      </c>
      <c r="C701" s="22">
        <v>421</v>
      </c>
      <c r="D701" s="22">
        <v>4211</v>
      </c>
      <c r="E701" s="28" t="s">
        <v>67</v>
      </c>
      <c r="F701" s="21" t="s">
        <v>97</v>
      </c>
      <c r="G701" s="19" t="s">
        <v>2614</v>
      </c>
      <c r="H701" s="19" t="s">
        <v>2615</v>
      </c>
      <c r="I701" s="19" t="s">
        <v>2615</v>
      </c>
      <c r="J701" s="19" t="s">
        <v>2616</v>
      </c>
    </row>
    <row r="702" spans="1:10" ht="44.4">
      <c r="A702" s="17" t="s">
        <v>66</v>
      </c>
      <c r="B702" s="20">
        <v>42</v>
      </c>
      <c r="C702" s="22">
        <v>421</v>
      </c>
      <c r="D702" s="22">
        <v>4212</v>
      </c>
      <c r="E702" s="28" t="s">
        <v>67</v>
      </c>
      <c r="F702" s="21" t="s">
        <v>97</v>
      </c>
      <c r="G702" s="19" t="s">
        <v>2614</v>
      </c>
      <c r="H702" s="19" t="s">
        <v>2617</v>
      </c>
      <c r="I702" s="19" t="s">
        <v>2617</v>
      </c>
      <c r="J702" s="19" t="s">
        <v>2618</v>
      </c>
    </row>
    <row r="703" spans="1:10" ht="33.6">
      <c r="A703" s="17" t="s">
        <v>66</v>
      </c>
      <c r="B703" s="20">
        <v>42</v>
      </c>
      <c r="C703" s="22">
        <v>421</v>
      </c>
      <c r="D703" s="22">
        <v>4213</v>
      </c>
      <c r="E703" s="28" t="s">
        <v>67</v>
      </c>
      <c r="F703" s="21" t="s">
        <v>97</v>
      </c>
      <c r="G703" s="19" t="s">
        <v>2614</v>
      </c>
      <c r="H703" s="19" t="s">
        <v>2619</v>
      </c>
      <c r="I703" s="19" t="s">
        <v>2619</v>
      </c>
      <c r="J703" s="19" t="s">
        <v>2620</v>
      </c>
    </row>
    <row r="704" spans="1:10" ht="44.4">
      <c r="A704" s="17" t="s">
        <v>66</v>
      </c>
      <c r="B704" s="20">
        <v>42</v>
      </c>
      <c r="C704" s="22">
        <v>421</v>
      </c>
      <c r="D704" s="22">
        <v>4214</v>
      </c>
      <c r="E704" s="28" t="s">
        <v>67</v>
      </c>
      <c r="F704" s="21" t="s">
        <v>97</v>
      </c>
      <c r="G704" s="19" t="s">
        <v>2614</v>
      </c>
      <c r="H704" s="19" t="s">
        <v>2621</v>
      </c>
      <c r="I704" s="19" t="s">
        <v>2621</v>
      </c>
      <c r="J704" s="19" t="s">
        <v>2622</v>
      </c>
    </row>
    <row r="705" spans="1:10" ht="33.6">
      <c r="A705" s="17" t="s">
        <v>66</v>
      </c>
      <c r="B705" s="20">
        <v>42</v>
      </c>
      <c r="C705" s="22">
        <v>421</v>
      </c>
      <c r="D705" s="22">
        <v>4215</v>
      </c>
      <c r="E705" s="28" t="s">
        <v>67</v>
      </c>
      <c r="F705" s="21" t="s">
        <v>97</v>
      </c>
      <c r="G705" s="19" t="s">
        <v>2614</v>
      </c>
      <c r="H705" s="19" t="s">
        <v>2623</v>
      </c>
      <c r="I705" s="19" t="s">
        <v>2623</v>
      </c>
      <c r="J705" s="19" t="s">
        <v>2624</v>
      </c>
    </row>
    <row r="706" spans="1:10" ht="44.4">
      <c r="A706" s="17" t="s">
        <v>66</v>
      </c>
      <c r="B706" s="20">
        <v>42</v>
      </c>
      <c r="C706" s="22">
        <v>421</v>
      </c>
      <c r="D706" s="22">
        <v>4216</v>
      </c>
      <c r="E706" s="28" t="s">
        <v>67</v>
      </c>
      <c r="F706" s="21" t="s">
        <v>97</v>
      </c>
      <c r="G706" s="19" t="s">
        <v>2614</v>
      </c>
      <c r="H706" s="19" t="s">
        <v>2625</v>
      </c>
      <c r="I706" s="19" t="s">
        <v>2625</v>
      </c>
      <c r="J706" s="19" t="s">
        <v>2626</v>
      </c>
    </row>
    <row r="707" spans="1:10" ht="33.6">
      <c r="A707" s="17" t="s">
        <v>66</v>
      </c>
      <c r="B707" s="20">
        <v>42</v>
      </c>
      <c r="C707" s="22">
        <v>421</v>
      </c>
      <c r="D707" s="22">
        <v>4217</v>
      </c>
      <c r="E707" s="28" t="s">
        <v>67</v>
      </c>
      <c r="F707" s="21" t="s">
        <v>97</v>
      </c>
      <c r="G707" s="19" t="s">
        <v>2614</v>
      </c>
      <c r="H707" s="19" t="s">
        <v>2627</v>
      </c>
      <c r="I707" s="19" t="s">
        <v>2627</v>
      </c>
      <c r="J707" s="19" t="s">
        <v>2628</v>
      </c>
    </row>
    <row r="708" spans="1:10" ht="33.6">
      <c r="A708" s="17" t="s">
        <v>66</v>
      </c>
      <c r="B708" s="20">
        <v>42</v>
      </c>
      <c r="C708" s="22">
        <v>421</v>
      </c>
      <c r="D708" s="22">
        <v>4218</v>
      </c>
      <c r="E708" s="28" t="s">
        <v>67</v>
      </c>
      <c r="F708" s="21" t="s">
        <v>97</v>
      </c>
      <c r="G708" s="19" t="s">
        <v>2614</v>
      </c>
      <c r="H708" s="19" t="s">
        <v>2629</v>
      </c>
      <c r="I708" s="19" t="s">
        <v>2629</v>
      </c>
      <c r="J708" s="19" t="s">
        <v>2630</v>
      </c>
    </row>
    <row r="709" spans="1:10" ht="32.4">
      <c r="A709" s="17" t="s">
        <v>66</v>
      </c>
      <c r="B709" s="20">
        <v>42</v>
      </c>
      <c r="C709" s="22">
        <v>421</v>
      </c>
      <c r="D709" s="22">
        <v>4219</v>
      </c>
      <c r="E709" s="28" t="s">
        <v>67</v>
      </c>
      <c r="F709" s="21" t="s">
        <v>97</v>
      </c>
      <c r="G709" s="19" t="s">
        <v>2614</v>
      </c>
      <c r="H709" s="19" t="s">
        <v>2631</v>
      </c>
      <c r="I709" s="19" t="s">
        <v>2631</v>
      </c>
      <c r="J709" s="27" t="s"/>
    </row>
    <row r="710" spans="1:10" ht="32.4">
      <c r="A710" s="17" t="s">
        <v>66</v>
      </c>
      <c r="B710" s="20">
        <v>42</v>
      </c>
      <c r="C710" s="22">
        <v>422</v>
      </c>
      <c r="D710" s="22" t="s"/>
      <c r="E710" s="28" t="s">
        <v>67</v>
      </c>
      <c r="F710" s="21" t="s">
        <v>97</v>
      </c>
      <c r="G710" s="19" t="s">
        <v>2632</v>
      </c>
      <c r="H710" s="29" t="s"/>
      <c r="I710" s="19" t="s">
        <v>2632</v>
      </c>
      <c r="J710" s="27" t="s"/>
    </row>
    <row r="711" spans="1:10" ht="32.4">
      <c r="A711" s="17" t="s">
        <v>66</v>
      </c>
      <c r="B711" s="20">
        <v>42</v>
      </c>
      <c r="C711" s="22">
        <v>422</v>
      </c>
      <c r="D711" s="22">
        <v>4221</v>
      </c>
      <c r="E711" s="28" t="s">
        <v>67</v>
      </c>
      <c r="F711" s="21" t="s">
        <v>97</v>
      </c>
      <c r="G711" s="19" t="s">
        <v>2632</v>
      </c>
      <c r="H711" s="19" t="s">
        <v>2633</v>
      </c>
      <c r="I711" s="19" t="s">
        <v>2633</v>
      </c>
      <c r="J711" s="19" t="s">
        <v>2634</v>
      </c>
    </row>
    <row r="712" spans="1:10" ht="33.6">
      <c r="A712" s="17" t="s">
        <v>66</v>
      </c>
      <c r="B712" s="20">
        <v>42</v>
      </c>
      <c r="C712" s="22">
        <v>422</v>
      </c>
      <c r="D712" s="22">
        <v>4222</v>
      </c>
      <c r="E712" s="28" t="s">
        <v>67</v>
      </c>
      <c r="F712" s="21" t="s">
        <v>97</v>
      </c>
      <c r="G712" s="19" t="s">
        <v>2632</v>
      </c>
      <c r="H712" s="19" t="s">
        <v>2635</v>
      </c>
      <c r="I712" s="19" t="s">
        <v>2635</v>
      </c>
      <c r="J712" s="19" t="s">
        <v>2636</v>
      </c>
    </row>
    <row r="713" spans="1:10" ht="32.4">
      <c r="A713" s="17" t="s">
        <v>66</v>
      </c>
      <c r="B713" s="20">
        <v>42</v>
      </c>
      <c r="C713" s="22">
        <v>422</v>
      </c>
      <c r="D713" s="22">
        <v>4229</v>
      </c>
      <c r="E713" s="28" t="s">
        <v>67</v>
      </c>
      <c r="F713" s="21" t="s">
        <v>97</v>
      </c>
      <c r="G713" s="19" t="s">
        <v>2632</v>
      </c>
      <c r="H713" s="19" t="s">
        <v>2637</v>
      </c>
      <c r="I713" s="19" t="s">
        <v>2637</v>
      </c>
      <c r="J713" s="19" t="s">
        <v>2638</v>
      </c>
    </row>
    <row r="714" spans="1:10" ht="32.4">
      <c r="A714" s="17" t="s">
        <v>66</v>
      </c>
      <c r="B714" s="20">
        <v>42</v>
      </c>
      <c r="C714" s="22">
        <v>423</v>
      </c>
      <c r="D714" s="22">
        <v>4230</v>
      </c>
      <c r="E714" s="28" t="s">
        <v>67</v>
      </c>
      <c r="F714" s="21" t="s">
        <v>97</v>
      </c>
      <c r="G714" s="19" t="s">
        <v>2639</v>
      </c>
      <c r="H714" s="19" t="s">
        <v>2639</v>
      </c>
      <c r="I714" s="19" t="s">
        <v>2639</v>
      </c>
      <c r="J714" s="19" t="s">
        <v>2640</v>
      </c>
    </row>
    <row r="715" spans="1:10" ht="32.4">
      <c r="A715" s="17" t="s">
        <v>66</v>
      </c>
      <c r="B715" s="20">
        <v>42</v>
      </c>
      <c r="C715" s="22">
        <v>424</v>
      </c>
      <c r="D715" s="22">
        <v>4240</v>
      </c>
      <c r="E715" s="28" t="s">
        <v>67</v>
      </c>
      <c r="F715" s="21" t="s">
        <v>97</v>
      </c>
      <c r="G715" s="19" t="s">
        <v>2641</v>
      </c>
      <c r="H715" s="19" t="s">
        <v>2641</v>
      </c>
      <c r="I715" s="19" t="s">
        <v>2641</v>
      </c>
      <c r="J715" s="19" t="s">
        <v>2642</v>
      </c>
    </row>
    <row r="716" spans="1:10" ht="32.4">
      <c r="A716" s="17" t="s">
        <v>66</v>
      </c>
      <c r="B716" s="20">
        <v>42</v>
      </c>
      <c r="C716" s="22">
        <v>429</v>
      </c>
      <c r="D716" s="22">
        <v>4290</v>
      </c>
      <c r="E716" s="28" t="s">
        <v>67</v>
      </c>
      <c r="F716" s="21" t="s">
        <v>97</v>
      </c>
      <c r="G716" s="19" t="s">
        <v>2643</v>
      </c>
      <c r="H716" s="19" t="s">
        <v>2643</v>
      </c>
      <c r="I716" s="19" t="s">
        <v>2643</v>
      </c>
      <c r="J716" s="27" t="s"/>
    </row>
    <row r="717" spans="1:10" ht="43.2">
      <c r="A717" s="17" t="s">
        <v>66</v>
      </c>
      <c r="B717" s="20">
        <v>43</v>
      </c>
      <c r="C717" s="20" t="s"/>
      <c r="D717" s="20" t="s"/>
      <c r="E717" s="28" t="s">
        <v>67</v>
      </c>
      <c r="F717" s="21" t="s">
        <v>98</v>
      </c>
      <c r="G717" s="20" t="s"/>
      <c r="H717" s="29" t="s"/>
      <c r="I717" s="21" t="s">
        <v>98</v>
      </c>
      <c r="J717" s="27" t="s"/>
    </row>
    <row r="718" spans="1:10" ht="43.2">
      <c r="A718" s="17" t="s">
        <v>66</v>
      </c>
      <c r="B718" s="20">
        <v>43</v>
      </c>
      <c r="C718" s="22">
        <v>431</v>
      </c>
      <c r="D718" s="22">
        <v>4310</v>
      </c>
      <c r="E718" s="28" t="s">
        <v>67</v>
      </c>
      <c r="F718" s="21" t="s">
        <v>98</v>
      </c>
      <c r="G718" s="19" t="s">
        <v>2644</v>
      </c>
      <c r="H718" s="19" t="s">
        <v>2644</v>
      </c>
      <c r="I718" s="19" t="s">
        <v>2644</v>
      </c>
      <c r="J718" s="19" t="s">
        <v>2645</v>
      </c>
    </row>
    <row r="719" spans="1:10" ht="43.2">
      <c r="A719" s="17" t="s">
        <v>66</v>
      </c>
      <c r="B719" s="20">
        <v>43</v>
      </c>
      <c r="C719" s="22">
        <v>432</v>
      </c>
      <c r="D719" s="22">
        <v>4320</v>
      </c>
      <c r="E719" s="28" t="s">
        <v>67</v>
      </c>
      <c r="F719" s="21" t="s">
        <v>98</v>
      </c>
      <c r="G719" s="19" t="s">
        <v>2646</v>
      </c>
      <c r="H719" s="19" t="s">
        <v>2646</v>
      </c>
      <c r="I719" s="19" t="s">
        <v>2646</v>
      </c>
      <c r="J719" s="19" t="s">
        <v>2647</v>
      </c>
    </row>
    <row r="720" spans="1:10" ht="43.2">
      <c r="A720" s="17" t="s">
        <v>99</v>
      </c>
      <c r="B720" s="17" t="s"/>
      <c r="C720" s="17" t="s"/>
      <c r="D720" s="17" t="s"/>
      <c r="E720" s="18" t="s">
        <v>100</v>
      </c>
      <c r="F720" s="17" t="s"/>
      <c r="G720" s="17" t="s"/>
      <c r="H720" s="29" t="s"/>
      <c r="I720" s="18" t="s">
        <v>100</v>
      </c>
      <c r="J720" s="19" t="s">
        <v>2648</v>
      </c>
    </row>
    <row r="721" spans="1:10" ht="43.2">
      <c r="A721" s="17" t="s">
        <v>99</v>
      </c>
      <c r="B721" s="20">
        <v>44</v>
      </c>
      <c r="C721" s="20" t="s"/>
      <c r="D721" s="20" t="s"/>
      <c r="E721" s="18" t="s">
        <v>100</v>
      </c>
      <c r="F721" s="21" t="s">
        <v>101</v>
      </c>
      <c r="G721" s="20" t="s"/>
      <c r="H721" s="29" t="s"/>
      <c r="I721" s="21" t="s">
        <v>101</v>
      </c>
      <c r="J721" s="27" t="s"/>
    </row>
    <row r="722" spans="1:10" ht="43.2">
      <c r="A722" s="17" t="s">
        <v>99</v>
      </c>
      <c r="B722" s="20">
        <v>44</v>
      </c>
      <c r="C722" s="22">
        <v>441</v>
      </c>
      <c r="D722" s="22" t="s"/>
      <c r="E722" s="18" t="s">
        <v>100</v>
      </c>
      <c r="F722" s="21" t="s">
        <v>101</v>
      </c>
      <c r="G722" s="19" t="s">
        <v>2649</v>
      </c>
      <c r="H722" s="29" t="s"/>
      <c r="I722" s="19" t="s">
        <v>2649</v>
      </c>
      <c r="J722" s="27" t="s"/>
    </row>
    <row r="723" spans="1:10" ht="43.2">
      <c r="A723" s="17" t="s">
        <v>99</v>
      </c>
      <c r="B723" s="20">
        <v>44</v>
      </c>
      <c r="C723" s="22">
        <v>441</v>
      </c>
      <c r="D723" s="22">
        <v>4411</v>
      </c>
      <c r="E723" s="18" t="s">
        <v>100</v>
      </c>
      <c r="F723" s="21" t="s">
        <v>101</v>
      </c>
      <c r="G723" s="19" t="s">
        <v>2649</v>
      </c>
      <c r="H723" s="19" t="s">
        <v>2650</v>
      </c>
      <c r="I723" s="19" t="s">
        <v>2650</v>
      </c>
      <c r="J723" s="19" t="s">
        <v>2651</v>
      </c>
    </row>
    <row r="724" spans="1:10" ht="43.2">
      <c r="A724" s="17" t="s">
        <v>99</v>
      </c>
      <c r="B724" s="20">
        <v>44</v>
      </c>
      <c r="C724" s="22">
        <v>441</v>
      </c>
      <c r="D724" s="22">
        <v>4412</v>
      </c>
      <c r="E724" s="18" t="s">
        <v>100</v>
      </c>
      <c r="F724" s="21" t="s">
        <v>101</v>
      </c>
      <c r="G724" s="19" t="s">
        <v>2649</v>
      </c>
      <c r="H724" s="19" t="s">
        <v>2652</v>
      </c>
      <c r="I724" s="19" t="s">
        <v>2652</v>
      </c>
      <c r="J724" s="19" t="s">
        <v>2653</v>
      </c>
    </row>
    <row r="725" spans="1:10" ht="43.2">
      <c r="A725" s="17" t="s">
        <v>99</v>
      </c>
      <c r="B725" s="20">
        <v>44</v>
      </c>
      <c r="C725" s="22">
        <v>441</v>
      </c>
      <c r="D725" s="22">
        <v>4413</v>
      </c>
      <c r="E725" s="18" t="s">
        <v>100</v>
      </c>
      <c r="F725" s="21" t="s">
        <v>101</v>
      </c>
      <c r="G725" s="19" t="s">
        <v>2649</v>
      </c>
      <c r="H725" s="19" t="s">
        <v>2654</v>
      </c>
      <c r="I725" s="19" t="s">
        <v>2654</v>
      </c>
      <c r="J725" s="19" t="s">
        <v>2655</v>
      </c>
    </row>
    <row r="726" spans="1:10" ht="43.2">
      <c r="A726" s="17" t="s">
        <v>99</v>
      </c>
      <c r="B726" s="20">
        <v>44</v>
      </c>
      <c r="C726" s="22">
        <v>441</v>
      </c>
      <c r="D726" s="22">
        <v>4419</v>
      </c>
      <c r="E726" s="18" t="s">
        <v>100</v>
      </c>
      <c r="F726" s="21" t="s">
        <v>101</v>
      </c>
      <c r="G726" s="19" t="s">
        <v>2649</v>
      </c>
      <c r="H726" s="19" t="s">
        <v>2656</v>
      </c>
      <c r="I726" s="19" t="s">
        <v>2656</v>
      </c>
      <c r="J726" s="19" t="s">
        <v>2657</v>
      </c>
    </row>
    <row r="727" spans="1:10" ht="43.2">
      <c r="A727" s="17" t="s">
        <v>99</v>
      </c>
      <c r="B727" s="20">
        <v>44</v>
      </c>
      <c r="C727" s="22">
        <v>442</v>
      </c>
      <c r="D727" s="22">
        <v>4420</v>
      </c>
      <c r="E727" s="18" t="s">
        <v>100</v>
      </c>
      <c r="F727" s="21" t="s">
        <v>101</v>
      </c>
      <c r="G727" s="19" t="s">
        <v>2658</v>
      </c>
      <c r="H727" s="19" t="s">
        <v>2658</v>
      </c>
      <c r="I727" s="19" t="s">
        <v>2658</v>
      </c>
      <c r="J727" s="19" t="s">
        <v>2659</v>
      </c>
    </row>
    <row r="728" spans="1:10" ht="43.2">
      <c r="A728" s="17" t="s">
        <v>99</v>
      </c>
      <c r="B728" s="20">
        <v>44</v>
      </c>
      <c r="C728" s="22">
        <v>443</v>
      </c>
      <c r="D728" s="22">
        <v>4430</v>
      </c>
      <c r="E728" s="18" t="s">
        <v>100</v>
      </c>
      <c r="F728" s="21" t="s">
        <v>101</v>
      </c>
      <c r="G728" s="19" t="s">
        <v>2660</v>
      </c>
      <c r="H728" s="19" t="s">
        <v>2660</v>
      </c>
      <c r="I728" s="19" t="s">
        <v>2660</v>
      </c>
      <c r="J728" s="19" t="s">
        <v>2661</v>
      </c>
    </row>
    <row r="729" spans="1:10" ht="43.2">
      <c r="A729" s="17" t="s">
        <v>99</v>
      </c>
      <c r="B729" s="20">
        <v>45</v>
      </c>
      <c r="C729" s="20" t="s"/>
      <c r="D729" s="20" t="s"/>
      <c r="E729" s="18" t="s">
        <v>100</v>
      </c>
      <c r="F729" s="21" t="s">
        <v>102</v>
      </c>
      <c r="G729" s="20" t="s"/>
      <c r="H729" s="29" t="s"/>
      <c r="I729" s="21" t="s">
        <v>102</v>
      </c>
      <c r="J729" s="19" t="s"/>
    </row>
    <row r="730" spans="1:10" ht="44.4">
      <c r="A730" s="17" t="s">
        <v>99</v>
      </c>
      <c r="B730" s="20">
        <v>45</v>
      </c>
      <c r="C730" s="22">
        <v>450</v>
      </c>
      <c r="D730" s="22">
        <v>4500</v>
      </c>
      <c r="E730" s="18" t="s">
        <v>100</v>
      </c>
      <c r="F730" s="21" t="s">
        <v>102</v>
      </c>
      <c r="G730" s="19" t="s">
        <v>2662</v>
      </c>
      <c r="H730" s="19" t="s">
        <v>2662</v>
      </c>
      <c r="I730" s="19" t="s">
        <v>2662</v>
      </c>
      <c r="J730" s="19" t="s">
        <v>2663</v>
      </c>
    </row>
    <row r="731" spans="1:10" ht="43.2">
      <c r="A731" s="17" t="s">
        <v>99</v>
      </c>
      <c r="B731" s="20">
        <v>46</v>
      </c>
      <c r="C731" s="20" t="s"/>
      <c r="D731" s="20" t="s"/>
      <c r="E731" s="18" t="s">
        <v>100</v>
      </c>
      <c r="F731" s="21" t="s">
        <v>103</v>
      </c>
      <c r="G731" s="20" t="s"/>
      <c r="H731" s="29" t="s"/>
      <c r="I731" s="21" t="s">
        <v>103</v>
      </c>
      <c r="J731" s="19" t="s"/>
    </row>
    <row r="732" spans="1:10" ht="43.2">
      <c r="A732" s="17" t="s">
        <v>99</v>
      </c>
      <c r="B732" s="20">
        <v>46</v>
      </c>
      <c r="C732" s="22">
        <v>461</v>
      </c>
      <c r="D732" s="22">
        <v>4610</v>
      </c>
      <c r="E732" s="18" t="s">
        <v>100</v>
      </c>
      <c r="F732" s="21" t="s">
        <v>103</v>
      </c>
      <c r="G732" s="19" t="s">
        <v>2664</v>
      </c>
      <c r="H732" s="19" t="s">
        <v>2664</v>
      </c>
      <c r="I732" s="19" t="s">
        <v>2664</v>
      </c>
      <c r="J732" s="19" t="s">
        <v>2665</v>
      </c>
    </row>
    <row r="733" spans="1:10" ht="43.2">
      <c r="A733" s="17" t="s">
        <v>99</v>
      </c>
      <c r="B733" s="20">
        <v>46</v>
      </c>
      <c r="C733" s="22">
        <v>462</v>
      </c>
      <c r="D733" s="22">
        <v>4620</v>
      </c>
      <c r="E733" s="18" t="s">
        <v>100</v>
      </c>
      <c r="F733" s="21" t="s">
        <v>103</v>
      </c>
      <c r="G733" s="19" t="s">
        <v>2666</v>
      </c>
      <c r="H733" s="19" t="s">
        <v>2666</v>
      </c>
      <c r="I733" s="19" t="s">
        <v>2666</v>
      </c>
      <c r="J733" s="19" t="s">
        <v>2667</v>
      </c>
    </row>
    <row r="734" spans="1:10" ht="43.2">
      <c r="A734" s="17" t="s">
        <v>99</v>
      </c>
      <c r="B734" s="20">
        <v>46</v>
      </c>
      <c r="C734" s="22">
        <v>469</v>
      </c>
      <c r="D734" s="22">
        <v>4690</v>
      </c>
      <c r="E734" s="18" t="s">
        <v>100</v>
      </c>
      <c r="F734" s="21" t="s">
        <v>103</v>
      </c>
      <c r="G734" s="19" t="s">
        <v>2668</v>
      </c>
      <c r="H734" s="19" t="s">
        <v>2668</v>
      </c>
      <c r="I734" s="19" t="s">
        <v>2668</v>
      </c>
      <c r="J734" s="19" t="s">
        <v>2669</v>
      </c>
    </row>
    <row r="735" spans="1:10" ht="15.6">
      <c r="A735" s="17" t="s">
        <v>104</v>
      </c>
      <c r="B735" s="17" t="s"/>
      <c r="C735" s="17" t="s"/>
      <c r="D735" s="17" t="s"/>
      <c r="E735" s="18" t="s">
        <v>105</v>
      </c>
      <c r="F735" s="17" t="s"/>
      <c r="G735" s="17" t="s"/>
      <c r="H735" s="29" t="s"/>
      <c r="I735" s="18" t="s">
        <v>105</v>
      </c>
      <c r="J735" s="19" t="s">
        <v>2670</v>
      </c>
    </row>
    <row r="736" spans="1:10" ht="32.4">
      <c r="A736" s="17" t="s">
        <v>104</v>
      </c>
      <c r="B736" s="20">
        <v>47</v>
      </c>
      <c r="C736" s="20" t="s"/>
      <c r="D736" s="20" t="s"/>
      <c r="E736" s="18" t="s">
        <v>105</v>
      </c>
      <c r="F736" s="21" t="s">
        <v>106</v>
      </c>
      <c r="G736" s="20" t="s"/>
      <c r="H736" s="29" t="s"/>
      <c r="I736" s="21" t="s">
        <v>106</v>
      </c>
      <c r="J736" s="19" t="s">
        <v>2671</v>
      </c>
    </row>
    <row r="737" spans="1:10" ht="32.4">
      <c r="A737" s="17" t="s">
        <v>104</v>
      </c>
      <c r="B737" s="20">
        <v>47</v>
      </c>
      <c r="C737" s="22">
        <v>471</v>
      </c>
      <c r="D737" s="22">
        <v>4710</v>
      </c>
      <c r="E737" s="18" t="s">
        <v>105</v>
      </c>
      <c r="F737" s="21" t="s">
        <v>106</v>
      </c>
      <c r="G737" s="19" t="s">
        <v>2672</v>
      </c>
      <c r="H737" s="19" t="s">
        <v>2672</v>
      </c>
      <c r="I737" s="19" t="s">
        <v>2672</v>
      </c>
      <c r="J737" s="19" t="s">
        <v>2673</v>
      </c>
    </row>
    <row r="738" spans="1:10" ht="32.4">
      <c r="A738" s="17" t="s">
        <v>104</v>
      </c>
      <c r="B738" s="20">
        <v>47</v>
      </c>
      <c r="C738" s="22">
        <v>472</v>
      </c>
      <c r="D738" s="22" t="s"/>
      <c r="E738" s="18" t="s">
        <v>105</v>
      </c>
      <c r="F738" s="21" t="s">
        <v>106</v>
      </c>
      <c r="G738" s="19" t="s">
        <v>2674</v>
      </c>
      <c r="H738" s="29" t="s"/>
      <c r="I738" s="19" t="s">
        <v>2674</v>
      </c>
      <c r="J738" s="19" t="s">
        <v>2675</v>
      </c>
    </row>
    <row r="739" spans="1:10" ht="34.8">
      <c r="A739" s="17" t="s">
        <v>104</v>
      </c>
      <c r="B739" s="20">
        <v>47</v>
      </c>
      <c r="C739" s="22">
        <v>472</v>
      </c>
      <c r="D739" s="22">
        <v>4721</v>
      </c>
      <c r="E739" s="18" t="s">
        <v>105</v>
      </c>
      <c r="F739" s="21" t="s">
        <v>106</v>
      </c>
      <c r="G739" s="19" t="s">
        <v>2674</v>
      </c>
      <c r="H739" s="19" t="s">
        <v>2676</v>
      </c>
      <c r="I739" s="19" t="s">
        <v>2676</v>
      </c>
      <c r="J739" s="19" t="s"/>
    </row>
    <row r="740" spans="1:10" ht="32.4">
      <c r="A740" s="17" t="s">
        <v>104</v>
      </c>
      <c r="B740" s="20">
        <v>47</v>
      </c>
      <c r="C740" s="22">
        <v>472</v>
      </c>
      <c r="D740" s="22">
        <v>4722</v>
      </c>
      <c r="E740" s="18" t="s">
        <v>105</v>
      </c>
      <c r="F740" s="21" t="s">
        <v>106</v>
      </c>
      <c r="G740" s="19" t="s">
        <v>2674</v>
      </c>
      <c r="H740" s="19" t="s">
        <v>2677</v>
      </c>
      <c r="I740" s="19" t="s">
        <v>2677</v>
      </c>
      <c r="J740" s="19" t="s"/>
    </row>
    <row r="741" spans="1:10" ht="32.4">
      <c r="A741" s="17" t="s">
        <v>104</v>
      </c>
      <c r="B741" s="20">
        <v>47</v>
      </c>
      <c r="C741" s="22">
        <v>472</v>
      </c>
      <c r="D741" s="22">
        <v>4723</v>
      </c>
      <c r="E741" s="18" t="s">
        <v>105</v>
      </c>
      <c r="F741" s="21" t="s">
        <v>106</v>
      </c>
      <c r="G741" s="19" t="s">
        <v>2674</v>
      </c>
      <c r="H741" s="19" t="s">
        <v>2678</v>
      </c>
      <c r="I741" s="19" t="s">
        <v>2678</v>
      </c>
      <c r="J741" s="19" t="s">
        <v>2679</v>
      </c>
    </row>
    <row r="742" spans="1:10" ht="32.4">
      <c r="A742" s="17" t="s">
        <v>104</v>
      </c>
      <c r="B742" s="20">
        <v>47</v>
      </c>
      <c r="C742" s="22">
        <v>472</v>
      </c>
      <c r="D742" s="22">
        <v>4724</v>
      </c>
      <c r="E742" s="18" t="s">
        <v>105</v>
      </c>
      <c r="F742" s="21" t="s">
        <v>106</v>
      </c>
      <c r="G742" s="19" t="s">
        <v>2674</v>
      </c>
      <c r="H742" s="19" t="s">
        <v>2680</v>
      </c>
      <c r="I742" s="19" t="s">
        <v>2680</v>
      </c>
      <c r="J742" s="19" t="s">
        <v>2681</v>
      </c>
    </row>
    <row r="743" spans="1:10" ht="32.4">
      <c r="A743" s="17" t="s">
        <v>104</v>
      </c>
      <c r="B743" s="20">
        <v>47</v>
      </c>
      <c r="C743" s="22">
        <v>472</v>
      </c>
      <c r="D743" s="22">
        <v>4729</v>
      </c>
      <c r="E743" s="18" t="s">
        <v>105</v>
      </c>
      <c r="F743" s="21" t="s">
        <v>106</v>
      </c>
      <c r="G743" s="19" t="s">
        <v>2674</v>
      </c>
      <c r="H743" s="19" t="s">
        <v>2682</v>
      </c>
      <c r="I743" s="19" t="s">
        <v>2682</v>
      </c>
      <c r="J743" s="19" t="s"/>
    </row>
    <row r="744" spans="1:10" ht="21.6">
      <c r="A744" s="17" t="s">
        <v>104</v>
      </c>
      <c r="B744" s="20">
        <v>48</v>
      </c>
      <c r="C744" s="22" t="s">
        <v>51</v>
      </c>
      <c r="D744" s="22" t="s">
        <v>51</v>
      </c>
      <c r="E744" s="18" t="s">
        <v>105</v>
      </c>
      <c r="F744" s="21" t="s">
        <v>107</v>
      </c>
      <c r="G744" s="22" t="s"/>
      <c r="H744" s="29" t="s"/>
      <c r="I744" s="21" t="s">
        <v>107</v>
      </c>
      <c r="J744" s="19" t="s">
        <v>51</v>
      </c>
    </row>
    <row r="745" spans="1:10" ht="33.6">
      <c r="A745" s="17" t="s">
        <v>104</v>
      </c>
      <c r="B745" s="20">
        <v>48</v>
      </c>
      <c r="C745" s="22">
        <v>480</v>
      </c>
      <c r="D745" s="22">
        <v>4800</v>
      </c>
      <c r="E745" s="18" t="s">
        <v>105</v>
      </c>
      <c r="F745" s="21" t="s">
        <v>107</v>
      </c>
      <c r="G745" s="19" t="s">
        <v>2683</v>
      </c>
      <c r="H745" s="19" t="s">
        <v>2683</v>
      </c>
      <c r="I745" s="19" t="s">
        <v>2683</v>
      </c>
      <c r="J745" s="19" t="s">
        <v>2684</v>
      </c>
    </row>
    <row r="746" spans="1:10" ht="21.6">
      <c r="A746" s="17" t="s">
        <v>104</v>
      </c>
      <c r="B746" s="20">
        <v>49</v>
      </c>
      <c r="C746" s="22" t="s">
        <v>51</v>
      </c>
      <c r="D746" s="22" t="s">
        <v>51</v>
      </c>
      <c r="E746" s="18" t="s">
        <v>105</v>
      </c>
      <c r="F746" s="21" t="s">
        <v>108</v>
      </c>
      <c r="G746" s="22" t="s"/>
      <c r="H746" s="29" t="s"/>
      <c r="I746" s="21" t="s">
        <v>108</v>
      </c>
      <c r="J746" s="19" t="s">
        <v>51</v>
      </c>
    </row>
    <row r="747" spans="1:10" ht="22.8">
      <c r="A747" s="17" t="s">
        <v>104</v>
      </c>
      <c r="B747" s="20">
        <v>49</v>
      </c>
      <c r="C747" s="22">
        <v>490</v>
      </c>
      <c r="D747" s="22">
        <v>4900</v>
      </c>
      <c r="E747" s="18" t="s">
        <v>105</v>
      </c>
      <c r="F747" s="21" t="s">
        <v>108</v>
      </c>
      <c r="G747" s="19" t="s">
        <v>2685</v>
      </c>
      <c r="H747" s="19" t="s">
        <v>2685</v>
      </c>
      <c r="I747" s="19" t="s">
        <v>2685</v>
      </c>
      <c r="J747" s="19" t="s">
        <v>2686</v>
      </c>
    </row>
    <row r="748" spans="1:10" ht="21.6">
      <c r="A748" s="17" t="s">
        <v>104</v>
      </c>
      <c r="B748" s="20">
        <v>50</v>
      </c>
      <c r="C748" s="20" t="s">
        <v>51</v>
      </c>
      <c r="D748" s="20" t="s"/>
      <c r="E748" s="18" t="s">
        <v>105</v>
      </c>
      <c r="F748" s="21" t="s">
        <v>109</v>
      </c>
      <c r="G748" s="20" t="s"/>
      <c r="H748" s="29" t="s"/>
      <c r="I748" s="21" t="s">
        <v>109</v>
      </c>
      <c r="J748" s="24" t="s"/>
    </row>
    <row r="749" spans="1:10" ht="21.6">
      <c r="A749" s="17" t="s">
        <v>104</v>
      </c>
      <c r="B749" s="20">
        <v>50</v>
      </c>
      <c r="C749" s="22">
        <v>501</v>
      </c>
      <c r="D749" s="22">
        <v>5010</v>
      </c>
      <c r="E749" s="18" t="s">
        <v>105</v>
      </c>
      <c r="F749" s="21" t="s">
        <v>109</v>
      </c>
      <c r="G749" s="19" t="s">
        <v>2687</v>
      </c>
      <c r="H749" s="19" t="s">
        <v>2687</v>
      </c>
      <c r="I749" s="19" t="s">
        <v>2687</v>
      </c>
      <c r="J749" s="19" t="s">
        <v>2688</v>
      </c>
    </row>
    <row r="750" spans="1:10" ht="22.8">
      <c r="A750" s="17" t="s">
        <v>104</v>
      </c>
      <c r="B750" s="20">
        <v>50</v>
      </c>
      <c r="C750" s="22">
        <v>502</v>
      </c>
      <c r="D750" s="22">
        <v>5020</v>
      </c>
      <c r="E750" s="18" t="s">
        <v>105</v>
      </c>
      <c r="F750" s="21" t="s">
        <v>109</v>
      </c>
      <c r="G750" s="19" t="s">
        <v>2689</v>
      </c>
      <c r="H750" s="19" t="s">
        <v>2689</v>
      </c>
      <c r="I750" s="19" t="s">
        <v>2689</v>
      </c>
      <c r="J750" s="19" t="s">
        <v>2690</v>
      </c>
    </row>
    <row r="751" spans="1:10" ht="22.8">
      <c r="A751" s="17" t="s">
        <v>104</v>
      </c>
      <c r="B751" s="20">
        <v>50</v>
      </c>
      <c r="C751" s="22">
        <v>509</v>
      </c>
      <c r="D751" s="22">
        <v>5090</v>
      </c>
      <c r="E751" s="18" t="s">
        <v>105</v>
      </c>
      <c r="F751" s="21" t="s">
        <v>109</v>
      </c>
      <c r="G751" s="19" t="s">
        <v>2691</v>
      </c>
      <c r="H751" s="19" t="s">
        <v>2691</v>
      </c>
      <c r="I751" s="19" t="s">
        <v>2691</v>
      </c>
      <c r="J751" s="19" t="s">
        <v>2692</v>
      </c>
    </row>
    <row r="752" spans="1:10" ht="43.2">
      <c r="A752" s="17" t="s">
        <v>110</v>
      </c>
      <c r="B752" s="17" t="s"/>
      <c r="C752" s="17" t="s"/>
      <c r="D752" s="17" t="s"/>
      <c r="E752" s="18" t="s">
        <v>111</v>
      </c>
      <c r="F752" s="17" t="s"/>
      <c r="G752" s="17" t="s"/>
      <c r="H752" s="29" t="s"/>
      <c r="I752" s="18" t="s">
        <v>111</v>
      </c>
      <c r="J752" s="19" t="s">
        <v>2693</v>
      </c>
    </row>
    <row r="753" spans="1:10" ht="43.2">
      <c r="A753" s="17" t="s">
        <v>110</v>
      </c>
      <c r="B753" s="20">
        <v>51</v>
      </c>
      <c r="C753" s="20" t="s"/>
      <c r="D753" s="20" t="s"/>
      <c r="E753" s="18" t="s">
        <v>111</v>
      </c>
      <c r="F753" s="21" t="s">
        <v>112</v>
      </c>
      <c r="G753" s="20" t="s"/>
      <c r="H753" s="29" t="s"/>
      <c r="I753" s="21" t="s">
        <v>112</v>
      </c>
      <c r="J753" s="19" t="s">
        <v>2694</v>
      </c>
    </row>
    <row r="754" spans="1:10" ht="43.2">
      <c r="A754" s="17" t="s">
        <v>110</v>
      </c>
      <c r="B754" s="20">
        <v>51</v>
      </c>
      <c r="C754" s="22">
        <v>511</v>
      </c>
      <c r="D754" s="22">
        <v>5110</v>
      </c>
      <c r="E754" s="18" t="s">
        <v>111</v>
      </c>
      <c r="F754" s="21" t="s">
        <v>112</v>
      </c>
      <c r="G754" s="19" t="s">
        <v>2695</v>
      </c>
      <c r="H754" s="19" t="s">
        <v>2695</v>
      </c>
      <c r="I754" s="19" t="s">
        <v>2695</v>
      </c>
      <c r="J754" s="19" t="s">
        <v>51</v>
      </c>
    </row>
    <row r="755" spans="1:10" ht="43.2">
      <c r="A755" s="17" t="s">
        <v>110</v>
      </c>
      <c r="B755" s="20">
        <v>51</v>
      </c>
      <c r="C755" s="22">
        <v>512</v>
      </c>
      <c r="D755" s="22">
        <v>5120</v>
      </c>
      <c r="E755" s="18" t="s">
        <v>111</v>
      </c>
      <c r="F755" s="21" t="s">
        <v>112</v>
      </c>
      <c r="G755" s="19" t="s">
        <v>2696</v>
      </c>
      <c r="H755" s="19" t="s">
        <v>2696</v>
      </c>
      <c r="I755" s="19" t="s">
        <v>2696</v>
      </c>
      <c r="J755" s="19" t="s">
        <v>51</v>
      </c>
    </row>
    <row r="756" spans="1:10" ht="43.2">
      <c r="A756" s="17" t="s">
        <v>110</v>
      </c>
      <c r="B756" s="20">
        <v>51</v>
      </c>
      <c r="C756" s="22">
        <v>513</v>
      </c>
      <c r="D756" s="22" t="s"/>
      <c r="E756" s="18" t="s">
        <v>111</v>
      </c>
      <c r="F756" s="21" t="s">
        <v>112</v>
      </c>
      <c r="G756" s="19" t="s">
        <v>2697</v>
      </c>
      <c r="H756" s="29" t="s"/>
      <c r="I756" s="19" t="s">
        <v>2697</v>
      </c>
      <c r="J756" s="19" t="s"/>
    </row>
    <row r="757" spans="1:10" ht="43.2">
      <c r="A757" s="17" t="s">
        <v>110</v>
      </c>
      <c r="B757" s="20">
        <v>51</v>
      </c>
      <c r="C757" s="22">
        <v>513</v>
      </c>
      <c r="D757" s="22">
        <v>5131</v>
      </c>
      <c r="E757" s="18" t="s">
        <v>111</v>
      </c>
      <c r="F757" s="21" t="s">
        <v>112</v>
      </c>
      <c r="G757" s="19" t="s">
        <v>2697</v>
      </c>
      <c r="H757" s="19" t="s">
        <v>2698</v>
      </c>
      <c r="I757" s="19" t="s">
        <v>2698</v>
      </c>
      <c r="J757" s="19" t="s"/>
    </row>
    <row r="758" spans="1:10" ht="43.2">
      <c r="A758" s="17" t="s">
        <v>110</v>
      </c>
      <c r="B758" s="20">
        <v>51</v>
      </c>
      <c r="C758" s="22">
        <v>513</v>
      </c>
      <c r="D758" s="22">
        <v>5132</v>
      </c>
      <c r="E758" s="18" t="s">
        <v>111</v>
      </c>
      <c r="F758" s="21" t="s">
        <v>112</v>
      </c>
      <c r="G758" s="19" t="s">
        <v>2697</v>
      </c>
      <c r="H758" s="19" t="s">
        <v>2699</v>
      </c>
      <c r="I758" s="19" t="s">
        <v>2699</v>
      </c>
      <c r="J758" s="19" t="s"/>
    </row>
    <row r="759" spans="1:10" ht="43.2">
      <c r="A759" s="17" t="s">
        <v>110</v>
      </c>
      <c r="B759" s="20">
        <v>51</v>
      </c>
      <c r="C759" s="22">
        <v>513</v>
      </c>
      <c r="D759" s="22">
        <v>5139</v>
      </c>
      <c r="E759" s="18" t="s">
        <v>111</v>
      </c>
      <c r="F759" s="21" t="s">
        <v>112</v>
      </c>
      <c r="G759" s="19" t="s">
        <v>2697</v>
      </c>
      <c r="H759" s="19" t="s">
        <v>2700</v>
      </c>
      <c r="I759" s="19" t="s">
        <v>2700</v>
      </c>
      <c r="J759" s="19" t="s">
        <v>2701</v>
      </c>
    </row>
    <row r="760" spans="1:10" ht="43.2">
      <c r="A760" s="17" t="s">
        <v>110</v>
      </c>
      <c r="B760" s="20">
        <v>52</v>
      </c>
      <c r="C760" s="30" t="s"/>
      <c r="D760" s="30" t="s"/>
      <c r="E760" s="18" t="s">
        <v>111</v>
      </c>
      <c r="F760" s="21" t="s">
        <v>113</v>
      </c>
      <c r="G760" s="30" t="s"/>
      <c r="H760" s="29" t="s"/>
      <c r="I760" s="21" t="s">
        <v>113</v>
      </c>
      <c r="J760" s="19" t="s"/>
    </row>
    <row r="761" spans="1:10" ht="43.2">
      <c r="A761" s="17" t="s">
        <v>110</v>
      </c>
      <c r="B761" s="20">
        <v>52</v>
      </c>
      <c r="C761" s="22">
        <v>521</v>
      </c>
      <c r="D761" s="22">
        <v>5210</v>
      </c>
      <c r="E761" s="18" t="s">
        <v>111</v>
      </c>
      <c r="F761" s="21" t="s">
        <v>113</v>
      </c>
      <c r="G761" s="19" t="s">
        <v>2702</v>
      </c>
      <c r="H761" s="19" t="s">
        <v>2702</v>
      </c>
      <c r="I761" s="19" t="s">
        <v>2702</v>
      </c>
      <c r="J761" s="19" t="s">
        <v>2703</v>
      </c>
    </row>
    <row r="762" spans="1:10" ht="43.2">
      <c r="A762" s="17" t="s">
        <v>110</v>
      </c>
      <c r="B762" s="20">
        <v>52</v>
      </c>
      <c r="C762" s="22">
        <v>522</v>
      </c>
      <c r="D762" s="22">
        <v>5220</v>
      </c>
      <c r="E762" s="18" t="s">
        <v>111</v>
      </c>
      <c r="F762" s="21" t="s">
        <v>113</v>
      </c>
      <c r="G762" s="19" t="s">
        <v>2704</v>
      </c>
      <c r="H762" s="19" t="s">
        <v>2704</v>
      </c>
      <c r="I762" s="19" t="s">
        <v>2704</v>
      </c>
      <c r="J762" s="19" t="s">
        <v>2705</v>
      </c>
    </row>
    <row r="763" spans="1:10" ht="43.2">
      <c r="A763" s="17" t="s">
        <v>110</v>
      </c>
      <c r="B763" s="20">
        <v>52</v>
      </c>
      <c r="C763" s="22">
        <v>523</v>
      </c>
      <c r="D763" s="22" t="s"/>
      <c r="E763" s="18" t="s">
        <v>111</v>
      </c>
      <c r="F763" s="21" t="s">
        <v>113</v>
      </c>
      <c r="G763" s="19" t="s">
        <v>2706</v>
      </c>
      <c r="H763" s="29" t="s"/>
      <c r="I763" s="19" t="s">
        <v>2706</v>
      </c>
      <c r="J763" s="19" t="s">
        <v>2707</v>
      </c>
    </row>
    <row r="764" spans="1:10" ht="43.2">
      <c r="A764" s="17" t="s">
        <v>110</v>
      </c>
      <c r="B764" s="20">
        <v>52</v>
      </c>
      <c r="C764" s="22">
        <v>523</v>
      </c>
      <c r="D764" s="22">
        <v>5231</v>
      </c>
      <c r="E764" s="18" t="s">
        <v>111</v>
      </c>
      <c r="F764" s="21" t="s">
        <v>113</v>
      </c>
      <c r="G764" s="19" t="s">
        <v>2706</v>
      </c>
      <c r="H764" s="19" t="s">
        <v>2708</v>
      </c>
      <c r="I764" s="19" t="s">
        <v>2708</v>
      </c>
      <c r="J764" s="19" t="s">
        <v>2709</v>
      </c>
    </row>
    <row r="765" spans="1:10" ht="43.2">
      <c r="A765" s="17" t="s">
        <v>110</v>
      </c>
      <c r="B765" s="20">
        <v>52</v>
      </c>
      <c r="C765" s="22">
        <v>523</v>
      </c>
      <c r="D765" s="22">
        <v>5232</v>
      </c>
      <c r="E765" s="18" t="s">
        <v>111</v>
      </c>
      <c r="F765" s="21" t="s">
        <v>113</v>
      </c>
      <c r="G765" s="19" t="s">
        <v>2706</v>
      </c>
      <c r="H765" s="19" t="s">
        <v>2710</v>
      </c>
      <c r="I765" s="19" t="s">
        <v>2710</v>
      </c>
      <c r="J765" s="27" t="s"/>
    </row>
    <row r="766" spans="1:10" ht="43.2">
      <c r="A766" s="17" t="s">
        <v>110</v>
      </c>
      <c r="B766" s="20">
        <v>52</v>
      </c>
      <c r="C766" s="22">
        <v>523</v>
      </c>
      <c r="D766" s="22">
        <v>5239</v>
      </c>
      <c r="E766" s="18" t="s">
        <v>111</v>
      </c>
      <c r="F766" s="21" t="s">
        <v>113</v>
      </c>
      <c r="G766" s="19" t="s">
        <v>2706</v>
      </c>
      <c r="H766" s="19" t="s">
        <v>2711</v>
      </c>
      <c r="I766" s="19" t="s">
        <v>2711</v>
      </c>
      <c r="J766" s="19" t="s"/>
    </row>
    <row r="767" spans="1:10" ht="43.2">
      <c r="A767" s="17" t="s">
        <v>110</v>
      </c>
      <c r="B767" s="20">
        <v>53</v>
      </c>
      <c r="C767" s="22" t="s">
        <v>51</v>
      </c>
      <c r="D767" s="22" t="s"/>
      <c r="E767" s="18" t="s">
        <v>111</v>
      </c>
      <c r="F767" s="21" t="s">
        <v>114</v>
      </c>
      <c r="G767" s="22" t="s"/>
      <c r="H767" s="29" t="s"/>
      <c r="I767" s="21" t="s">
        <v>114</v>
      </c>
      <c r="J767" s="19" t="s">
        <v>2712</v>
      </c>
    </row>
    <row r="768" spans="1:10" ht="43.2">
      <c r="A768" s="17" t="s">
        <v>110</v>
      </c>
      <c r="B768" s="20">
        <v>53</v>
      </c>
      <c r="C768" s="22">
        <v>531</v>
      </c>
      <c r="D768" s="22">
        <v>5310</v>
      </c>
      <c r="E768" s="18" t="s">
        <v>111</v>
      </c>
      <c r="F768" s="21" t="s">
        <v>114</v>
      </c>
      <c r="G768" s="19" t="s">
        <v>2713</v>
      </c>
      <c r="H768" s="19" t="s">
        <v>2713</v>
      </c>
      <c r="I768" s="19" t="s">
        <v>2713</v>
      </c>
      <c r="J768" s="19" t="s"/>
    </row>
    <row r="769" spans="1:10" ht="43.2">
      <c r="A769" s="17" t="s">
        <v>110</v>
      </c>
      <c r="B769" s="20">
        <v>53</v>
      </c>
      <c r="C769" s="22">
        <v>532</v>
      </c>
      <c r="D769" s="22">
        <v>5320</v>
      </c>
      <c r="E769" s="18" t="s">
        <v>111</v>
      </c>
      <c r="F769" s="21" t="s">
        <v>114</v>
      </c>
      <c r="G769" s="19" t="s">
        <v>2714</v>
      </c>
      <c r="H769" s="19" t="s">
        <v>2714</v>
      </c>
      <c r="I769" s="19" t="s">
        <v>2714</v>
      </c>
      <c r="J769" s="27" t="s"/>
    </row>
    <row r="770" spans="1:10" ht="43.2">
      <c r="A770" s="17" t="s">
        <v>110</v>
      </c>
      <c r="B770" s="20">
        <v>53</v>
      </c>
      <c r="C770" s="22">
        <v>533</v>
      </c>
      <c r="D770" s="22">
        <v>5330</v>
      </c>
      <c r="E770" s="18" t="s">
        <v>111</v>
      </c>
      <c r="F770" s="21" t="s">
        <v>114</v>
      </c>
      <c r="G770" s="19" t="s">
        <v>2715</v>
      </c>
      <c r="H770" s="19" t="s">
        <v>2715</v>
      </c>
      <c r="I770" s="19" t="s">
        <v>2715</v>
      </c>
      <c r="J770" s="27" t="s"/>
    </row>
    <row r="771" spans="1:10" ht="43.2">
      <c r="A771" s="17" t="s">
        <v>110</v>
      </c>
      <c r="B771" s="20">
        <v>53</v>
      </c>
      <c r="C771" s="22">
        <v>534</v>
      </c>
      <c r="D771" s="22">
        <v>5340</v>
      </c>
      <c r="E771" s="18" t="s">
        <v>111</v>
      </c>
      <c r="F771" s="21" t="s">
        <v>114</v>
      </c>
      <c r="G771" s="19" t="s">
        <v>2716</v>
      </c>
      <c r="H771" s="19" t="s">
        <v>2716</v>
      </c>
      <c r="I771" s="19" t="s">
        <v>2716</v>
      </c>
      <c r="J771" s="19" t="s">
        <v>2717</v>
      </c>
    </row>
    <row r="772" spans="1:10" ht="43.2">
      <c r="A772" s="17" t="s">
        <v>110</v>
      </c>
      <c r="B772" s="20">
        <v>53</v>
      </c>
      <c r="C772" s="22">
        <v>539</v>
      </c>
      <c r="D772" s="22">
        <v>5390</v>
      </c>
      <c r="E772" s="18" t="s">
        <v>111</v>
      </c>
      <c r="F772" s="21" t="s">
        <v>114</v>
      </c>
      <c r="G772" s="19" t="s">
        <v>2718</v>
      </c>
      <c r="H772" s="19" t="s">
        <v>2718</v>
      </c>
      <c r="I772" s="19" t="s">
        <v>2718</v>
      </c>
      <c r="J772" s="19" t="s">
        <v>2719</v>
      </c>
    </row>
    <row r="773" spans="1:10" ht="43.2">
      <c r="A773" s="17" t="s">
        <v>110</v>
      </c>
      <c r="B773" s="20">
        <v>54</v>
      </c>
      <c r="C773" s="31" t="s"/>
      <c r="D773" s="31" t="s"/>
      <c r="E773" s="18" t="s">
        <v>111</v>
      </c>
      <c r="F773" s="21" t="s">
        <v>115</v>
      </c>
      <c r="G773" s="31" t="s"/>
      <c r="H773" s="29" t="s"/>
      <c r="I773" s="21" t="s">
        <v>115</v>
      </c>
      <c r="J773" s="19" t="s"/>
    </row>
    <row r="774" spans="1:10" ht="43.2">
      <c r="A774" s="17" t="s">
        <v>110</v>
      </c>
      <c r="B774" s="20">
        <v>54</v>
      </c>
      <c r="C774" s="22">
        <v>541</v>
      </c>
      <c r="D774" s="22" t="s"/>
      <c r="E774" s="18" t="s">
        <v>111</v>
      </c>
      <c r="F774" s="21" t="s">
        <v>115</v>
      </c>
      <c r="G774" s="19" t="s">
        <v>2720</v>
      </c>
      <c r="H774" s="29" t="s"/>
      <c r="I774" s="19" t="s">
        <v>2720</v>
      </c>
      <c r="J774" s="19" t="s"/>
    </row>
    <row r="775" spans="1:10" ht="43.2">
      <c r="A775" s="17" t="s">
        <v>110</v>
      </c>
      <c r="B775" s="20">
        <v>54</v>
      </c>
      <c r="C775" s="22">
        <v>541</v>
      </c>
      <c r="D775" s="22">
        <v>5411</v>
      </c>
      <c r="E775" s="18" t="s">
        <v>111</v>
      </c>
      <c r="F775" s="21" t="s">
        <v>115</v>
      </c>
      <c r="G775" s="19" t="s">
        <v>2720</v>
      </c>
      <c r="H775" s="19" t="s">
        <v>2721</v>
      </c>
      <c r="I775" s="19" t="s">
        <v>2721</v>
      </c>
      <c r="J775" s="27" t="s"/>
    </row>
    <row r="776" spans="1:10" ht="43.2">
      <c r="A776" s="17" t="s">
        <v>110</v>
      </c>
      <c r="B776" s="20">
        <v>54</v>
      </c>
      <c r="C776" s="22">
        <v>541</v>
      </c>
      <c r="D776" s="22">
        <v>5412</v>
      </c>
      <c r="E776" s="18" t="s">
        <v>111</v>
      </c>
      <c r="F776" s="21" t="s">
        <v>115</v>
      </c>
      <c r="G776" s="19" t="s">
        <v>2720</v>
      </c>
      <c r="H776" s="19" t="s">
        <v>2722</v>
      </c>
      <c r="I776" s="19" t="s">
        <v>2722</v>
      </c>
      <c r="J776" s="19" t="s"/>
    </row>
    <row r="777" spans="1:10" ht="43.2">
      <c r="A777" s="17" t="s">
        <v>110</v>
      </c>
      <c r="B777" s="20">
        <v>54</v>
      </c>
      <c r="C777" s="22">
        <v>541</v>
      </c>
      <c r="D777" s="22">
        <v>5413</v>
      </c>
      <c r="E777" s="18" t="s">
        <v>111</v>
      </c>
      <c r="F777" s="21" t="s">
        <v>115</v>
      </c>
      <c r="G777" s="19" t="s">
        <v>2720</v>
      </c>
      <c r="H777" s="19" t="s">
        <v>2723</v>
      </c>
      <c r="I777" s="19" t="s">
        <v>2723</v>
      </c>
      <c r="J777" s="19" t="s">
        <v>2724</v>
      </c>
    </row>
    <row r="778" spans="1:10" ht="43.2">
      <c r="A778" s="17" t="s">
        <v>110</v>
      </c>
      <c r="B778" s="20">
        <v>54</v>
      </c>
      <c r="C778" s="22">
        <v>542</v>
      </c>
      <c r="D778" s="22" t="s"/>
      <c r="E778" s="18" t="s">
        <v>111</v>
      </c>
      <c r="F778" s="21" t="s">
        <v>115</v>
      </c>
      <c r="G778" s="19" t="s">
        <v>2725</v>
      </c>
      <c r="H778" s="29" t="s"/>
      <c r="I778" s="19" t="s">
        <v>2725</v>
      </c>
      <c r="J778" s="19" t="s">
        <v>51</v>
      </c>
    </row>
    <row r="779" spans="1:10" ht="43.2">
      <c r="A779" s="17" t="s">
        <v>110</v>
      </c>
      <c r="B779" s="20">
        <v>54</v>
      </c>
      <c r="C779" s="22">
        <v>542</v>
      </c>
      <c r="D779" s="22">
        <v>5421</v>
      </c>
      <c r="E779" s="18" t="s">
        <v>111</v>
      </c>
      <c r="F779" s="21" t="s">
        <v>115</v>
      </c>
      <c r="G779" s="19" t="s">
        <v>2725</v>
      </c>
      <c r="H779" s="19" t="s">
        <v>2726</v>
      </c>
      <c r="I779" s="19" t="s">
        <v>2726</v>
      </c>
      <c r="J779" s="19" t="s"/>
    </row>
    <row r="780" spans="1:10" ht="43.2">
      <c r="A780" s="17" t="s">
        <v>110</v>
      </c>
      <c r="B780" s="20">
        <v>54</v>
      </c>
      <c r="C780" s="22">
        <v>542</v>
      </c>
      <c r="D780" s="22">
        <v>5422</v>
      </c>
      <c r="E780" s="18" t="s">
        <v>111</v>
      </c>
      <c r="F780" s="21" t="s">
        <v>115</v>
      </c>
      <c r="G780" s="19" t="s">
        <v>2725</v>
      </c>
      <c r="H780" s="19" t="s">
        <v>2727</v>
      </c>
      <c r="I780" s="19" t="s">
        <v>2727</v>
      </c>
      <c r="J780" s="19" t="s"/>
    </row>
    <row r="781" spans="1:10" ht="43.2">
      <c r="A781" s="17" t="s">
        <v>110</v>
      </c>
      <c r="B781" s="20">
        <v>54</v>
      </c>
      <c r="C781" s="22">
        <v>542</v>
      </c>
      <c r="D781" s="22">
        <v>5423</v>
      </c>
      <c r="E781" s="18" t="s">
        <v>111</v>
      </c>
      <c r="F781" s="21" t="s">
        <v>115</v>
      </c>
      <c r="G781" s="19" t="s">
        <v>2725</v>
      </c>
      <c r="H781" s="19" t="s">
        <v>2728</v>
      </c>
      <c r="I781" s="19" t="s">
        <v>2728</v>
      </c>
      <c r="J781" s="19" t="s">
        <v>2729</v>
      </c>
    </row>
    <row r="782" spans="1:10" ht="43.2">
      <c r="A782" s="17" t="s">
        <v>110</v>
      </c>
      <c r="B782" s="20">
        <v>54</v>
      </c>
      <c r="C782" s="22">
        <v>543</v>
      </c>
      <c r="D782" s="22" t="s"/>
      <c r="E782" s="18" t="s">
        <v>111</v>
      </c>
      <c r="F782" s="21" t="s">
        <v>115</v>
      </c>
      <c r="G782" s="19" t="s">
        <v>2730</v>
      </c>
      <c r="H782" s="29" t="s"/>
      <c r="I782" s="19" t="s">
        <v>2730</v>
      </c>
      <c r="J782" s="19" t="s"/>
    </row>
    <row r="783" spans="1:10" ht="43.2">
      <c r="A783" s="17" t="s">
        <v>110</v>
      </c>
      <c r="B783" s="20">
        <v>54</v>
      </c>
      <c r="C783" s="22">
        <v>543</v>
      </c>
      <c r="D783" s="22">
        <v>5431</v>
      </c>
      <c r="E783" s="18" t="s">
        <v>111</v>
      </c>
      <c r="F783" s="21" t="s">
        <v>115</v>
      </c>
      <c r="G783" s="19" t="s">
        <v>2730</v>
      </c>
      <c r="H783" s="19" t="s">
        <v>2731</v>
      </c>
      <c r="I783" s="19" t="s">
        <v>2731</v>
      </c>
      <c r="J783" s="19" t="s"/>
    </row>
    <row r="784" spans="1:10" ht="43.2">
      <c r="A784" s="17" t="s">
        <v>110</v>
      </c>
      <c r="B784" s="20">
        <v>54</v>
      </c>
      <c r="C784" s="22">
        <v>543</v>
      </c>
      <c r="D784" s="22">
        <v>5432</v>
      </c>
      <c r="E784" s="18" t="s">
        <v>111</v>
      </c>
      <c r="F784" s="21" t="s">
        <v>115</v>
      </c>
      <c r="G784" s="19" t="s">
        <v>2730</v>
      </c>
      <c r="H784" s="19" t="s">
        <v>2732</v>
      </c>
      <c r="I784" s="19" t="s">
        <v>2732</v>
      </c>
      <c r="J784" s="19" t="s"/>
    </row>
    <row r="785" spans="1:10" ht="43.2">
      <c r="A785" s="17" t="s">
        <v>110</v>
      </c>
      <c r="B785" s="20">
        <v>54</v>
      </c>
      <c r="C785" s="22">
        <v>543</v>
      </c>
      <c r="D785" s="22">
        <v>5439</v>
      </c>
      <c r="E785" s="18" t="s">
        <v>111</v>
      </c>
      <c r="F785" s="21" t="s">
        <v>115</v>
      </c>
      <c r="G785" s="19" t="s">
        <v>2730</v>
      </c>
      <c r="H785" s="19" t="s">
        <v>2733</v>
      </c>
      <c r="I785" s="19" t="s">
        <v>2733</v>
      </c>
      <c r="J785" s="19" t="s">
        <v>2734</v>
      </c>
    </row>
    <row r="786" spans="1:10" ht="43.2">
      <c r="A786" s="17" t="s">
        <v>110</v>
      </c>
      <c r="B786" s="20">
        <v>55</v>
      </c>
      <c r="C786" s="31" t="s"/>
      <c r="D786" s="31" t="s"/>
      <c r="E786" s="18" t="s">
        <v>111</v>
      </c>
      <c r="F786" s="21" t="s">
        <v>116</v>
      </c>
      <c r="G786" s="31" t="s"/>
      <c r="H786" s="29" t="s"/>
      <c r="I786" s="21" t="s">
        <v>116</v>
      </c>
      <c r="J786" s="19" t="s"/>
    </row>
    <row r="787" spans="1:10" ht="43.2">
      <c r="A787" s="17" t="s">
        <v>110</v>
      </c>
      <c r="B787" s="20">
        <v>55</v>
      </c>
      <c r="C787" s="22">
        <v>551</v>
      </c>
      <c r="D787" s="22" t="s">
        <v>51</v>
      </c>
      <c r="E787" s="18" t="s">
        <v>111</v>
      </c>
      <c r="F787" s="21" t="s">
        <v>116</v>
      </c>
      <c r="G787" s="19" t="s">
        <v>2735</v>
      </c>
      <c r="H787" s="29" t="s"/>
      <c r="I787" s="19" t="s">
        <v>2735</v>
      </c>
      <c r="J787" s="19" t="s">
        <v>51</v>
      </c>
    </row>
    <row r="788" spans="1:10" ht="43.2">
      <c r="A788" s="17" t="s">
        <v>110</v>
      </c>
      <c r="B788" s="20">
        <v>55</v>
      </c>
      <c r="C788" s="22">
        <v>551</v>
      </c>
      <c r="D788" s="22">
        <v>5511</v>
      </c>
      <c r="E788" s="18" t="s">
        <v>111</v>
      </c>
      <c r="F788" s="21" t="s">
        <v>116</v>
      </c>
      <c r="G788" s="19" t="s">
        <v>2735</v>
      </c>
      <c r="H788" s="19" t="s">
        <v>2736</v>
      </c>
      <c r="I788" s="19" t="s">
        <v>2736</v>
      </c>
      <c r="J788" s="19" t="s">
        <v>2737</v>
      </c>
    </row>
    <row r="789" spans="1:10" ht="43.2">
      <c r="A789" s="17" t="s">
        <v>110</v>
      </c>
      <c r="B789" s="20">
        <v>55</v>
      </c>
      <c r="C789" s="22">
        <v>551</v>
      </c>
      <c r="D789" s="22">
        <v>5512</v>
      </c>
      <c r="E789" s="18" t="s">
        <v>111</v>
      </c>
      <c r="F789" s="21" t="s">
        <v>116</v>
      </c>
      <c r="G789" s="19" t="s">
        <v>2735</v>
      </c>
      <c r="H789" s="19" t="s">
        <v>2738</v>
      </c>
      <c r="I789" s="19" t="s">
        <v>2738</v>
      </c>
      <c r="J789" s="19" t="s">
        <v>2739</v>
      </c>
    </row>
    <row r="790" spans="1:10" ht="43.2">
      <c r="A790" s="17" t="s">
        <v>110</v>
      </c>
      <c r="B790" s="20">
        <v>55</v>
      </c>
      <c r="C790" s="22">
        <v>552</v>
      </c>
      <c r="D790" s="22">
        <v>5520</v>
      </c>
      <c r="E790" s="18" t="s">
        <v>111</v>
      </c>
      <c r="F790" s="21" t="s">
        <v>116</v>
      </c>
      <c r="G790" s="19" t="s">
        <v>2735</v>
      </c>
      <c r="H790" s="19" t="s">
        <v>2740</v>
      </c>
      <c r="I790" s="19" t="s">
        <v>2740</v>
      </c>
      <c r="J790" s="19" t="s">
        <v>2741</v>
      </c>
    </row>
    <row r="791" spans="1:10" ht="43.2">
      <c r="A791" s="17" t="s">
        <v>110</v>
      </c>
      <c r="B791" s="20">
        <v>55</v>
      </c>
      <c r="C791" s="22">
        <v>553</v>
      </c>
      <c r="D791" s="22" t="s"/>
      <c r="E791" s="18" t="s">
        <v>111</v>
      </c>
      <c r="F791" s="21" t="s">
        <v>116</v>
      </c>
      <c r="G791" s="19" t="s">
        <v>2742</v>
      </c>
      <c r="H791" s="29" t="s"/>
      <c r="I791" s="19" t="s">
        <v>2742</v>
      </c>
      <c r="J791" s="19" t="s"/>
    </row>
    <row r="792" spans="1:10" ht="43.2">
      <c r="A792" s="17" t="s">
        <v>110</v>
      </c>
      <c r="B792" s="20">
        <v>55</v>
      </c>
      <c r="C792" s="22">
        <v>553</v>
      </c>
      <c r="D792" s="22">
        <v>5531</v>
      </c>
      <c r="E792" s="18" t="s">
        <v>111</v>
      </c>
      <c r="F792" s="21" t="s">
        <v>116</v>
      </c>
      <c r="G792" s="19" t="s">
        <v>2742</v>
      </c>
      <c r="H792" s="19" t="s">
        <v>2743</v>
      </c>
      <c r="I792" s="19" t="s">
        <v>2743</v>
      </c>
      <c r="J792" s="19" t="s"/>
    </row>
    <row r="793" spans="1:10" ht="43.2">
      <c r="A793" s="17" t="s">
        <v>110</v>
      </c>
      <c r="B793" s="20">
        <v>55</v>
      </c>
      <c r="C793" s="22">
        <v>553</v>
      </c>
      <c r="D793" s="22">
        <v>5532</v>
      </c>
      <c r="E793" s="18" t="s">
        <v>111</v>
      </c>
      <c r="F793" s="21" t="s">
        <v>116</v>
      </c>
      <c r="G793" s="19" t="s">
        <v>2742</v>
      </c>
      <c r="H793" s="19" t="s">
        <v>2744</v>
      </c>
      <c r="I793" s="19" t="s">
        <v>2744</v>
      </c>
      <c r="J793" s="19" t="s"/>
    </row>
    <row r="794" spans="1:10" ht="43.2">
      <c r="A794" s="17" t="s">
        <v>110</v>
      </c>
      <c r="B794" s="20">
        <v>55</v>
      </c>
      <c r="C794" s="22">
        <v>553</v>
      </c>
      <c r="D794" s="22">
        <v>5539</v>
      </c>
      <c r="E794" s="18" t="s">
        <v>111</v>
      </c>
      <c r="F794" s="21" t="s">
        <v>116</v>
      </c>
      <c r="G794" s="19" t="s">
        <v>2742</v>
      </c>
      <c r="H794" s="19" t="s">
        <v>2745</v>
      </c>
      <c r="I794" s="19" t="s">
        <v>2745</v>
      </c>
      <c r="J794" s="19" t="s">
        <v>2746</v>
      </c>
    </row>
    <row r="795" spans="1:10" ht="43.2">
      <c r="A795" s="17" t="s">
        <v>110</v>
      </c>
      <c r="B795" s="20">
        <v>56</v>
      </c>
      <c r="C795" s="22" t="s"/>
      <c r="D795" s="22" t="s"/>
      <c r="E795" s="18" t="s">
        <v>111</v>
      </c>
      <c r="F795" s="21" t="s">
        <v>117</v>
      </c>
      <c r="G795" s="22" t="s"/>
      <c r="H795" s="29" t="s"/>
      <c r="I795" s="21" t="s">
        <v>117</v>
      </c>
      <c r="J795" s="19" t="s">
        <v>51</v>
      </c>
    </row>
    <row r="796" spans="1:10" ht="43.2">
      <c r="A796" s="17" t="s">
        <v>110</v>
      </c>
      <c r="B796" s="20">
        <v>56</v>
      </c>
      <c r="C796" s="22">
        <v>560</v>
      </c>
      <c r="D796" s="22">
        <v>5600</v>
      </c>
      <c r="E796" s="18" t="s">
        <v>111</v>
      </c>
      <c r="F796" s="21" t="s">
        <v>117</v>
      </c>
      <c r="G796" s="19" t="s">
        <v>2747</v>
      </c>
      <c r="H796" s="19" t="s">
        <v>2747</v>
      </c>
      <c r="I796" s="19" t="s">
        <v>2747</v>
      </c>
      <c r="J796" s="19" t="s">
        <v>2748</v>
      </c>
    </row>
    <row r="797" spans="1:10" ht="43.2">
      <c r="A797" s="17" t="s">
        <v>110</v>
      </c>
      <c r="B797" s="20">
        <v>57</v>
      </c>
      <c r="C797" s="20" t="s"/>
      <c r="D797" s="20" t="s"/>
      <c r="E797" s="18" t="s">
        <v>111</v>
      </c>
      <c r="F797" s="21" t="s">
        <v>118</v>
      </c>
      <c r="G797" s="20" t="s"/>
      <c r="H797" s="29" t="s"/>
      <c r="I797" s="21" t="s">
        <v>118</v>
      </c>
      <c r="J797" s="32" t="s"/>
    </row>
    <row r="798" spans="1:10" ht="43.2">
      <c r="A798" s="17" t="s">
        <v>110</v>
      </c>
      <c r="B798" s="20">
        <v>57</v>
      </c>
      <c r="C798" s="22">
        <v>571</v>
      </c>
      <c r="D798" s="22">
        <v>5710</v>
      </c>
      <c r="E798" s="18" t="s">
        <v>111</v>
      </c>
      <c r="F798" s="21" t="s">
        <v>118</v>
      </c>
      <c r="G798" s="19" t="s">
        <v>2749</v>
      </c>
      <c r="H798" s="19" t="s">
        <v>2749</v>
      </c>
      <c r="I798" s="19" t="s">
        <v>2749</v>
      </c>
      <c r="J798" s="19" t="s">
        <v>51</v>
      </c>
    </row>
    <row r="799" spans="1:10" ht="43.2">
      <c r="A799" s="17" t="s">
        <v>110</v>
      </c>
      <c r="B799" s="20">
        <v>57</v>
      </c>
      <c r="C799" s="22">
        <v>572</v>
      </c>
      <c r="D799" s="22">
        <v>5720</v>
      </c>
      <c r="E799" s="18" t="s">
        <v>111</v>
      </c>
      <c r="F799" s="21" t="s">
        <v>118</v>
      </c>
      <c r="G799" s="19" t="s">
        <v>2750</v>
      </c>
      <c r="H799" s="19" t="s">
        <v>2750</v>
      </c>
      <c r="I799" s="19" t="s">
        <v>2750</v>
      </c>
      <c r="J799" s="19" t="s">
        <v>2751</v>
      </c>
    </row>
    <row r="800" spans="1:10" ht="43.2">
      <c r="A800" s="17" t="s">
        <v>110</v>
      </c>
      <c r="B800" s="20">
        <v>58</v>
      </c>
      <c r="C800" s="31" t="s"/>
      <c r="D800" s="31" t="s"/>
      <c r="E800" s="18" t="s">
        <v>111</v>
      </c>
      <c r="F800" s="21" t="s">
        <v>119</v>
      </c>
      <c r="G800" s="31" t="s"/>
      <c r="H800" s="29" t="s"/>
      <c r="I800" s="21" t="s">
        <v>119</v>
      </c>
      <c r="J800" s="19" t="s">
        <v>2752</v>
      </c>
    </row>
    <row r="801" spans="1:10" ht="43.2">
      <c r="A801" s="17" t="s">
        <v>110</v>
      </c>
      <c r="B801" s="20">
        <v>58</v>
      </c>
      <c r="C801" s="22">
        <v>581</v>
      </c>
      <c r="D801" s="22">
        <v>5810</v>
      </c>
      <c r="E801" s="18" t="s">
        <v>111</v>
      </c>
      <c r="F801" s="21" t="s">
        <v>119</v>
      </c>
      <c r="G801" s="19" t="s">
        <v>2753</v>
      </c>
      <c r="H801" s="19" t="s">
        <v>2753</v>
      </c>
      <c r="I801" s="19" t="s">
        <v>2753</v>
      </c>
      <c r="J801" s="19" t="s"/>
    </row>
    <row r="802" spans="1:10" ht="43.2">
      <c r="A802" s="17" t="s">
        <v>110</v>
      </c>
      <c r="B802" s="20">
        <v>58</v>
      </c>
      <c r="C802" s="22">
        <v>589</v>
      </c>
      <c r="D802" s="22">
        <v>5890</v>
      </c>
      <c r="E802" s="18" t="s">
        <v>111</v>
      </c>
      <c r="F802" s="21" t="s">
        <v>119</v>
      </c>
      <c r="G802" s="19" t="s">
        <v>2754</v>
      </c>
      <c r="H802" s="19" t="s">
        <v>2754</v>
      </c>
      <c r="I802" s="19" t="s">
        <v>2754</v>
      </c>
      <c r="J802" s="19" t="s"/>
    </row>
    <row r="803" spans="1:10" ht="43.2">
      <c r="A803" s="17" t="s">
        <v>110</v>
      </c>
      <c r="B803" s="20">
        <v>59</v>
      </c>
      <c r="C803" s="31" t="s"/>
      <c r="D803" s="31" t="s"/>
      <c r="E803" s="18" t="s">
        <v>111</v>
      </c>
      <c r="F803" s="21" t="s">
        <v>120</v>
      </c>
      <c r="G803" s="31" t="s"/>
      <c r="H803" s="29" t="s"/>
      <c r="I803" s="21" t="s">
        <v>120</v>
      </c>
      <c r="J803" s="19" t="s"/>
    </row>
    <row r="804" spans="1:10" ht="43.2">
      <c r="A804" s="17" t="s">
        <v>110</v>
      </c>
      <c r="B804" s="20">
        <v>59</v>
      </c>
      <c r="C804" s="22">
        <v>591</v>
      </c>
      <c r="D804" s="22">
        <v>5910</v>
      </c>
      <c r="E804" s="18" t="s">
        <v>111</v>
      </c>
      <c r="F804" s="21" t="s">
        <v>120</v>
      </c>
      <c r="G804" s="19" t="s">
        <v>2755</v>
      </c>
      <c r="H804" s="19" t="s">
        <v>2755</v>
      </c>
      <c r="I804" s="19" t="s">
        <v>2755</v>
      </c>
      <c r="J804" s="19" t="s">
        <v>2756</v>
      </c>
    </row>
    <row r="805" spans="1:10" ht="43.2">
      <c r="A805" s="17" t="s">
        <v>110</v>
      </c>
      <c r="B805" s="20">
        <v>59</v>
      </c>
      <c r="C805" s="22">
        <v>599</v>
      </c>
      <c r="D805" s="22">
        <v>5990</v>
      </c>
      <c r="E805" s="18" t="s">
        <v>111</v>
      </c>
      <c r="F805" s="21" t="s">
        <v>120</v>
      </c>
      <c r="G805" s="19" t="s">
        <v>2757</v>
      </c>
      <c r="H805" s="19" t="s">
        <v>2757</v>
      </c>
      <c r="I805" s="19" t="s">
        <v>2757</v>
      </c>
      <c r="J805" s="19" t="s">
        <v>2758</v>
      </c>
    </row>
    <row r="806" spans="1:10" ht="43.2">
      <c r="A806" s="17" t="s">
        <v>121</v>
      </c>
      <c r="B806" s="17" t="s"/>
      <c r="C806" s="17" t="s"/>
      <c r="D806" s="17" t="s"/>
      <c r="E806" s="18" t="s">
        <v>122</v>
      </c>
      <c r="F806" s="17" t="s"/>
      <c r="G806" s="17" t="s"/>
      <c r="H806" s="29" t="s"/>
      <c r="I806" s="18" t="s">
        <v>122</v>
      </c>
      <c r="J806" s="19" t="s">
        <v>2759</v>
      </c>
    </row>
    <row r="807" spans="1:10" ht="43.2">
      <c r="A807" s="17" t="s">
        <v>121</v>
      </c>
      <c r="B807" s="20">
        <v>60</v>
      </c>
      <c r="C807" s="20" t="s"/>
      <c r="D807" s="20" t="s"/>
      <c r="E807" s="18" t="s">
        <v>122</v>
      </c>
      <c r="F807" s="21" t="s">
        <v>123</v>
      </c>
      <c r="G807" s="20" t="s"/>
      <c r="H807" s="29" t="s"/>
      <c r="I807" s="21" t="s">
        <v>123</v>
      </c>
      <c r="J807" s="24" t="s"/>
    </row>
    <row r="808" spans="1:10" ht="43.2">
      <c r="A808" s="17" t="s">
        <v>121</v>
      </c>
      <c r="B808" s="20">
        <v>60</v>
      </c>
      <c r="C808" s="22">
        <v>601</v>
      </c>
      <c r="D808" s="22" t="s"/>
      <c r="E808" s="18" t="s">
        <v>122</v>
      </c>
      <c r="F808" s="21" t="s">
        <v>123</v>
      </c>
      <c r="G808" s="19" t="s">
        <v>2760</v>
      </c>
      <c r="H808" s="29" t="s"/>
      <c r="I808" s="19" t="s">
        <v>2760</v>
      </c>
      <c r="J808" s="19" t="s">
        <v>2761</v>
      </c>
    </row>
    <row r="809" spans="1:10" ht="43.2">
      <c r="A809" s="17" t="s">
        <v>121</v>
      </c>
      <c r="B809" s="20">
        <v>60</v>
      </c>
      <c r="C809" s="22">
        <v>601</v>
      </c>
      <c r="D809" s="22">
        <v>6011</v>
      </c>
      <c r="E809" s="18" t="s">
        <v>122</v>
      </c>
      <c r="F809" s="21" t="s">
        <v>123</v>
      </c>
      <c r="G809" s="19" t="s">
        <v>2760</v>
      </c>
      <c r="H809" s="19" t="s">
        <v>2762</v>
      </c>
      <c r="I809" s="19" t="s">
        <v>2762</v>
      </c>
      <c r="J809" s="19" t="s">
        <v>2763</v>
      </c>
    </row>
    <row r="810" spans="1:10" ht="43.2">
      <c r="A810" s="17" t="s">
        <v>121</v>
      </c>
      <c r="B810" s="20">
        <v>60</v>
      </c>
      <c r="C810" s="22">
        <v>601</v>
      </c>
      <c r="D810" s="22">
        <v>6012</v>
      </c>
      <c r="E810" s="18" t="s">
        <v>122</v>
      </c>
      <c r="F810" s="21" t="s">
        <v>123</v>
      </c>
      <c r="G810" s="19" t="s">
        <v>2760</v>
      </c>
      <c r="H810" s="19" t="s">
        <v>2764</v>
      </c>
      <c r="I810" s="19" t="s">
        <v>2764</v>
      </c>
      <c r="J810" s="19" t="s">
        <v>2765</v>
      </c>
    </row>
    <row r="811" spans="1:10" ht="43.2">
      <c r="A811" s="17" t="s">
        <v>121</v>
      </c>
      <c r="B811" s="20">
        <v>60</v>
      </c>
      <c r="C811" s="22">
        <v>601</v>
      </c>
      <c r="D811" s="22">
        <v>6019</v>
      </c>
      <c r="E811" s="18" t="s">
        <v>122</v>
      </c>
      <c r="F811" s="21" t="s">
        <v>123</v>
      </c>
      <c r="G811" s="19" t="s">
        <v>2760</v>
      </c>
      <c r="H811" s="19" t="s">
        <v>2766</v>
      </c>
      <c r="I811" s="19" t="s">
        <v>2766</v>
      </c>
      <c r="J811" s="19" t="s">
        <v>2767</v>
      </c>
    </row>
    <row r="812" spans="1:10" ht="43.2">
      <c r="A812" s="17" t="s">
        <v>121</v>
      </c>
      <c r="B812" s="20">
        <v>60</v>
      </c>
      <c r="C812" s="22">
        <v>602</v>
      </c>
      <c r="D812" s="22">
        <v>6020</v>
      </c>
      <c r="E812" s="18" t="s">
        <v>122</v>
      </c>
      <c r="F812" s="21" t="s">
        <v>123</v>
      </c>
      <c r="G812" s="19" t="s">
        <v>2768</v>
      </c>
      <c r="H812" s="19" t="s">
        <v>2768</v>
      </c>
      <c r="I812" s="19" t="s">
        <v>2768</v>
      </c>
      <c r="J812" s="19" t="s">
        <v>2769</v>
      </c>
    </row>
    <row r="813" spans="1:10" ht="43.2">
      <c r="A813" s="17" t="s">
        <v>121</v>
      </c>
      <c r="B813" s="20">
        <v>60</v>
      </c>
      <c r="C813" s="22">
        <v>603</v>
      </c>
      <c r="D813" s="22" t="s"/>
      <c r="E813" s="18" t="s">
        <v>122</v>
      </c>
      <c r="F813" s="21" t="s">
        <v>123</v>
      </c>
      <c r="G813" s="19" t="s">
        <v>2770</v>
      </c>
      <c r="H813" s="29" t="s"/>
      <c r="I813" s="19" t="s">
        <v>2770</v>
      </c>
      <c r="J813" s="19" t="s"/>
    </row>
    <row r="814" spans="1:10" ht="43.2">
      <c r="A814" s="17" t="s">
        <v>121</v>
      </c>
      <c r="B814" s="20">
        <v>60</v>
      </c>
      <c r="C814" s="22">
        <v>603</v>
      </c>
      <c r="D814" s="22">
        <v>6031</v>
      </c>
      <c r="E814" s="18" t="s">
        <v>122</v>
      </c>
      <c r="F814" s="21" t="s">
        <v>123</v>
      </c>
      <c r="G814" s="19" t="s">
        <v>2770</v>
      </c>
      <c r="H814" s="19" t="s">
        <v>2771</v>
      </c>
      <c r="I814" s="19" t="s">
        <v>2771</v>
      </c>
      <c r="J814" s="19" t="s">
        <v>2772</v>
      </c>
    </row>
    <row r="815" spans="1:10" ht="43.2">
      <c r="A815" s="17" t="s">
        <v>121</v>
      </c>
      <c r="B815" s="20">
        <v>60</v>
      </c>
      <c r="C815" s="22">
        <v>603</v>
      </c>
      <c r="D815" s="22">
        <v>6032</v>
      </c>
      <c r="E815" s="18" t="s">
        <v>122</v>
      </c>
      <c r="F815" s="21" t="s">
        <v>123</v>
      </c>
      <c r="G815" s="19" t="s">
        <v>2770</v>
      </c>
      <c r="H815" s="19" t="s">
        <v>2773</v>
      </c>
      <c r="I815" s="19" t="s">
        <v>2773</v>
      </c>
      <c r="J815" s="19" t="s">
        <v>2774</v>
      </c>
    </row>
    <row r="816" spans="1:10" ht="43.2">
      <c r="A816" s="17" t="s">
        <v>121</v>
      </c>
      <c r="B816" s="20">
        <v>60</v>
      </c>
      <c r="C816" s="22">
        <v>604</v>
      </c>
      <c r="D816" s="22">
        <v>6040</v>
      </c>
      <c r="E816" s="18" t="s">
        <v>122</v>
      </c>
      <c r="F816" s="21" t="s">
        <v>123</v>
      </c>
      <c r="G816" s="19" t="s">
        <v>2775</v>
      </c>
      <c r="H816" s="19" t="s">
        <v>2775</v>
      </c>
      <c r="I816" s="19" t="s">
        <v>2775</v>
      </c>
      <c r="J816" s="19" t="s">
        <v>2776</v>
      </c>
    </row>
    <row r="817" spans="1:10" ht="43.2">
      <c r="A817" s="17" t="s">
        <v>121</v>
      </c>
      <c r="B817" s="20">
        <v>61</v>
      </c>
      <c r="C817" s="31" t="s"/>
      <c r="D817" s="31" t="s"/>
      <c r="E817" s="18" t="s">
        <v>122</v>
      </c>
      <c r="F817" s="21" t="s">
        <v>124</v>
      </c>
      <c r="G817" s="31" t="s"/>
      <c r="H817" s="29" t="s"/>
      <c r="I817" s="21" t="s">
        <v>124</v>
      </c>
      <c r="J817" s="19" t="s"/>
    </row>
    <row r="818" spans="1:10" ht="43.2">
      <c r="A818" s="17" t="s">
        <v>121</v>
      </c>
      <c r="B818" s="20">
        <v>61</v>
      </c>
      <c r="C818" s="22">
        <v>611</v>
      </c>
      <c r="D818" s="22">
        <v>6110</v>
      </c>
      <c r="E818" s="18" t="s">
        <v>122</v>
      </c>
      <c r="F818" s="21" t="s">
        <v>124</v>
      </c>
      <c r="G818" s="19" t="s">
        <v>2777</v>
      </c>
      <c r="H818" s="19" t="s">
        <v>2777</v>
      </c>
      <c r="I818" s="19" t="s">
        <v>2777</v>
      </c>
      <c r="J818" s="19" t="s">
        <v>2778</v>
      </c>
    </row>
    <row r="819" spans="1:10" ht="43.2">
      <c r="A819" s="17" t="s">
        <v>121</v>
      </c>
      <c r="B819" s="20">
        <v>61</v>
      </c>
      <c r="C819" s="22">
        <v>612</v>
      </c>
      <c r="D819" s="22">
        <v>6120</v>
      </c>
      <c r="E819" s="18" t="s">
        <v>122</v>
      </c>
      <c r="F819" s="21" t="s">
        <v>124</v>
      </c>
      <c r="G819" s="19" t="s">
        <v>2779</v>
      </c>
      <c r="H819" s="19" t="s">
        <v>2779</v>
      </c>
      <c r="I819" s="19" t="s">
        <v>2779</v>
      </c>
      <c r="J819" s="19" t="s">
        <v>2780</v>
      </c>
    </row>
    <row r="820" spans="1:10" ht="43.2">
      <c r="A820" s="17" t="s">
        <v>121</v>
      </c>
      <c r="B820" s="20">
        <v>61</v>
      </c>
      <c r="C820" s="22">
        <v>613</v>
      </c>
      <c r="D820" s="22">
        <v>6130</v>
      </c>
      <c r="E820" s="18" t="s">
        <v>122</v>
      </c>
      <c r="F820" s="21" t="s">
        <v>124</v>
      </c>
      <c r="G820" s="19" t="s">
        <v>2781</v>
      </c>
      <c r="H820" s="19" t="s">
        <v>2781</v>
      </c>
      <c r="I820" s="19" t="s">
        <v>2781</v>
      </c>
      <c r="J820" s="19" t="s">
        <v>2782</v>
      </c>
    </row>
    <row r="821" spans="1:10" ht="43.2">
      <c r="A821" s="17" t="s">
        <v>121</v>
      </c>
      <c r="B821" s="20">
        <v>61</v>
      </c>
      <c r="C821" s="22">
        <v>619</v>
      </c>
      <c r="D821" s="22">
        <v>6190</v>
      </c>
      <c r="E821" s="18" t="s">
        <v>122</v>
      </c>
      <c r="F821" s="21" t="s">
        <v>124</v>
      </c>
      <c r="G821" s="19" t="s">
        <v>2783</v>
      </c>
      <c r="H821" s="19" t="s">
        <v>2783</v>
      </c>
      <c r="I821" s="19" t="s">
        <v>2783</v>
      </c>
      <c r="J821" s="19" t="s">
        <v>2784</v>
      </c>
    </row>
    <row r="822" spans="1:10" ht="45.6">
      <c r="A822" s="17" t="s">
        <v>121</v>
      </c>
      <c r="B822" s="20">
        <v>62</v>
      </c>
      <c r="C822" s="20" t="s"/>
      <c r="D822" s="20" t="s"/>
      <c r="E822" s="18" t="s">
        <v>122</v>
      </c>
      <c r="F822" s="21" t="s">
        <v>125</v>
      </c>
      <c r="G822" s="20" t="s"/>
      <c r="H822" s="29" t="s"/>
      <c r="I822" s="21" t="s">
        <v>125</v>
      </c>
      <c r="J822" s="19" t="s">
        <v>2785</v>
      </c>
    </row>
    <row r="823" spans="1:10" ht="43.2">
      <c r="A823" s="17" t="s">
        <v>121</v>
      </c>
      <c r="B823" s="20">
        <v>62</v>
      </c>
      <c r="C823" s="22">
        <v>621</v>
      </c>
      <c r="D823" s="22" t="s"/>
      <c r="E823" s="18" t="s">
        <v>122</v>
      </c>
      <c r="F823" s="21" t="s">
        <v>125</v>
      </c>
      <c r="G823" s="19" t="s">
        <v>2786</v>
      </c>
      <c r="H823" s="29" t="s"/>
      <c r="I823" s="19" t="s">
        <v>2786</v>
      </c>
      <c r="J823" s="19" t="s">
        <v>62</v>
      </c>
    </row>
    <row r="824" spans="1:10" ht="43.2">
      <c r="A824" s="17" t="s">
        <v>121</v>
      </c>
      <c r="B824" s="20">
        <v>62</v>
      </c>
      <c r="C824" s="22">
        <v>621</v>
      </c>
      <c r="D824" s="22">
        <v>6211</v>
      </c>
      <c r="E824" s="18" t="s">
        <v>122</v>
      </c>
      <c r="F824" s="21" t="s">
        <v>125</v>
      </c>
      <c r="G824" s="19" t="s">
        <v>2786</v>
      </c>
      <c r="H824" s="19" t="s">
        <v>2787</v>
      </c>
      <c r="I824" s="19" t="s">
        <v>2787</v>
      </c>
      <c r="J824" s="19" t="s">
        <v>2788</v>
      </c>
    </row>
    <row r="825" spans="1:10" ht="43.2">
      <c r="A825" s="17" t="s">
        <v>121</v>
      </c>
      <c r="B825" s="20">
        <v>62</v>
      </c>
      <c r="C825" s="22">
        <v>621</v>
      </c>
      <c r="D825" s="22">
        <v>6212</v>
      </c>
      <c r="E825" s="18" t="s">
        <v>122</v>
      </c>
      <c r="F825" s="21" t="s">
        <v>125</v>
      </c>
      <c r="G825" s="19" t="s">
        <v>2786</v>
      </c>
      <c r="H825" s="19" t="s">
        <v>2789</v>
      </c>
      <c r="I825" s="19" t="s">
        <v>2789</v>
      </c>
      <c r="J825" s="19" t="s">
        <v>2790</v>
      </c>
    </row>
    <row r="826" spans="1:10" ht="43.2">
      <c r="A826" s="17" t="s">
        <v>121</v>
      </c>
      <c r="B826" s="20">
        <v>62</v>
      </c>
      <c r="C826" s="22">
        <v>629</v>
      </c>
      <c r="D826" s="22">
        <v>6290</v>
      </c>
      <c r="E826" s="18" t="s">
        <v>122</v>
      </c>
      <c r="F826" s="21" t="s">
        <v>125</v>
      </c>
      <c r="G826" s="19" t="s">
        <v>2791</v>
      </c>
      <c r="H826" s="19" t="s">
        <v>2791</v>
      </c>
      <c r="I826" s="19" t="s">
        <v>2791</v>
      </c>
      <c r="J826" s="19" t="s">
        <v>2792</v>
      </c>
    </row>
    <row r="827" spans="1:10" ht="28.8">
      <c r="A827" s="17" t="s">
        <v>126</v>
      </c>
      <c r="B827" s="17" t="s"/>
      <c r="C827" s="17" t="s"/>
      <c r="D827" s="26" t="s"/>
      <c r="E827" s="18" t="s">
        <v>127</v>
      </c>
      <c r="F827" s="26" t="s"/>
      <c r="G827" s="26" t="s"/>
      <c r="H827" s="29" t="s"/>
      <c r="I827" s="18" t="s">
        <v>127</v>
      </c>
      <c r="J827" s="19" t="s">
        <v>2793</v>
      </c>
    </row>
    <row r="828" spans="1:10" ht="66">
      <c r="A828" s="17" t="s">
        <v>126</v>
      </c>
      <c r="B828" s="20">
        <v>63</v>
      </c>
      <c r="C828" s="31" t="s"/>
      <c r="D828" s="22" t="s"/>
      <c r="E828" s="18" t="s">
        <v>127</v>
      </c>
      <c r="F828" s="21" t="s">
        <v>128</v>
      </c>
      <c r="G828" s="22" t="s"/>
      <c r="H828" s="29" t="s"/>
      <c r="I828" s="21" t="s">
        <v>128</v>
      </c>
      <c r="J828" s="19" t="s">
        <v>2794</v>
      </c>
    </row>
    <row r="829" spans="1:10" ht="28.8">
      <c r="A829" s="17" t="s">
        <v>126</v>
      </c>
      <c r="B829" s="20">
        <v>63</v>
      </c>
      <c r="C829" s="22">
        <v>631</v>
      </c>
      <c r="D829" s="22" t="s"/>
      <c r="E829" s="18" t="s">
        <v>127</v>
      </c>
      <c r="F829" s="21" t="s">
        <v>128</v>
      </c>
      <c r="G829" s="19" t="s">
        <v>2795</v>
      </c>
      <c r="H829" s="29" t="s"/>
      <c r="I829" s="19" t="s">
        <v>2795</v>
      </c>
      <c r="J829" s="19" t="s">
        <v>2796</v>
      </c>
    </row>
    <row r="830" spans="1:10" ht="28.8">
      <c r="A830" s="17" t="s">
        <v>126</v>
      </c>
      <c r="B830" s="20">
        <v>63</v>
      </c>
      <c r="C830" s="22">
        <v>631</v>
      </c>
      <c r="D830" s="22">
        <v>6311</v>
      </c>
      <c r="E830" s="18" t="s">
        <v>127</v>
      </c>
      <c r="F830" s="21" t="s">
        <v>128</v>
      </c>
      <c r="G830" s="19" t="s">
        <v>2795</v>
      </c>
      <c r="H830" s="19" t="s">
        <v>2797</v>
      </c>
      <c r="I830" s="19" t="s">
        <v>2797</v>
      </c>
      <c r="J830" s="19" t="s"/>
    </row>
    <row r="831" spans="1:10" ht="28.8">
      <c r="A831" s="17" t="s">
        <v>126</v>
      </c>
      <c r="B831" s="20">
        <v>63</v>
      </c>
      <c r="C831" s="22">
        <v>631</v>
      </c>
      <c r="D831" s="22">
        <v>6312</v>
      </c>
      <c r="E831" s="18" t="s">
        <v>127</v>
      </c>
      <c r="F831" s="21" t="s">
        <v>128</v>
      </c>
      <c r="G831" s="19" t="s">
        <v>2795</v>
      </c>
      <c r="H831" s="19" t="s">
        <v>2798</v>
      </c>
      <c r="I831" s="19" t="s">
        <v>2798</v>
      </c>
      <c r="J831" s="19" t="s"/>
    </row>
    <row r="832" spans="1:10" ht="28.8">
      <c r="A832" s="17" t="s">
        <v>126</v>
      </c>
      <c r="B832" s="20">
        <v>63</v>
      </c>
      <c r="C832" s="22">
        <v>631</v>
      </c>
      <c r="D832" s="22">
        <v>6313</v>
      </c>
      <c r="E832" s="18" t="s">
        <v>127</v>
      </c>
      <c r="F832" s="21" t="s">
        <v>128</v>
      </c>
      <c r="G832" s="19" t="s">
        <v>2795</v>
      </c>
      <c r="H832" s="19" t="s">
        <v>2799</v>
      </c>
      <c r="I832" s="19" t="s">
        <v>2799</v>
      </c>
      <c r="J832" s="19" t="s"/>
    </row>
    <row r="833" spans="1:10" ht="28.8">
      <c r="A833" s="17" t="s">
        <v>126</v>
      </c>
      <c r="B833" s="20">
        <v>63</v>
      </c>
      <c r="C833" s="22">
        <v>631</v>
      </c>
      <c r="D833" s="22">
        <v>6314</v>
      </c>
      <c r="E833" s="18" t="s">
        <v>127</v>
      </c>
      <c r="F833" s="21" t="s">
        <v>128</v>
      </c>
      <c r="G833" s="19" t="s">
        <v>2795</v>
      </c>
      <c r="H833" s="19" t="s">
        <v>2800</v>
      </c>
      <c r="I833" s="19" t="s">
        <v>2800</v>
      </c>
      <c r="J833" s="19" t="s"/>
    </row>
    <row r="834" spans="1:10" ht="28.8">
      <c r="A834" s="17" t="s">
        <v>126</v>
      </c>
      <c r="B834" s="20">
        <v>63</v>
      </c>
      <c r="C834" s="22">
        <v>631</v>
      </c>
      <c r="D834" s="22">
        <v>6319</v>
      </c>
      <c r="E834" s="18" t="s">
        <v>127</v>
      </c>
      <c r="F834" s="21" t="s">
        <v>128</v>
      </c>
      <c r="G834" s="19" t="s">
        <v>2795</v>
      </c>
      <c r="H834" s="19" t="s">
        <v>2801</v>
      </c>
      <c r="I834" s="19" t="s">
        <v>2801</v>
      </c>
      <c r="J834" s="19" t="s"/>
    </row>
    <row r="835" spans="1:10" ht="28.8">
      <c r="A835" s="17" t="s">
        <v>126</v>
      </c>
      <c r="B835" s="20">
        <v>63</v>
      </c>
      <c r="C835" s="22">
        <v>632</v>
      </c>
      <c r="D835" s="22" t="s"/>
      <c r="E835" s="18" t="s">
        <v>127</v>
      </c>
      <c r="F835" s="21" t="s">
        <v>128</v>
      </c>
      <c r="G835" s="19" t="s">
        <v>2802</v>
      </c>
      <c r="H835" s="29" t="s"/>
      <c r="I835" s="19" t="s">
        <v>2802</v>
      </c>
      <c r="J835" s="19" t="s">
        <v>2803</v>
      </c>
    </row>
    <row r="836" spans="1:10" ht="28.8">
      <c r="A836" s="17" t="s">
        <v>126</v>
      </c>
      <c r="B836" s="20">
        <v>63</v>
      </c>
      <c r="C836" s="22">
        <v>632</v>
      </c>
      <c r="D836" s="22">
        <v>6321</v>
      </c>
      <c r="E836" s="18" t="s">
        <v>127</v>
      </c>
      <c r="F836" s="21" t="s">
        <v>128</v>
      </c>
      <c r="G836" s="19" t="s">
        <v>2802</v>
      </c>
      <c r="H836" s="19" t="s">
        <v>2804</v>
      </c>
      <c r="I836" s="19" t="s">
        <v>2804</v>
      </c>
      <c r="J836" s="19" t="s"/>
    </row>
    <row r="837" spans="1:10" ht="28.8">
      <c r="A837" s="17" t="s">
        <v>126</v>
      </c>
      <c r="B837" s="20">
        <v>63</v>
      </c>
      <c r="C837" s="22">
        <v>632</v>
      </c>
      <c r="D837" s="22">
        <v>6322</v>
      </c>
      <c r="E837" s="18" t="s">
        <v>127</v>
      </c>
      <c r="F837" s="21" t="s">
        <v>128</v>
      </c>
      <c r="G837" s="19" t="s">
        <v>2802</v>
      </c>
      <c r="H837" s="19" t="s">
        <v>2805</v>
      </c>
      <c r="I837" s="19" t="s">
        <v>2805</v>
      </c>
      <c r="J837" s="19" t="s"/>
    </row>
    <row r="838" spans="1:10" ht="28.8">
      <c r="A838" s="17" t="s">
        <v>126</v>
      </c>
      <c r="B838" s="20">
        <v>63</v>
      </c>
      <c r="C838" s="22">
        <v>632</v>
      </c>
      <c r="D838" s="22">
        <v>6323</v>
      </c>
      <c r="E838" s="18" t="s">
        <v>127</v>
      </c>
      <c r="F838" s="21" t="s">
        <v>128</v>
      </c>
      <c r="G838" s="19" t="s">
        <v>2802</v>
      </c>
      <c r="H838" s="19" t="s">
        <v>2806</v>
      </c>
      <c r="I838" s="19" t="s">
        <v>2806</v>
      </c>
      <c r="J838" s="19" t="s"/>
    </row>
    <row r="839" spans="1:10" ht="28.8">
      <c r="A839" s="17" t="s">
        <v>126</v>
      </c>
      <c r="B839" s="20">
        <v>63</v>
      </c>
      <c r="C839" s="22">
        <v>632</v>
      </c>
      <c r="D839" s="22">
        <v>6324</v>
      </c>
      <c r="E839" s="18" t="s">
        <v>127</v>
      </c>
      <c r="F839" s="21" t="s">
        <v>128</v>
      </c>
      <c r="G839" s="19" t="s">
        <v>2802</v>
      </c>
      <c r="H839" s="19" t="s">
        <v>2807</v>
      </c>
      <c r="I839" s="19" t="s">
        <v>2807</v>
      </c>
      <c r="J839" s="19" t="s"/>
    </row>
    <row r="840" spans="1:10" ht="28.8">
      <c r="A840" s="17" t="s">
        <v>126</v>
      </c>
      <c r="B840" s="20">
        <v>63</v>
      </c>
      <c r="C840" s="22">
        <v>632</v>
      </c>
      <c r="D840" s="22">
        <v>6325</v>
      </c>
      <c r="E840" s="18" t="s">
        <v>127</v>
      </c>
      <c r="F840" s="21" t="s">
        <v>128</v>
      </c>
      <c r="G840" s="19" t="s">
        <v>2802</v>
      </c>
      <c r="H840" s="19" t="s">
        <v>2808</v>
      </c>
      <c r="I840" s="19" t="s">
        <v>2808</v>
      </c>
      <c r="J840" s="33" t="s"/>
    </row>
    <row r="841" spans="1:10" ht="28.8">
      <c r="A841" s="17" t="s">
        <v>126</v>
      </c>
      <c r="B841" s="20">
        <v>63</v>
      </c>
      <c r="C841" s="22">
        <v>632</v>
      </c>
      <c r="D841" s="22">
        <v>6326</v>
      </c>
      <c r="E841" s="18" t="s">
        <v>127</v>
      </c>
      <c r="F841" s="21" t="s">
        <v>128</v>
      </c>
      <c r="G841" s="19" t="s">
        <v>2802</v>
      </c>
      <c r="H841" s="19" t="s">
        <v>2809</v>
      </c>
      <c r="I841" s="19" t="s">
        <v>2809</v>
      </c>
      <c r="J841" s="19" t="s">
        <v>2810</v>
      </c>
    </row>
    <row r="842" spans="1:10" ht="28.8">
      <c r="A842" s="17" t="s">
        <v>126</v>
      </c>
      <c r="B842" s="20">
        <v>63</v>
      </c>
      <c r="C842" s="22">
        <v>632</v>
      </c>
      <c r="D842" s="22">
        <v>6327</v>
      </c>
      <c r="E842" s="18" t="s">
        <v>127</v>
      </c>
      <c r="F842" s="21" t="s">
        <v>128</v>
      </c>
      <c r="G842" s="19" t="s">
        <v>2802</v>
      </c>
      <c r="H842" s="19" t="s">
        <v>2811</v>
      </c>
      <c r="I842" s="19" t="s">
        <v>2811</v>
      </c>
      <c r="J842" s="19" t="s">
        <v>2812</v>
      </c>
    </row>
    <row r="843" spans="1:10" ht="28.8">
      <c r="A843" s="17" t="s">
        <v>126</v>
      </c>
      <c r="B843" s="20">
        <v>63</v>
      </c>
      <c r="C843" s="22">
        <v>632</v>
      </c>
      <c r="D843" s="22">
        <v>6329</v>
      </c>
      <c r="E843" s="18" t="s">
        <v>127</v>
      </c>
      <c r="F843" s="21" t="s">
        <v>128</v>
      </c>
      <c r="G843" s="19" t="s">
        <v>2802</v>
      </c>
      <c r="H843" s="19" t="s">
        <v>2813</v>
      </c>
      <c r="I843" s="19" t="s">
        <v>2813</v>
      </c>
      <c r="J843" s="19" t="s"/>
    </row>
    <row r="844" spans="1:10" ht="28.8">
      <c r="A844" s="17" t="s">
        <v>126</v>
      </c>
      <c r="B844" s="20">
        <v>63</v>
      </c>
      <c r="C844" s="22">
        <v>633</v>
      </c>
      <c r="D844" s="22" t="s"/>
      <c r="E844" s="18" t="s">
        <v>127</v>
      </c>
      <c r="F844" s="21" t="s">
        <v>128</v>
      </c>
      <c r="G844" s="19" t="s">
        <v>2814</v>
      </c>
      <c r="H844" s="29" t="s"/>
      <c r="I844" s="19" t="s">
        <v>2814</v>
      </c>
      <c r="J844" s="19" t="s">
        <v>2815</v>
      </c>
    </row>
    <row r="845" spans="1:10" ht="28.8">
      <c r="A845" s="17" t="s">
        <v>126</v>
      </c>
      <c r="B845" s="20">
        <v>63</v>
      </c>
      <c r="C845" s="22">
        <v>633</v>
      </c>
      <c r="D845" s="22">
        <v>6331</v>
      </c>
      <c r="E845" s="18" t="s">
        <v>127</v>
      </c>
      <c r="F845" s="21" t="s">
        <v>128</v>
      </c>
      <c r="G845" s="19" t="s">
        <v>2814</v>
      </c>
      <c r="H845" s="19" t="s">
        <v>2816</v>
      </c>
      <c r="I845" s="19" t="s">
        <v>2816</v>
      </c>
      <c r="J845" s="19" t="s"/>
    </row>
    <row r="846" spans="1:10" ht="28.8">
      <c r="A846" s="17" t="s">
        <v>126</v>
      </c>
      <c r="B846" s="20">
        <v>63</v>
      </c>
      <c r="C846" s="22">
        <v>633</v>
      </c>
      <c r="D846" s="22">
        <v>6332</v>
      </c>
      <c r="E846" s="18" t="s">
        <v>127</v>
      </c>
      <c r="F846" s="21" t="s">
        <v>128</v>
      </c>
      <c r="G846" s="19" t="s">
        <v>2814</v>
      </c>
      <c r="H846" s="19" t="s">
        <v>2817</v>
      </c>
      <c r="I846" s="19" t="s">
        <v>2817</v>
      </c>
      <c r="J846" s="19" t="s"/>
    </row>
    <row r="847" spans="1:10" ht="28.8">
      <c r="A847" s="17" t="s">
        <v>126</v>
      </c>
      <c r="B847" s="20">
        <v>63</v>
      </c>
      <c r="C847" s="22">
        <v>633</v>
      </c>
      <c r="D847" s="22">
        <v>6333</v>
      </c>
      <c r="E847" s="18" t="s">
        <v>127</v>
      </c>
      <c r="F847" s="21" t="s">
        <v>128</v>
      </c>
      <c r="G847" s="19" t="s">
        <v>2814</v>
      </c>
      <c r="H847" s="19" t="s">
        <v>2818</v>
      </c>
      <c r="I847" s="19" t="s">
        <v>2818</v>
      </c>
      <c r="J847" s="19" t="s"/>
    </row>
    <row r="848" spans="1:10" ht="33.6">
      <c r="A848" s="17" t="s">
        <v>126</v>
      </c>
      <c r="B848" s="20">
        <v>63</v>
      </c>
      <c r="C848" s="22">
        <v>633</v>
      </c>
      <c r="D848" s="22">
        <v>6334</v>
      </c>
      <c r="E848" s="18" t="s">
        <v>127</v>
      </c>
      <c r="F848" s="21" t="s">
        <v>128</v>
      </c>
      <c r="G848" s="19" t="s">
        <v>2814</v>
      </c>
      <c r="H848" s="19" t="s">
        <v>2819</v>
      </c>
      <c r="I848" s="19" t="s">
        <v>2819</v>
      </c>
      <c r="J848" s="19" t="s">
        <v>2820</v>
      </c>
    </row>
    <row r="849" spans="1:10" ht="28.8">
      <c r="A849" s="17" t="s">
        <v>126</v>
      </c>
      <c r="B849" s="20">
        <v>63</v>
      </c>
      <c r="C849" s="22">
        <v>633</v>
      </c>
      <c r="D849" s="22">
        <v>6335</v>
      </c>
      <c r="E849" s="18" t="s">
        <v>127</v>
      </c>
      <c r="F849" s="21" t="s">
        <v>128</v>
      </c>
      <c r="G849" s="19" t="s">
        <v>2814</v>
      </c>
      <c r="H849" s="19" t="s">
        <v>2821</v>
      </c>
      <c r="I849" s="19" t="s">
        <v>2821</v>
      </c>
      <c r="J849" s="19" t="s"/>
    </row>
    <row r="850" spans="1:10" ht="28.8">
      <c r="A850" s="17" t="s">
        <v>126</v>
      </c>
      <c r="B850" s="20">
        <v>63</v>
      </c>
      <c r="C850" s="22">
        <v>633</v>
      </c>
      <c r="D850" s="22">
        <v>6339</v>
      </c>
      <c r="E850" s="18" t="s">
        <v>127</v>
      </c>
      <c r="F850" s="21" t="s">
        <v>128</v>
      </c>
      <c r="G850" s="19" t="s">
        <v>2814</v>
      </c>
      <c r="H850" s="19" t="s">
        <v>2822</v>
      </c>
      <c r="I850" s="19" t="s">
        <v>2822</v>
      </c>
      <c r="J850" s="19" t="s">
        <v>2823</v>
      </c>
    </row>
    <row r="851" spans="1:10" ht="33.6">
      <c r="A851" s="17" t="s">
        <v>126</v>
      </c>
      <c r="B851" s="20">
        <v>63</v>
      </c>
      <c r="C851" s="22">
        <v>634</v>
      </c>
      <c r="D851" s="22" t="s"/>
      <c r="E851" s="18" t="s">
        <v>127</v>
      </c>
      <c r="F851" s="21" t="s">
        <v>128</v>
      </c>
      <c r="G851" s="19" t="s">
        <v>2824</v>
      </c>
      <c r="H851" s="29" t="s"/>
      <c r="I851" s="19" t="s">
        <v>2824</v>
      </c>
      <c r="J851" s="19" t="s">
        <v>2825</v>
      </c>
    </row>
    <row r="852" spans="1:10" ht="28.8">
      <c r="A852" s="17" t="s">
        <v>126</v>
      </c>
      <c r="B852" s="20">
        <v>63</v>
      </c>
      <c r="C852" s="22">
        <v>634</v>
      </c>
      <c r="D852" s="22">
        <v>6341</v>
      </c>
      <c r="E852" s="18" t="s">
        <v>127</v>
      </c>
      <c r="F852" s="21" t="s">
        <v>128</v>
      </c>
      <c r="G852" s="19" t="s">
        <v>2824</v>
      </c>
      <c r="H852" s="19" t="s">
        <v>2826</v>
      </c>
      <c r="I852" s="19" t="s">
        <v>2826</v>
      </c>
      <c r="J852" s="19" t="s"/>
    </row>
    <row r="853" spans="1:10" ht="28.8">
      <c r="A853" s="17" t="s">
        <v>126</v>
      </c>
      <c r="B853" s="20">
        <v>63</v>
      </c>
      <c r="C853" s="22">
        <v>634</v>
      </c>
      <c r="D853" s="22">
        <v>6342</v>
      </c>
      <c r="E853" s="18" t="s">
        <v>127</v>
      </c>
      <c r="F853" s="21" t="s">
        <v>128</v>
      </c>
      <c r="G853" s="19" t="s">
        <v>2824</v>
      </c>
      <c r="H853" s="19" t="s">
        <v>2827</v>
      </c>
      <c r="I853" s="19" t="s">
        <v>2827</v>
      </c>
      <c r="J853" s="19" t="s"/>
    </row>
    <row r="854" spans="1:10" ht="28.8">
      <c r="A854" s="17" t="s">
        <v>126</v>
      </c>
      <c r="B854" s="20">
        <v>63</v>
      </c>
      <c r="C854" s="22">
        <v>634</v>
      </c>
      <c r="D854" s="22">
        <v>6343</v>
      </c>
      <c r="E854" s="18" t="s">
        <v>127</v>
      </c>
      <c r="F854" s="21" t="s">
        <v>128</v>
      </c>
      <c r="G854" s="19" t="s">
        <v>2824</v>
      </c>
      <c r="H854" s="19" t="s">
        <v>2828</v>
      </c>
      <c r="I854" s="19" t="s">
        <v>2828</v>
      </c>
      <c r="J854" s="19" t="s"/>
    </row>
    <row r="855" spans="1:10" ht="28.8">
      <c r="A855" s="17" t="s">
        <v>126</v>
      </c>
      <c r="B855" s="20">
        <v>63</v>
      </c>
      <c r="C855" s="22">
        <v>634</v>
      </c>
      <c r="D855" s="22">
        <v>6344</v>
      </c>
      <c r="E855" s="18" t="s">
        <v>127</v>
      </c>
      <c r="F855" s="21" t="s">
        <v>128</v>
      </c>
      <c r="G855" s="19" t="s">
        <v>2824</v>
      </c>
      <c r="H855" s="19" t="s">
        <v>2829</v>
      </c>
      <c r="I855" s="19" t="s">
        <v>2829</v>
      </c>
      <c r="J855" s="27" t="s"/>
    </row>
    <row r="856" spans="1:10" ht="28.8">
      <c r="A856" s="17" t="s">
        <v>126</v>
      </c>
      <c r="B856" s="20">
        <v>63</v>
      </c>
      <c r="C856" s="22">
        <v>634</v>
      </c>
      <c r="D856" s="22">
        <v>6345</v>
      </c>
      <c r="E856" s="18" t="s">
        <v>127</v>
      </c>
      <c r="F856" s="21" t="s">
        <v>128</v>
      </c>
      <c r="G856" s="19" t="s">
        <v>2824</v>
      </c>
      <c r="H856" s="19" t="s">
        <v>2830</v>
      </c>
      <c r="I856" s="19" t="s">
        <v>2830</v>
      </c>
      <c r="J856" s="19" t="s">
        <v>51</v>
      </c>
    </row>
    <row r="857" spans="1:10" ht="28.8">
      <c r="A857" s="17" t="s">
        <v>126</v>
      </c>
      <c r="B857" s="20">
        <v>63</v>
      </c>
      <c r="C857" s="22">
        <v>634</v>
      </c>
      <c r="D857" s="22">
        <v>6346</v>
      </c>
      <c r="E857" s="18" t="s">
        <v>127</v>
      </c>
      <c r="F857" s="21" t="s">
        <v>128</v>
      </c>
      <c r="G857" s="19" t="s">
        <v>2824</v>
      </c>
      <c r="H857" s="19" t="s">
        <v>2831</v>
      </c>
      <c r="I857" s="19" t="s">
        <v>2831</v>
      </c>
      <c r="J857" s="19" t="s"/>
    </row>
    <row r="858" spans="1:10" ht="28.8">
      <c r="A858" s="17" t="s">
        <v>126</v>
      </c>
      <c r="B858" s="20">
        <v>63</v>
      </c>
      <c r="C858" s="22">
        <v>634</v>
      </c>
      <c r="D858" s="22">
        <v>6349</v>
      </c>
      <c r="E858" s="18" t="s">
        <v>127</v>
      </c>
      <c r="F858" s="21" t="s">
        <v>128</v>
      </c>
      <c r="G858" s="19" t="s">
        <v>2824</v>
      </c>
      <c r="H858" s="19" t="s">
        <v>2832</v>
      </c>
      <c r="I858" s="19" t="s">
        <v>2832</v>
      </c>
      <c r="J858" s="19" t="s"/>
    </row>
    <row r="859" spans="1:10" ht="28.8">
      <c r="A859" s="17" t="s">
        <v>126</v>
      </c>
      <c r="B859" s="20">
        <v>63</v>
      </c>
      <c r="C859" s="22">
        <v>635</v>
      </c>
      <c r="D859" s="22" t="s"/>
      <c r="E859" s="18" t="s">
        <v>127</v>
      </c>
      <c r="F859" s="21" t="s">
        <v>128</v>
      </c>
      <c r="G859" s="19" t="s">
        <v>2833</v>
      </c>
      <c r="H859" s="29" t="s"/>
      <c r="I859" s="19" t="s">
        <v>2833</v>
      </c>
      <c r="J859" s="19" t="s">
        <v>2834</v>
      </c>
    </row>
    <row r="860" spans="1:10" ht="28.8">
      <c r="A860" s="17" t="s">
        <v>126</v>
      </c>
      <c r="B860" s="20">
        <v>63</v>
      </c>
      <c r="C860" s="22">
        <v>635</v>
      </c>
      <c r="D860" s="22">
        <v>6351</v>
      </c>
      <c r="E860" s="18" t="s">
        <v>127</v>
      </c>
      <c r="F860" s="21" t="s">
        <v>128</v>
      </c>
      <c r="G860" s="19" t="s">
        <v>2833</v>
      </c>
      <c r="H860" s="19" t="s">
        <v>2835</v>
      </c>
      <c r="I860" s="19" t="s">
        <v>2835</v>
      </c>
      <c r="J860" s="19" t="s"/>
    </row>
    <row r="861" spans="1:10" ht="28.8">
      <c r="A861" s="17" t="s">
        <v>126</v>
      </c>
      <c r="B861" s="20">
        <v>63</v>
      </c>
      <c r="C861" s="22">
        <v>635</v>
      </c>
      <c r="D861" s="22">
        <v>6352</v>
      </c>
      <c r="E861" s="18" t="s">
        <v>127</v>
      </c>
      <c r="F861" s="21" t="s">
        <v>128</v>
      </c>
      <c r="G861" s="19" t="s">
        <v>2833</v>
      </c>
      <c r="H861" s="19" t="s">
        <v>2836</v>
      </c>
      <c r="I861" s="19" t="s">
        <v>2836</v>
      </c>
      <c r="J861" s="19" t="s"/>
    </row>
    <row r="862" spans="1:10" ht="28.8">
      <c r="A862" s="17" t="s">
        <v>126</v>
      </c>
      <c r="B862" s="20">
        <v>63</v>
      </c>
      <c r="C862" s="22">
        <v>635</v>
      </c>
      <c r="D862" s="22">
        <v>6353</v>
      </c>
      <c r="E862" s="18" t="s">
        <v>127</v>
      </c>
      <c r="F862" s="21" t="s">
        <v>128</v>
      </c>
      <c r="G862" s="19" t="s">
        <v>2833</v>
      </c>
      <c r="H862" s="19" t="s">
        <v>2837</v>
      </c>
      <c r="I862" s="19" t="s">
        <v>2837</v>
      </c>
      <c r="J862" s="19" t="s"/>
    </row>
    <row r="863" spans="1:10" ht="33.6">
      <c r="A863" s="17" t="s">
        <v>126</v>
      </c>
      <c r="B863" s="20">
        <v>63</v>
      </c>
      <c r="C863" s="22">
        <v>636</v>
      </c>
      <c r="D863" s="22" t="s"/>
      <c r="E863" s="18" t="s">
        <v>127</v>
      </c>
      <c r="F863" s="21" t="s">
        <v>128</v>
      </c>
      <c r="G863" s="19" t="s">
        <v>2838</v>
      </c>
      <c r="H863" s="29" t="s"/>
      <c r="I863" s="19" t="s">
        <v>2838</v>
      </c>
      <c r="J863" s="19" t="s">
        <v>2839</v>
      </c>
    </row>
    <row r="864" spans="1:10" ht="33.6">
      <c r="A864" s="17" t="s">
        <v>126</v>
      </c>
      <c r="B864" s="20">
        <v>63</v>
      </c>
      <c r="C864" s="22">
        <v>636</v>
      </c>
      <c r="D864" s="22">
        <v>6361</v>
      </c>
      <c r="E864" s="18" t="s">
        <v>127</v>
      </c>
      <c r="F864" s="21" t="s">
        <v>128</v>
      </c>
      <c r="G864" s="19" t="s">
        <v>2838</v>
      </c>
      <c r="H864" s="19" t="s">
        <v>2840</v>
      </c>
      <c r="I864" s="19" t="s">
        <v>2840</v>
      </c>
      <c r="J864" s="19" t="s"/>
    </row>
    <row r="865" spans="1:10" ht="33.6">
      <c r="A865" s="17" t="s">
        <v>126</v>
      </c>
      <c r="B865" s="20">
        <v>63</v>
      </c>
      <c r="C865" s="22">
        <v>636</v>
      </c>
      <c r="D865" s="22">
        <v>6362</v>
      </c>
      <c r="E865" s="18" t="s">
        <v>127</v>
      </c>
      <c r="F865" s="21" t="s">
        <v>128</v>
      </c>
      <c r="G865" s="19" t="s">
        <v>2838</v>
      </c>
      <c r="H865" s="19" t="s">
        <v>2841</v>
      </c>
      <c r="I865" s="19" t="s">
        <v>2841</v>
      </c>
      <c r="J865" s="19" t="s"/>
    </row>
    <row r="866" spans="1:10" ht="33.6">
      <c r="A866" s="17" t="s">
        <v>126</v>
      </c>
      <c r="B866" s="20">
        <v>63</v>
      </c>
      <c r="C866" s="22">
        <v>636</v>
      </c>
      <c r="D866" s="22">
        <v>6363</v>
      </c>
      <c r="E866" s="18" t="s">
        <v>127</v>
      </c>
      <c r="F866" s="21" t="s">
        <v>128</v>
      </c>
      <c r="G866" s="19" t="s">
        <v>2838</v>
      </c>
      <c r="H866" s="19" t="s">
        <v>2842</v>
      </c>
      <c r="I866" s="19" t="s">
        <v>2842</v>
      </c>
      <c r="J866" s="27" t="s"/>
    </row>
    <row r="867" spans="1:10" ht="33.6">
      <c r="A867" s="17" t="s">
        <v>126</v>
      </c>
      <c r="B867" s="20">
        <v>63</v>
      </c>
      <c r="C867" s="22">
        <v>636</v>
      </c>
      <c r="D867" s="22">
        <v>6364</v>
      </c>
      <c r="E867" s="18" t="s">
        <v>127</v>
      </c>
      <c r="F867" s="21" t="s">
        <v>128</v>
      </c>
      <c r="G867" s="19" t="s">
        <v>2838</v>
      </c>
      <c r="H867" s="19" t="s">
        <v>2843</v>
      </c>
      <c r="I867" s="19" t="s">
        <v>2843</v>
      </c>
      <c r="J867" s="19" t="s"/>
    </row>
    <row r="868" spans="1:10" ht="33.6">
      <c r="A868" s="17" t="s">
        <v>126</v>
      </c>
      <c r="B868" s="20">
        <v>63</v>
      </c>
      <c r="C868" s="22">
        <v>636</v>
      </c>
      <c r="D868" s="22">
        <v>6365</v>
      </c>
      <c r="E868" s="18" t="s">
        <v>127</v>
      </c>
      <c r="F868" s="21" t="s">
        <v>128</v>
      </c>
      <c r="G868" s="19" t="s">
        <v>2838</v>
      </c>
      <c r="H868" s="19" t="s">
        <v>2844</v>
      </c>
      <c r="I868" s="19" t="s">
        <v>2844</v>
      </c>
      <c r="J868" s="19" t="s">
        <v>2845</v>
      </c>
    </row>
    <row r="869" spans="1:10" ht="33.6">
      <c r="A869" s="17" t="s">
        <v>126</v>
      </c>
      <c r="B869" s="20">
        <v>63</v>
      </c>
      <c r="C869" s="22">
        <v>636</v>
      </c>
      <c r="D869" s="22">
        <v>6366</v>
      </c>
      <c r="E869" s="18" t="s">
        <v>127</v>
      </c>
      <c r="F869" s="21" t="s">
        <v>128</v>
      </c>
      <c r="G869" s="19" t="s">
        <v>2838</v>
      </c>
      <c r="H869" s="19" t="s">
        <v>2846</v>
      </c>
      <c r="I869" s="19" t="s">
        <v>2846</v>
      </c>
      <c r="J869" s="19" t="s">
        <v>51</v>
      </c>
    </row>
    <row r="870" spans="1:10" ht="33.6">
      <c r="A870" s="17" t="s">
        <v>126</v>
      </c>
      <c r="B870" s="20">
        <v>63</v>
      </c>
      <c r="C870" s="22">
        <v>636</v>
      </c>
      <c r="D870" s="22">
        <v>6367</v>
      </c>
      <c r="E870" s="18" t="s">
        <v>127</v>
      </c>
      <c r="F870" s="21" t="s">
        <v>128</v>
      </c>
      <c r="G870" s="19" t="s">
        <v>2838</v>
      </c>
      <c r="H870" s="19" t="s">
        <v>2847</v>
      </c>
      <c r="I870" s="19" t="s">
        <v>2847</v>
      </c>
      <c r="J870" s="19" t="s"/>
    </row>
    <row r="871" spans="1:10" ht="33.6">
      <c r="A871" s="17" t="s">
        <v>126</v>
      </c>
      <c r="B871" s="20">
        <v>63</v>
      </c>
      <c r="C871" s="22">
        <v>636</v>
      </c>
      <c r="D871" s="22">
        <v>6368</v>
      </c>
      <c r="E871" s="18" t="s">
        <v>127</v>
      </c>
      <c r="F871" s="21" t="s">
        <v>128</v>
      </c>
      <c r="G871" s="19" t="s">
        <v>2838</v>
      </c>
      <c r="H871" s="19" t="s">
        <v>2848</v>
      </c>
      <c r="I871" s="19" t="s">
        <v>2848</v>
      </c>
      <c r="J871" s="33" t="s"/>
    </row>
    <row r="872" spans="1:10" ht="33.6">
      <c r="A872" s="17" t="s">
        <v>126</v>
      </c>
      <c r="B872" s="20">
        <v>63</v>
      </c>
      <c r="C872" s="22">
        <v>636</v>
      </c>
      <c r="D872" s="22">
        <v>6369</v>
      </c>
      <c r="E872" s="18" t="s">
        <v>127</v>
      </c>
      <c r="F872" s="21" t="s">
        <v>128</v>
      </c>
      <c r="G872" s="19" t="s">
        <v>2838</v>
      </c>
      <c r="H872" s="19" t="s">
        <v>2849</v>
      </c>
      <c r="I872" s="19" t="s">
        <v>2849</v>
      </c>
      <c r="J872" s="19" t="s"/>
    </row>
    <row r="873" spans="1:10" ht="33.6">
      <c r="A873" s="17" t="s">
        <v>126</v>
      </c>
      <c r="B873" s="20">
        <v>63</v>
      </c>
      <c r="C873" s="22">
        <v>637</v>
      </c>
      <c r="D873" s="22" t="s"/>
      <c r="E873" s="18" t="s">
        <v>127</v>
      </c>
      <c r="F873" s="21" t="s">
        <v>128</v>
      </c>
      <c r="G873" s="19" t="s">
        <v>2850</v>
      </c>
      <c r="H873" s="29" t="s"/>
      <c r="I873" s="19" t="s">
        <v>2850</v>
      </c>
      <c r="J873" s="19" t="s">
        <v>2851</v>
      </c>
    </row>
    <row r="874" spans="1:10" ht="33.6">
      <c r="A874" s="17" t="s">
        <v>126</v>
      </c>
      <c r="B874" s="20">
        <v>63</v>
      </c>
      <c r="C874" s="22">
        <v>637</v>
      </c>
      <c r="D874" s="22">
        <v>6371</v>
      </c>
      <c r="E874" s="18" t="s">
        <v>127</v>
      </c>
      <c r="F874" s="21" t="s">
        <v>128</v>
      </c>
      <c r="G874" s="19" t="s">
        <v>2850</v>
      </c>
      <c r="H874" s="19" t="s">
        <v>2852</v>
      </c>
      <c r="I874" s="19" t="s">
        <v>2852</v>
      </c>
      <c r="J874" s="19" t="s"/>
    </row>
    <row r="875" spans="1:10" ht="33.6">
      <c r="A875" s="17" t="s">
        <v>126</v>
      </c>
      <c r="B875" s="20">
        <v>63</v>
      </c>
      <c r="C875" s="22">
        <v>637</v>
      </c>
      <c r="D875" s="22">
        <v>6372</v>
      </c>
      <c r="E875" s="18" t="s">
        <v>127</v>
      </c>
      <c r="F875" s="21" t="s">
        <v>128</v>
      </c>
      <c r="G875" s="19" t="s">
        <v>2850</v>
      </c>
      <c r="H875" s="19" t="s">
        <v>2853</v>
      </c>
      <c r="I875" s="19" t="s">
        <v>2853</v>
      </c>
      <c r="J875" s="19" t="s"/>
    </row>
    <row r="876" spans="1:10" ht="33.6">
      <c r="A876" s="17" t="s">
        <v>126</v>
      </c>
      <c r="B876" s="20">
        <v>63</v>
      </c>
      <c r="C876" s="22">
        <v>637</v>
      </c>
      <c r="D876" s="22">
        <v>6373</v>
      </c>
      <c r="E876" s="18" t="s">
        <v>127</v>
      </c>
      <c r="F876" s="21" t="s">
        <v>128</v>
      </c>
      <c r="G876" s="19" t="s">
        <v>2850</v>
      </c>
      <c r="H876" s="19" t="s">
        <v>2854</v>
      </c>
      <c r="I876" s="19" t="s">
        <v>2854</v>
      </c>
      <c r="J876" s="19" t="s">
        <v>2855</v>
      </c>
    </row>
    <row r="877" spans="1:10" ht="33.6">
      <c r="A877" s="17" t="s">
        <v>126</v>
      </c>
      <c r="B877" s="20">
        <v>63</v>
      </c>
      <c r="C877" s="22">
        <v>637</v>
      </c>
      <c r="D877" s="22">
        <v>6374</v>
      </c>
      <c r="E877" s="18" t="s">
        <v>127</v>
      </c>
      <c r="F877" s="21" t="s">
        <v>128</v>
      </c>
      <c r="G877" s="19" t="s">
        <v>2850</v>
      </c>
      <c r="H877" s="19" t="s">
        <v>2856</v>
      </c>
      <c r="I877" s="19" t="s">
        <v>2856</v>
      </c>
      <c r="J877" s="19" t="s"/>
    </row>
    <row r="878" spans="1:10" ht="33.6">
      <c r="A878" s="17" t="s">
        <v>126</v>
      </c>
      <c r="B878" s="20">
        <v>63</v>
      </c>
      <c r="C878" s="22">
        <v>637</v>
      </c>
      <c r="D878" s="22">
        <v>6375</v>
      </c>
      <c r="E878" s="18" t="s">
        <v>127</v>
      </c>
      <c r="F878" s="21" t="s">
        <v>128</v>
      </c>
      <c r="G878" s="19" t="s">
        <v>2850</v>
      </c>
      <c r="H878" s="19" t="s">
        <v>2857</v>
      </c>
      <c r="I878" s="19" t="s">
        <v>2857</v>
      </c>
      <c r="J878" s="19" t="s">
        <v>51</v>
      </c>
    </row>
    <row r="879" spans="1:10" ht="33.6">
      <c r="A879" s="17" t="s">
        <v>126</v>
      </c>
      <c r="B879" s="20">
        <v>63</v>
      </c>
      <c r="C879" s="22">
        <v>637</v>
      </c>
      <c r="D879" s="22">
        <v>6376</v>
      </c>
      <c r="E879" s="18" t="s">
        <v>127</v>
      </c>
      <c r="F879" s="21" t="s">
        <v>128</v>
      </c>
      <c r="G879" s="19" t="s">
        <v>2850</v>
      </c>
      <c r="H879" s="19" t="s">
        <v>2858</v>
      </c>
      <c r="I879" s="19" t="s">
        <v>2858</v>
      </c>
      <c r="J879" s="19" t="s">
        <v>2859</v>
      </c>
    </row>
    <row r="880" spans="1:10" ht="33.6">
      <c r="A880" s="17" t="s">
        <v>126</v>
      </c>
      <c r="B880" s="20">
        <v>63</v>
      </c>
      <c r="C880" s="22">
        <v>637</v>
      </c>
      <c r="D880" s="22">
        <v>6379</v>
      </c>
      <c r="E880" s="18" t="s">
        <v>127</v>
      </c>
      <c r="F880" s="21" t="s">
        <v>128</v>
      </c>
      <c r="G880" s="19" t="s">
        <v>2850</v>
      </c>
      <c r="H880" s="19" t="s">
        <v>2860</v>
      </c>
      <c r="I880" s="19" t="s">
        <v>2860</v>
      </c>
      <c r="J880" s="19" t="s"/>
    </row>
    <row r="881" spans="1:10" ht="33.6">
      <c r="A881" s="17" t="s">
        <v>126</v>
      </c>
      <c r="B881" s="20">
        <v>63</v>
      </c>
      <c r="C881" s="22">
        <v>638</v>
      </c>
      <c r="D881" s="22">
        <v>6380</v>
      </c>
      <c r="E881" s="18" t="s">
        <v>127</v>
      </c>
      <c r="F881" s="21" t="s">
        <v>128</v>
      </c>
      <c r="G881" s="19" t="s">
        <v>2861</v>
      </c>
      <c r="H881" s="19" t="s">
        <v>2861</v>
      </c>
      <c r="I881" s="19" t="s">
        <v>2861</v>
      </c>
      <c r="J881" s="19" t="s">
        <v>2862</v>
      </c>
    </row>
    <row r="882" spans="1:10" ht="28.8">
      <c r="A882" s="17" t="s">
        <v>126</v>
      </c>
      <c r="B882" s="20">
        <v>63</v>
      </c>
      <c r="C882" s="22">
        <v>639</v>
      </c>
      <c r="D882" s="22" t="s">
        <v>51</v>
      </c>
      <c r="E882" s="18" t="s">
        <v>127</v>
      </c>
      <c r="F882" s="21" t="s">
        <v>128</v>
      </c>
      <c r="G882" s="19" t="s">
        <v>2863</v>
      </c>
      <c r="H882" s="29" t="s"/>
      <c r="I882" s="19" t="s">
        <v>2863</v>
      </c>
      <c r="J882" s="19" t="s">
        <v>2864</v>
      </c>
    </row>
    <row r="883" spans="1:10" ht="28.8">
      <c r="A883" s="17" t="s">
        <v>126</v>
      </c>
      <c r="B883" s="20">
        <v>63</v>
      </c>
      <c r="C883" s="22">
        <v>639</v>
      </c>
      <c r="D883" s="22">
        <v>6391</v>
      </c>
      <c r="E883" s="18" t="s">
        <v>127</v>
      </c>
      <c r="F883" s="21" t="s">
        <v>128</v>
      </c>
      <c r="G883" s="19" t="s">
        <v>2863</v>
      </c>
      <c r="H883" s="19" t="s">
        <v>2865</v>
      </c>
      <c r="I883" s="19" t="s">
        <v>2865</v>
      </c>
      <c r="J883" s="19" t="s">
        <v>2866</v>
      </c>
    </row>
    <row r="884" spans="1:10" ht="28.8">
      <c r="A884" s="17" t="s">
        <v>126</v>
      </c>
      <c r="B884" s="20">
        <v>63</v>
      </c>
      <c r="C884" s="22">
        <v>639</v>
      </c>
      <c r="D884" s="22">
        <v>6399</v>
      </c>
      <c r="E884" s="18" t="s">
        <v>127</v>
      </c>
      <c r="F884" s="21" t="s">
        <v>128</v>
      </c>
      <c r="G884" s="19" t="s">
        <v>2863</v>
      </c>
      <c r="H884" s="19" t="s">
        <v>2867</v>
      </c>
      <c r="I884" s="19" t="s">
        <v>2867</v>
      </c>
      <c r="J884" s="19" t="s"/>
    </row>
    <row r="885" spans="1:10" ht="66">
      <c r="A885" s="17" t="s">
        <v>126</v>
      </c>
      <c r="B885" s="20">
        <v>65</v>
      </c>
      <c r="C885" s="31" t="s"/>
      <c r="D885" s="22" t="s"/>
      <c r="E885" s="18" t="s">
        <v>127</v>
      </c>
      <c r="F885" s="21" t="s">
        <v>129</v>
      </c>
      <c r="G885" s="22" t="s"/>
      <c r="H885" s="29" t="s"/>
      <c r="I885" s="21" t="s">
        <v>129</v>
      </c>
      <c r="J885" s="19" t="s">
        <v>2868</v>
      </c>
    </row>
    <row r="886" spans="1:10" ht="28.8">
      <c r="A886" s="17" t="s">
        <v>126</v>
      </c>
      <c r="B886" s="20">
        <v>65</v>
      </c>
      <c r="C886" s="22">
        <v>651</v>
      </c>
      <c r="D886" s="22" t="s"/>
      <c r="E886" s="18" t="s">
        <v>127</v>
      </c>
      <c r="F886" s="21" t="s">
        <v>129</v>
      </c>
      <c r="G886" s="19" t="s">
        <v>2869</v>
      </c>
      <c r="H886" s="29" t="s"/>
      <c r="I886" s="19" t="s">
        <v>2869</v>
      </c>
      <c r="J886" s="19" t="s">
        <v>51</v>
      </c>
    </row>
    <row r="887" spans="1:10" ht="28.8">
      <c r="A887" s="17" t="s">
        <v>126</v>
      </c>
      <c r="B887" s="20">
        <v>65</v>
      </c>
      <c r="C887" s="22">
        <v>651</v>
      </c>
      <c r="D887" s="22">
        <v>6511</v>
      </c>
      <c r="E887" s="18" t="s">
        <v>127</v>
      </c>
      <c r="F887" s="21" t="s">
        <v>129</v>
      </c>
      <c r="G887" s="19" t="s">
        <v>2869</v>
      </c>
      <c r="H887" s="19" t="s">
        <v>2870</v>
      </c>
      <c r="I887" s="19" t="s">
        <v>2870</v>
      </c>
      <c r="J887" s="19" t="s">
        <v>2871</v>
      </c>
    </row>
    <row r="888" spans="1:10" ht="28.8">
      <c r="A888" s="17" t="s">
        <v>126</v>
      </c>
      <c r="B888" s="20">
        <v>65</v>
      </c>
      <c r="C888" s="22">
        <v>651</v>
      </c>
      <c r="D888" s="22">
        <v>6512</v>
      </c>
      <c r="E888" s="18" t="s">
        <v>127</v>
      </c>
      <c r="F888" s="21" t="s">
        <v>129</v>
      </c>
      <c r="G888" s="19" t="s">
        <v>2869</v>
      </c>
      <c r="H888" s="19" t="s">
        <v>2872</v>
      </c>
      <c r="I888" s="19" t="s">
        <v>2872</v>
      </c>
      <c r="J888" s="19" t="s">
        <v>2873</v>
      </c>
    </row>
    <row r="889" spans="1:10" ht="44.4">
      <c r="A889" s="17" t="s">
        <v>126</v>
      </c>
      <c r="B889" s="20">
        <v>65</v>
      </c>
      <c r="C889" s="22">
        <v>651</v>
      </c>
      <c r="D889" s="22">
        <v>6519</v>
      </c>
      <c r="E889" s="18" t="s">
        <v>127</v>
      </c>
      <c r="F889" s="21" t="s">
        <v>129</v>
      </c>
      <c r="G889" s="19" t="s">
        <v>2869</v>
      </c>
      <c r="H889" s="19" t="s">
        <v>2874</v>
      </c>
      <c r="I889" s="19" t="s">
        <v>2874</v>
      </c>
      <c r="J889" s="19" t="s">
        <v>2875</v>
      </c>
    </row>
    <row r="890" spans="1:10" ht="33.6">
      <c r="A890" s="17" t="s">
        <v>126</v>
      </c>
      <c r="B890" s="20">
        <v>65</v>
      </c>
      <c r="C890" s="22">
        <v>652</v>
      </c>
      <c r="D890" s="22" t="s"/>
      <c r="E890" s="18" t="s">
        <v>127</v>
      </c>
      <c r="F890" s="21" t="s">
        <v>129</v>
      </c>
      <c r="G890" s="19" t="s">
        <v>2876</v>
      </c>
      <c r="H890" s="29" t="s"/>
      <c r="I890" s="19" t="s">
        <v>2876</v>
      </c>
      <c r="J890" s="19" t="s">
        <v>2877</v>
      </c>
    </row>
    <row r="891" spans="1:10" ht="33.6">
      <c r="A891" s="17" t="s">
        <v>126</v>
      </c>
      <c r="B891" s="20">
        <v>65</v>
      </c>
      <c r="C891" s="22">
        <v>652</v>
      </c>
      <c r="D891" s="22">
        <v>6521</v>
      </c>
      <c r="E891" s="18" t="s">
        <v>127</v>
      </c>
      <c r="F891" s="21" t="s">
        <v>129</v>
      </c>
      <c r="G891" s="19" t="s">
        <v>2876</v>
      </c>
      <c r="H891" s="19" t="s">
        <v>2878</v>
      </c>
      <c r="I891" s="19" t="s">
        <v>2878</v>
      </c>
      <c r="J891" s="19" t="s"/>
    </row>
    <row r="892" spans="1:10" ht="33.6">
      <c r="A892" s="17" t="s">
        <v>126</v>
      </c>
      <c r="B892" s="20">
        <v>65</v>
      </c>
      <c r="C892" s="22">
        <v>652</v>
      </c>
      <c r="D892" s="22">
        <v>6522</v>
      </c>
      <c r="E892" s="18" t="s">
        <v>127</v>
      </c>
      <c r="F892" s="21" t="s">
        <v>129</v>
      </c>
      <c r="G892" s="19" t="s">
        <v>2876</v>
      </c>
      <c r="H892" s="19" t="s">
        <v>2879</v>
      </c>
      <c r="I892" s="19" t="s">
        <v>2879</v>
      </c>
      <c r="J892" s="19" t="s">
        <v>51</v>
      </c>
    </row>
    <row r="893" spans="1:10" ht="33.6">
      <c r="A893" s="17" t="s">
        <v>126</v>
      </c>
      <c r="B893" s="20">
        <v>65</v>
      </c>
      <c r="C893" s="22">
        <v>652</v>
      </c>
      <c r="D893" s="22">
        <v>6523</v>
      </c>
      <c r="E893" s="18" t="s">
        <v>127</v>
      </c>
      <c r="F893" s="21" t="s">
        <v>129</v>
      </c>
      <c r="G893" s="19" t="s">
        <v>2876</v>
      </c>
      <c r="H893" s="19" t="s">
        <v>2880</v>
      </c>
      <c r="I893" s="19" t="s">
        <v>2880</v>
      </c>
      <c r="J893" s="19" t="s"/>
    </row>
    <row r="894" spans="1:10" ht="33.6">
      <c r="A894" s="17" t="s">
        <v>126</v>
      </c>
      <c r="B894" s="20">
        <v>65</v>
      </c>
      <c r="C894" s="22">
        <v>652</v>
      </c>
      <c r="D894" s="22">
        <v>6524</v>
      </c>
      <c r="E894" s="18" t="s">
        <v>127</v>
      </c>
      <c r="F894" s="21" t="s">
        <v>129</v>
      </c>
      <c r="G894" s="19" t="s">
        <v>2876</v>
      </c>
      <c r="H894" s="19" t="s">
        <v>2881</v>
      </c>
      <c r="I894" s="19" t="s">
        <v>2881</v>
      </c>
      <c r="J894" s="19" t="s"/>
    </row>
    <row r="895" spans="1:10" ht="33.6">
      <c r="A895" s="17" t="s">
        <v>126</v>
      </c>
      <c r="B895" s="20">
        <v>65</v>
      </c>
      <c r="C895" s="22">
        <v>652</v>
      </c>
      <c r="D895" s="22">
        <v>6525</v>
      </c>
      <c r="E895" s="18" t="s">
        <v>127</v>
      </c>
      <c r="F895" s="21" t="s">
        <v>129</v>
      </c>
      <c r="G895" s="19" t="s">
        <v>2876</v>
      </c>
      <c r="H895" s="19" t="s">
        <v>2882</v>
      </c>
      <c r="I895" s="19" t="s">
        <v>2882</v>
      </c>
      <c r="J895" s="19" t="s">
        <v>2883</v>
      </c>
    </row>
    <row r="896" spans="1:10" ht="33.6">
      <c r="A896" s="17" t="s">
        <v>126</v>
      </c>
      <c r="B896" s="20">
        <v>65</v>
      </c>
      <c r="C896" s="22">
        <v>652</v>
      </c>
      <c r="D896" s="22">
        <v>6526</v>
      </c>
      <c r="E896" s="18" t="s">
        <v>127</v>
      </c>
      <c r="F896" s="21" t="s">
        <v>129</v>
      </c>
      <c r="G896" s="19" t="s">
        <v>2876</v>
      </c>
      <c r="H896" s="19" t="s">
        <v>2884</v>
      </c>
      <c r="I896" s="19" t="s">
        <v>2884</v>
      </c>
      <c r="J896" s="19" t="s">
        <v>51</v>
      </c>
    </row>
    <row r="897" spans="1:10" ht="33.6">
      <c r="A897" s="17" t="s">
        <v>126</v>
      </c>
      <c r="B897" s="20">
        <v>65</v>
      </c>
      <c r="C897" s="22">
        <v>652</v>
      </c>
      <c r="D897" s="22">
        <v>6529</v>
      </c>
      <c r="E897" s="18" t="s">
        <v>127</v>
      </c>
      <c r="F897" s="21" t="s">
        <v>129</v>
      </c>
      <c r="G897" s="19" t="s">
        <v>2876</v>
      </c>
      <c r="H897" s="19" t="s">
        <v>2885</v>
      </c>
      <c r="I897" s="19" t="s">
        <v>2885</v>
      </c>
      <c r="J897" s="19" t="s">
        <v>2886</v>
      </c>
    </row>
    <row r="898" spans="1:10" ht="33.6">
      <c r="A898" s="17" t="s">
        <v>126</v>
      </c>
      <c r="B898" s="20">
        <v>65</v>
      </c>
      <c r="C898" s="22">
        <v>653</v>
      </c>
      <c r="D898" s="22" t="s"/>
      <c r="E898" s="18" t="s">
        <v>127</v>
      </c>
      <c r="F898" s="21" t="s">
        <v>129</v>
      </c>
      <c r="G898" s="19" t="s">
        <v>2887</v>
      </c>
      <c r="H898" s="29" t="s"/>
      <c r="I898" s="19" t="s">
        <v>2887</v>
      </c>
      <c r="J898" s="19" t="s">
        <v>2888</v>
      </c>
    </row>
    <row r="899" spans="1:10" ht="33.6">
      <c r="A899" s="17" t="s">
        <v>126</v>
      </c>
      <c r="B899" s="20">
        <v>65</v>
      </c>
      <c r="C899" s="22">
        <v>653</v>
      </c>
      <c r="D899" s="22">
        <v>6531</v>
      </c>
      <c r="E899" s="18" t="s">
        <v>127</v>
      </c>
      <c r="F899" s="21" t="s">
        <v>129</v>
      </c>
      <c r="G899" s="19" t="s">
        <v>2887</v>
      </c>
      <c r="H899" s="19" t="s">
        <v>2889</v>
      </c>
      <c r="I899" s="19" t="s">
        <v>2889</v>
      </c>
      <c r="J899" s="19" t="s"/>
    </row>
    <row r="900" spans="1:10" ht="33.6">
      <c r="A900" s="17" t="s">
        <v>126</v>
      </c>
      <c r="B900" s="20">
        <v>65</v>
      </c>
      <c r="C900" s="22">
        <v>653</v>
      </c>
      <c r="D900" s="22">
        <v>6532</v>
      </c>
      <c r="E900" s="18" t="s">
        <v>127</v>
      </c>
      <c r="F900" s="21" t="s">
        <v>129</v>
      </c>
      <c r="G900" s="19" t="s">
        <v>2887</v>
      </c>
      <c r="H900" s="19" t="s">
        <v>2890</v>
      </c>
      <c r="I900" s="19" t="s">
        <v>2890</v>
      </c>
      <c r="J900" s="19" t="s"/>
    </row>
    <row r="901" spans="1:10" ht="33.6">
      <c r="A901" s="17" t="s">
        <v>126</v>
      </c>
      <c r="B901" s="20">
        <v>65</v>
      </c>
      <c r="C901" s="22">
        <v>653</v>
      </c>
      <c r="D901" s="22">
        <v>6533</v>
      </c>
      <c r="E901" s="18" t="s">
        <v>127</v>
      </c>
      <c r="F901" s="21" t="s">
        <v>129</v>
      </c>
      <c r="G901" s="19" t="s">
        <v>2887</v>
      </c>
      <c r="H901" s="19" t="s">
        <v>2891</v>
      </c>
      <c r="I901" s="19" t="s">
        <v>2891</v>
      </c>
      <c r="J901" s="19" t="s"/>
    </row>
    <row r="902" spans="1:10" ht="33.6">
      <c r="A902" s="17" t="s">
        <v>126</v>
      </c>
      <c r="B902" s="20">
        <v>65</v>
      </c>
      <c r="C902" s="22">
        <v>653</v>
      </c>
      <c r="D902" s="22">
        <v>6534</v>
      </c>
      <c r="E902" s="18" t="s">
        <v>127</v>
      </c>
      <c r="F902" s="21" t="s">
        <v>129</v>
      </c>
      <c r="G902" s="19" t="s">
        <v>2887</v>
      </c>
      <c r="H902" s="19" t="s">
        <v>2892</v>
      </c>
      <c r="I902" s="19" t="s">
        <v>2892</v>
      </c>
      <c r="J902" s="19" t="s">
        <v>51</v>
      </c>
    </row>
    <row r="903" spans="1:10" ht="33.6">
      <c r="A903" s="17" t="s">
        <v>126</v>
      </c>
      <c r="B903" s="20">
        <v>65</v>
      </c>
      <c r="C903" s="22">
        <v>653</v>
      </c>
      <c r="D903" s="22">
        <v>6535</v>
      </c>
      <c r="E903" s="18" t="s">
        <v>127</v>
      </c>
      <c r="F903" s="21" t="s">
        <v>129</v>
      </c>
      <c r="G903" s="19" t="s">
        <v>2887</v>
      </c>
      <c r="H903" s="19" t="s">
        <v>2893</v>
      </c>
      <c r="I903" s="19" t="s">
        <v>2893</v>
      </c>
      <c r="J903" s="19" t="s"/>
    </row>
    <row r="904" spans="1:10" ht="33.6">
      <c r="A904" s="17" t="s">
        <v>126</v>
      </c>
      <c r="B904" s="20">
        <v>65</v>
      </c>
      <c r="C904" s="22">
        <v>653</v>
      </c>
      <c r="D904" s="22">
        <v>6539</v>
      </c>
      <c r="E904" s="18" t="s">
        <v>127</v>
      </c>
      <c r="F904" s="21" t="s">
        <v>129</v>
      </c>
      <c r="G904" s="19" t="s">
        <v>2887</v>
      </c>
      <c r="H904" s="19" t="s">
        <v>2894</v>
      </c>
      <c r="I904" s="19" t="s">
        <v>2894</v>
      </c>
      <c r="J904" s="19" t="s"/>
    </row>
    <row r="905" spans="1:10" ht="33.6">
      <c r="A905" s="17" t="s">
        <v>126</v>
      </c>
      <c r="B905" s="20">
        <v>65</v>
      </c>
      <c r="C905" s="22">
        <v>654</v>
      </c>
      <c r="D905" s="22" t="s"/>
      <c r="E905" s="18" t="s">
        <v>127</v>
      </c>
      <c r="F905" s="21" t="s">
        <v>129</v>
      </c>
      <c r="G905" s="19" t="s">
        <v>2895</v>
      </c>
      <c r="H905" s="29" t="s"/>
      <c r="I905" s="19" t="s">
        <v>2895</v>
      </c>
      <c r="J905" s="19" t="s">
        <v>2896</v>
      </c>
    </row>
    <row r="906" spans="1:10" ht="33.6">
      <c r="A906" s="17" t="s">
        <v>126</v>
      </c>
      <c r="B906" s="20">
        <v>65</v>
      </c>
      <c r="C906" s="22">
        <v>654</v>
      </c>
      <c r="D906" s="22">
        <v>6541</v>
      </c>
      <c r="E906" s="18" t="s">
        <v>127</v>
      </c>
      <c r="F906" s="21" t="s">
        <v>129</v>
      </c>
      <c r="G906" s="19" t="s">
        <v>2895</v>
      </c>
      <c r="H906" s="19" t="s">
        <v>2897</v>
      </c>
      <c r="I906" s="19" t="s">
        <v>2897</v>
      </c>
      <c r="J906" s="19" t="s"/>
    </row>
    <row r="907" spans="1:10" ht="33.6">
      <c r="A907" s="17" t="s">
        <v>126</v>
      </c>
      <c r="B907" s="20">
        <v>65</v>
      </c>
      <c r="C907" s="22">
        <v>654</v>
      </c>
      <c r="D907" s="22">
        <v>6542</v>
      </c>
      <c r="E907" s="18" t="s">
        <v>127</v>
      </c>
      <c r="F907" s="21" t="s">
        <v>129</v>
      </c>
      <c r="G907" s="19" t="s">
        <v>2895</v>
      </c>
      <c r="H907" s="19" t="s">
        <v>2898</v>
      </c>
      <c r="I907" s="19" t="s">
        <v>2898</v>
      </c>
      <c r="J907" s="19" t="s"/>
    </row>
    <row r="908" spans="1:10" ht="33.6">
      <c r="A908" s="17" t="s">
        <v>126</v>
      </c>
      <c r="B908" s="20">
        <v>65</v>
      </c>
      <c r="C908" s="22">
        <v>654</v>
      </c>
      <c r="D908" s="22">
        <v>6543</v>
      </c>
      <c r="E908" s="18" t="s">
        <v>127</v>
      </c>
      <c r="F908" s="21" t="s">
        <v>129</v>
      </c>
      <c r="G908" s="19" t="s">
        <v>2895</v>
      </c>
      <c r="H908" s="19" t="s">
        <v>2899</v>
      </c>
      <c r="I908" s="19" t="s">
        <v>2899</v>
      </c>
      <c r="J908" s="19" t="s"/>
    </row>
    <row r="909" spans="1:10" ht="33.6">
      <c r="A909" s="17" t="s">
        <v>126</v>
      </c>
      <c r="B909" s="20">
        <v>65</v>
      </c>
      <c r="C909" s="22">
        <v>654</v>
      </c>
      <c r="D909" s="22">
        <v>6544</v>
      </c>
      <c r="E909" s="18" t="s">
        <v>127</v>
      </c>
      <c r="F909" s="21" t="s">
        <v>129</v>
      </c>
      <c r="G909" s="19" t="s">
        <v>2895</v>
      </c>
      <c r="H909" s="19" t="s">
        <v>2900</v>
      </c>
      <c r="I909" s="19" t="s">
        <v>2900</v>
      </c>
      <c r="J909" s="19" t="s"/>
    </row>
    <row r="910" spans="1:10" ht="33.6">
      <c r="A910" s="17" t="s">
        <v>126</v>
      </c>
      <c r="B910" s="20">
        <v>65</v>
      </c>
      <c r="C910" s="22">
        <v>654</v>
      </c>
      <c r="D910" s="22">
        <v>6545</v>
      </c>
      <c r="E910" s="18" t="s">
        <v>127</v>
      </c>
      <c r="F910" s="21" t="s">
        <v>129</v>
      </c>
      <c r="G910" s="19" t="s">
        <v>2895</v>
      </c>
      <c r="H910" s="19" t="s">
        <v>2901</v>
      </c>
      <c r="I910" s="19" t="s">
        <v>2901</v>
      </c>
      <c r="J910" s="19" t="s"/>
    </row>
    <row r="911" spans="1:10" ht="33.6">
      <c r="A911" s="17" t="s">
        <v>126</v>
      </c>
      <c r="B911" s="20">
        <v>65</v>
      </c>
      <c r="C911" s="22">
        <v>654</v>
      </c>
      <c r="D911" s="22">
        <v>6546</v>
      </c>
      <c r="E911" s="18" t="s">
        <v>127</v>
      </c>
      <c r="F911" s="21" t="s">
        <v>129</v>
      </c>
      <c r="G911" s="19" t="s">
        <v>2895</v>
      </c>
      <c r="H911" s="19" t="s">
        <v>2902</v>
      </c>
      <c r="I911" s="19" t="s">
        <v>2902</v>
      </c>
      <c r="J911" s="19" t="s"/>
    </row>
    <row r="912" spans="1:10" ht="33.6">
      <c r="A912" s="17" t="s">
        <v>126</v>
      </c>
      <c r="B912" s="20">
        <v>65</v>
      </c>
      <c r="C912" s="22">
        <v>654</v>
      </c>
      <c r="D912" s="22">
        <v>6547</v>
      </c>
      <c r="E912" s="18" t="s">
        <v>127</v>
      </c>
      <c r="F912" s="21" t="s">
        <v>129</v>
      </c>
      <c r="G912" s="19" t="s">
        <v>2895</v>
      </c>
      <c r="H912" s="19" t="s">
        <v>2903</v>
      </c>
      <c r="I912" s="19" t="s">
        <v>2903</v>
      </c>
      <c r="J912" s="19" t="s">
        <v>2904</v>
      </c>
    </row>
    <row r="913" spans="1:10" ht="33.6">
      <c r="A913" s="17" t="s">
        <v>126</v>
      </c>
      <c r="B913" s="20">
        <v>65</v>
      </c>
      <c r="C913" s="22">
        <v>654</v>
      </c>
      <c r="D913" s="22">
        <v>6548</v>
      </c>
      <c r="E913" s="18" t="s">
        <v>127</v>
      </c>
      <c r="F913" s="21" t="s">
        <v>129</v>
      </c>
      <c r="G913" s="19" t="s">
        <v>2895</v>
      </c>
      <c r="H913" s="19" t="s">
        <v>2905</v>
      </c>
      <c r="I913" s="19" t="s">
        <v>2905</v>
      </c>
      <c r="J913" s="33" t="s"/>
    </row>
    <row r="914" spans="1:10" ht="33.6">
      <c r="A914" s="17" t="s">
        <v>126</v>
      </c>
      <c r="B914" s="20">
        <v>65</v>
      </c>
      <c r="C914" s="22">
        <v>654</v>
      </c>
      <c r="D914" s="22">
        <v>6549</v>
      </c>
      <c r="E914" s="18" t="s">
        <v>127</v>
      </c>
      <c r="F914" s="21" t="s">
        <v>129</v>
      </c>
      <c r="G914" s="19" t="s">
        <v>2895</v>
      </c>
      <c r="H914" s="19" t="s">
        <v>2906</v>
      </c>
      <c r="I914" s="19" t="s">
        <v>2906</v>
      </c>
      <c r="J914" s="27" t="s"/>
    </row>
    <row r="915" spans="1:10" ht="28.8">
      <c r="A915" s="17" t="s">
        <v>126</v>
      </c>
      <c r="B915" s="20">
        <v>65</v>
      </c>
      <c r="C915" s="22">
        <v>655</v>
      </c>
      <c r="D915" s="22" t="s"/>
      <c r="E915" s="18" t="s">
        <v>127</v>
      </c>
      <c r="F915" s="21" t="s">
        <v>129</v>
      </c>
      <c r="G915" s="19" t="s">
        <v>2907</v>
      </c>
      <c r="H915" s="29" t="s"/>
      <c r="I915" s="19" t="s">
        <v>2907</v>
      </c>
      <c r="J915" s="19" t="s">
        <v>2908</v>
      </c>
    </row>
    <row r="916" spans="1:10" ht="28.8">
      <c r="A916" s="17" t="s">
        <v>126</v>
      </c>
      <c r="B916" s="20">
        <v>65</v>
      </c>
      <c r="C916" s="22">
        <v>655</v>
      </c>
      <c r="D916" s="22">
        <v>6551</v>
      </c>
      <c r="E916" s="18" t="s">
        <v>127</v>
      </c>
      <c r="F916" s="21" t="s">
        <v>129</v>
      </c>
      <c r="G916" s="19" t="s">
        <v>2907</v>
      </c>
      <c r="H916" s="19" t="s">
        <v>2909</v>
      </c>
      <c r="I916" s="19" t="s">
        <v>2909</v>
      </c>
      <c r="J916" s="19" t="s">
        <v>51</v>
      </c>
    </row>
    <row r="917" spans="1:10" ht="28.8">
      <c r="A917" s="17" t="s">
        <v>126</v>
      </c>
      <c r="B917" s="20">
        <v>65</v>
      </c>
      <c r="C917" s="22">
        <v>655</v>
      </c>
      <c r="D917" s="22">
        <v>6552</v>
      </c>
      <c r="E917" s="18" t="s">
        <v>127</v>
      </c>
      <c r="F917" s="21" t="s">
        <v>129</v>
      </c>
      <c r="G917" s="19" t="s">
        <v>2907</v>
      </c>
      <c r="H917" s="19" t="s">
        <v>2910</v>
      </c>
      <c r="I917" s="19" t="s">
        <v>2910</v>
      </c>
      <c r="J917" s="19" t="s"/>
    </row>
    <row r="918" spans="1:10" ht="33.6">
      <c r="A918" s="17" t="s">
        <v>126</v>
      </c>
      <c r="B918" s="20">
        <v>65</v>
      </c>
      <c r="C918" s="22">
        <v>656</v>
      </c>
      <c r="D918" s="22" t="s"/>
      <c r="E918" s="18" t="s">
        <v>127</v>
      </c>
      <c r="F918" s="21" t="s">
        <v>129</v>
      </c>
      <c r="G918" s="19" t="s">
        <v>2911</v>
      </c>
      <c r="H918" s="29" t="s"/>
      <c r="I918" s="19" t="s">
        <v>2911</v>
      </c>
      <c r="J918" s="19" t="s">
        <v>2912</v>
      </c>
    </row>
    <row r="919" spans="1:10" ht="33.6">
      <c r="A919" s="17" t="s">
        <v>126</v>
      </c>
      <c r="B919" s="20">
        <v>65</v>
      </c>
      <c r="C919" s="22">
        <v>656</v>
      </c>
      <c r="D919" s="22">
        <v>6561</v>
      </c>
      <c r="E919" s="18" t="s">
        <v>127</v>
      </c>
      <c r="F919" s="21" t="s">
        <v>129</v>
      </c>
      <c r="G919" s="19" t="s">
        <v>2911</v>
      </c>
      <c r="H919" s="19" t="s">
        <v>2913</v>
      </c>
      <c r="I919" s="19" t="s">
        <v>2913</v>
      </c>
      <c r="J919" s="19" t="s">
        <v>2914</v>
      </c>
    </row>
    <row r="920" spans="1:10" ht="33.6">
      <c r="A920" s="17" t="s">
        <v>126</v>
      </c>
      <c r="B920" s="20">
        <v>65</v>
      </c>
      <c r="C920" s="22">
        <v>656</v>
      </c>
      <c r="D920" s="22">
        <v>6562</v>
      </c>
      <c r="E920" s="18" t="s">
        <v>127</v>
      </c>
      <c r="F920" s="21" t="s">
        <v>129</v>
      </c>
      <c r="G920" s="19" t="s">
        <v>2911</v>
      </c>
      <c r="H920" s="19" t="s">
        <v>2915</v>
      </c>
      <c r="I920" s="19" t="s">
        <v>2915</v>
      </c>
      <c r="J920" s="19" t="s"/>
    </row>
    <row r="921" spans="1:10" ht="33.6">
      <c r="A921" s="17" t="s">
        <v>126</v>
      </c>
      <c r="B921" s="20">
        <v>65</v>
      </c>
      <c r="C921" s="22">
        <v>656</v>
      </c>
      <c r="D921" s="22">
        <v>6563</v>
      </c>
      <c r="E921" s="18" t="s">
        <v>127</v>
      </c>
      <c r="F921" s="21" t="s">
        <v>129</v>
      </c>
      <c r="G921" s="19" t="s">
        <v>2911</v>
      </c>
      <c r="H921" s="19" t="s">
        <v>2916</v>
      </c>
      <c r="I921" s="19" t="s">
        <v>2916</v>
      </c>
      <c r="J921" s="19" t="s"/>
    </row>
    <row r="922" spans="1:10" ht="33.6">
      <c r="A922" s="17" t="s">
        <v>126</v>
      </c>
      <c r="B922" s="20">
        <v>65</v>
      </c>
      <c r="C922" s="22">
        <v>656</v>
      </c>
      <c r="D922" s="22">
        <v>6564</v>
      </c>
      <c r="E922" s="18" t="s">
        <v>127</v>
      </c>
      <c r="F922" s="21" t="s">
        <v>129</v>
      </c>
      <c r="G922" s="19" t="s">
        <v>2911</v>
      </c>
      <c r="H922" s="19" t="s">
        <v>2917</v>
      </c>
      <c r="I922" s="19" t="s">
        <v>2917</v>
      </c>
      <c r="J922" s="19" t="s">
        <v>2918</v>
      </c>
    </row>
    <row r="923" spans="1:10" ht="34.8">
      <c r="A923" s="17" t="s">
        <v>126</v>
      </c>
      <c r="B923" s="20">
        <v>65</v>
      </c>
      <c r="C923" s="22">
        <v>657</v>
      </c>
      <c r="D923" s="22" t="s"/>
      <c r="E923" s="18" t="s">
        <v>127</v>
      </c>
      <c r="F923" s="21" t="s">
        <v>129</v>
      </c>
      <c r="G923" s="19" t="s">
        <v>2919</v>
      </c>
      <c r="H923" s="29" t="s"/>
      <c r="I923" s="19" t="s">
        <v>2919</v>
      </c>
      <c r="J923" s="19" t="s">
        <v>2920</v>
      </c>
    </row>
    <row r="924" spans="1:10" ht="34.8">
      <c r="A924" s="17" t="s">
        <v>126</v>
      </c>
      <c r="B924" s="20">
        <v>65</v>
      </c>
      <c r="C924" s="22">
        <v>657</v>
      </c>
      <c r="D924" s="22">
        <v>6571</v>
      </c>
      <c r="E924" s="18" t="s">
        <v>127</v>
      </c>
      <c r="F924" s="21" t="s">
        <v>129</v>
      </c>
      <c r="G924" s="19" t="s">
        <v>2919</v>
      </c>
      <c r="H924" s="19" t="s">
        <v>2921</v>
      </c>
      <c r="I924" s="19" t="s">
        <v>2921</v>
      </c>
      <c r="J924" s="19" t="s"/>
    </row>
    <row r="925" spans="1:10" ht="34.8">
      <c r="A925" s="17" t="s">
        <v>126</v>
      </c>
      <c r="B925" s="20">
        <v>65</v>
      </c>
      <c r="C925" s="22">
        <v>657</v>
      </c>
      <c r="D925" s="22">
        <v>6572</v>
      </c>
      <c r="E925" s="18" t="s">
        <v>127</v>
      </c>
      <c r="F925" s="21" t="s">
        <v>129</v>
      </c>
      <c r="G925" s="19" t="s">
        <v>2919</v>
      </c>
      <c r="H925" s="19" t="s">
        <v>2922</v>
      </c>
      <c r="I925" s="19" t="s">
        <v>2922</v>
      </c>
      <c r="J925" s="19" t="s"/>
    </row>
    <row r="926" spans="1:10" ht="34.8">
      <c r="A926" s="17" t="s">
        <v>126</v>
      </c>
      <c r="B926" s="20">
        <v>65</v>
      </c>
      <c r="C926" s="22">
        <v>657</v>
      </c>
      <c r="D926" s="22">
        <v>6573</v>
      </c>
      <c r="E926" s="18" t="s">
        <v>127</v>
      </c>
      <c r="F926" s="21" t="s">
        <v>129</v>
      </c>
      <c r="G926" s="19" t="s">
        <v>2919</v>
      </c>
      <c r="H926" s="19" t="s">
        <v>2923</v>
      </c>
      <c r="I926" s="19" t="s">
        <v>2923</v>
      </c>
      <c r="J926" s="19" t="s"/>
    </row>
    <row r="927" spans="1:10" ht="34.8">
      <c r="A927" s="17" t="s">
        <v>126</v>
      </c>
      <c r="B927" s="20">
        <v>65</v>
      </c>
      <c r="C927" s="22">
        <v>657</v>
      </c>
      <c r="D927" s="22">
        <v>6579</v>
      </c>
      <c r="E927" s="18" t="s">
        <v>127</v>
      </c>
      <c r="F927" s="21" t="s">
        <v>129</v>
      </c>
      <c r="G927" s="19" t="s">
        <v>2919</v>
      </c>
      <c r="H927" s="19" t="s">
        <v>2924</v>
      </c>
      <c r="I927" s="19" t="s">
        <v>2924</v>
      </c>
      <c r="J927" s="19" t="s"/>
    </row>
    <row r="928" spans="1:10" ht="33.6">
      <c r="A928" s="17" t="s">
        <v>126</v>
      </c>
      <c r="B928" s="20">
        <v>65</v>
      </c>
      <c r="C928" s="22">
        <v>658</v>
      </c>
      <c r="D928" s="22" t="s"/>
      <c r="E928" s="18" t="s">
        <v>127</v>
      </c>
      <c r="F928" s="21" t="s">
        <v>129</v>
      </c>
      <c r="G928" s="19" t="s">
        <v>2925</v>
      </c>
      <c r="H928" s="29" t="s"/>
      <c r="I928" s="19" t="s">
        <v>2925</v>
      </c>
      <c r="J928" s="19" t="s">
        <v>2926</v>
      </c>
    </row>
    <row r="929" spans="1:10" ht="33.6">
      <c r="A929" s="17" t="s">
        <v>126</v>
      </c>
      <c r="B929" s="20">
        <v>65</v>
      </c>
      <c r="C929" s="22">
        <v>658</v>
      </c>
      <c r="D929" s="22">
        <v>6581</v>
      </c>
      <c r="E929" s="18" t="s">
        <v>127</v>
      </c>
      <c r="F929" s="21" t="s">
        <v>129</v>
      </c>
      <c r="G929" s="19" t="s">
        <v>2925</v>
      </c>
      <c r="H929" s="19" t="s">
        <v>2927</v>
      </c>
      <c r="I929" s="19" t="s">
        <v>2927</v>
      </c>
      <c r="J929" s="19" t="s"/>
    </row>
    <row r="930" spans="1:10" ht="33.6">
      <c r="A930" s="17" t="s">
        <v>126</v>
      </c>
      <c r="B930" s="20">
        <v>65</v>
      </c>
      <c r="C930" s="22">
        <v>658</v>
      </c>
      <c r="D930" s="22">
        <v>6582</v>
      </c>
      <c r="E930" s="18" t="s">
        <v>127</v>
      </c>
      <c r="F930" s="21" t="s">
        <v>129</v>
      </c>
      <c r="G930" s="19" t="s">
        <v>2925</v>
      </c>
      <c r="H930" s="19" t="s">
        <v>2928</v>
      </c>
      <c r="I930" s="19" t="s">
        <v>2928</v>
      </c>
      <c r="J930" s="19" t="s"/>
    </row>
    <row r="931" spans="1:10" ht="33.6">
      <c r="A931" s="17" t="s">
        <v>126</v>
      </c>
      <c r="B931" s="20">
        <v>65</v>
      </c>
      <c r="C931" s="22">
        <v>658</v>
      </c>
      <c r="D931" s="22">
        <v>6583</v>
      </c>
      <c r="E931" s="18" t="s">
        <v>127</v>
      </c>
      <c r="F931" s="21" t="s">
        <v>129</v>
      </c>
      <c r="G931" s="19" t="s">
        <v>2925</v>
      </c>
      <c r="H931" s="19" t="s">
        <v>2929</v>
      </c>
      <c r="I931" s="19" t="s">
        <v>2929</v>
      </c>
      <c r="J931" s="19" t="s"/>
    </row>
    <row r="932" spans="1:10" ht="33.6">
      <c r="A932" s="17" t="s">
        <v>126</v>
      </c>
      <c r="B932" s="20">
        <v>65</v>
      </c>
      <c r="C932" s="22">
        <v>658</v>
      </c>
      <c r="D932" s="22">
        <v>6589</v>
      </c>
      <c r="E932" s="18" t="s">
        <v>127</v>
      </c>
      <c r="F932" s="21" t="s">
        <v>129</v>
      </c>
      <c r="G932" s="19" t="s">
        <v>2925</v>
      </c>
      <c r="H932" s="19" t="s">
        <v>2930</v>
      </c>
      <c r="I932" s="19" t="s">
        <v>2930</v>
      </c>
      <c r="J932" s="19" t="s"/>
    </row>
    <row r="933" spans="1:10" ht="28.8">
      <c r="A933" s="17" t="s">
        <v>126</v>
      </c>
      <c r="B933" s="20">
        <v>65</v>
      </c>
      <c r="C933" s="22">
        <v>659</v>
      </c>
      <c r="D933" s="22" t="s"/>
      <c r="E933" s="18" t="s">
        <v>127</v>
      </c>
      <c r="F933" s="21" t="s">
        <v>129</v>
      </c>
      <c r="G933" s="19" t="s">
        <v>2931</v>
      </c>
      <c r="H933" s="29" t="s"/>
      <c r="I933" s="19" t="s">
        <v>2931</v>
      </c>
      <c r="J933" s="19" t="s">
        <v>51</v>
      </c>
    </row>
    <row r="934" spans="1:10" ht="28.8">
      <c r="A934" s="17" t="s">
        <v>126</v>
      </c>
      <c r="B934" s="20">
        <v>65</v>
      </c>
      <c r="C934" s="22">
        <v>659</v>
      </c>
      <c r="D934" s="22">
        <v>6591</v>
      </c>
      <c r="E934" s="18" t="s">
        <v>127</v>
      </c>
      <c r="F934" s="21" t="s">
        <v>129</v>
      </c>
      <c r="G934" s="19" t="s">
        <v>2931</v>
      </c>
      <c r="H934" s="19" t="s">
        <v>2932</v>
      </c>
      <c r="I934" s="19" t="s">
        <v>2932</v>
      </c>
      <c r="J934" s="19" t="s">
        <v>2933</v>
      </c>
    </row>
    <row r="935" spans="1:10" ht="28.8">
      <c r="A935" s="17" t="s">
        <v>126</v>
      </c>
      <c r="B935" s="20">
        <v>65</v>
      </c>
      <c r="C935" s="22">
        <v>659</v>
      </c>
      <c r="D935" s="22">
        <v>6592</v>
      </c>
      <c r="E935" s="18" t="s">
        <v>127</v>
      </c>
      <c r="F935" s="21" t="s">
        <v>129</v>
      </c>
      <c r="G935" s="19" t="s">
        <v>2931</v>
      </c>
      <c r="H935" s="19" t="s">
        <v>2934</v>
      </c>
      <c r="I935" s="19" t="s">
        <v>2934</v>
      </c>
      <c r="J935" s="19" t="s">
        <v>2935</v>
      </c>
    </row>
    <row r="936" spans="1:10" ht="28.8">
      <c r="A936" s="17" t="s">
        <v>126</v>
      </c>
      <c r="B936" s="20">
        <v>65</v>
      </c>
      <c r="C936" s="22">
        <v>659</v>
      </c>
      <c r="D936" s="22">
        <v>6593</v>
      </c>
      <c r="E936" s="18" t="s">
        <v>127</v>
      </c>
      <c r="F936" s="21" t="s">
        <v>129</v>
      </c>
      <c r="G936" s="19" t="s">
        <v>2931</v>
      </c>
      <c r="H936" s="19" t="s">
        <v>2936</v>
      </c>
      <c r="I936" s="19" t="s">
        <v>2936</v>
      </c>
      <c r="J936" s="19" t="s">
        <v>51</v>
      </c>
    </row>
    <row r="937" spans="1:10" ht="28.8">
      <c r="A937" s="17" t="s">
        <v>126</v>
      </c>
      <c r="B937" s="20">
        <v>65</v>
      </c>
      <c r="C937" s="22">
        <v>659</v>
      </c>
      <c r="D937" s="22">
        <v>6594</v>
      </c>
      <c r="E937" s="18" t="s">
        <v>127</v>
      </c>
      <c r="F937" s="21" t="s">
        <v>129</v>
      </c>
      <c r="G937" s="19" t="s">
        <v>2931</v>
      </c>
      <c r="H937" s="19" t="s">
        <v>2937</v>
      </c>
      <c r="I937" s="19" t="s">
        <v>2937</v>
      </c>
      <c r="J937" s="19" t="s"/>
    </row>
    <row r="938" spans="1:10" ht="28.8">
      <c r="A938" s="17" t="s">
        <v>126</v>
      </c>
      <c r="B938" s="20">
        <v>65</v>
      </c>
      <c r="C938" s="22">
        <v>659</v>
      </c>
      <c r="D938" s="22">
        <v>6595</v>
      </c>
      <c r="E938" s="18" t="s">
        <v>127</v>
      </c>
      <c r="F938" s="21" t="s">
        <v>129</v>
      </c>
      <c r="G938" s="19" t="s">
        <v>2931</v>
      </c>
      <c r="H938" s="19" t="s">
        <v>2938</v>
      </c>
      <c r="I938" s="19" t="s">
        <v>2938</v>
      </c>
      <c r="J938" s="19" t="s"/>
    </row>
    <row r="939" spans="1:10" ht="28.8">
      <c r="A939" s="17" t="s">
        <v>126</v>
      </c>
      <c r="B939" s="20">
        <v>65</v>
      </c>
      <c r="C939" s="22">
        <v>659</v>
      </c>
      <c r="D939" s="22">
        <v>6599</v>
      </c>
      <c r="E939" s="18" t="s">
        <v>127</v>
      </c>
      <c r="F939" s="21" t="s">
        <v>129</v>
      </c>
      <c r="G939" s="19" t="s">
        <v>2931</v>
      </c>
      <c r="H939" s="19" t="s">
        <v>2939</v>
      </c>
      <c r="I939" s="19" t="s">
        <v>2939</v>
      </c>
      <c r="J939" s="19" t="s"/>
    </row>
    <row r="940" spans="1:10" ht="28.8">
      <c r="A940" s="17" t="s">
        <v>130</v>
      </c>
      <c r="B940" s="17" t="s">
        <v>51</v>
      </c>
      <c r="C940" s="17" t="s">
        <v>51</v>
      </c>
      <c r="D940" s="17" t="s">
        <v>51</v>
      </c>
      <c r="E940" s="18" t="s">
        <v>131</v>
      </c>
      <c r="F940" s="17" t="s"/>
      <c r="G940" s="17" t="s"/>
      <c r="H940" s="29" t="s"/>
      <c r="I940" s="18" t="s">
        <v>131</v>
      </c>
      <c r="J940" s="19" t="s">
        <v>2940</v>
      </c>
    </row>
    <row r="941" spans="1:10" ht="28.8">
      <c r="A941" s="17" t="s">
        <v>130</v>
      </c>
      <c r="B941" s="20">
        <v>66</v>
      </c>
      <c r="C941" s="31" t="s"/>
      <c r="D941" s="31" t="s"/>
      <c r="E941" s="18" t="s">
        <v>131</v>
      </c>
      <c r="F941" s="21" t="s">
        <v>132</v>
      </c>
      <c r="G941" s="31" t="s"/>
      <c r="H941" s="29" t="s"/>
      <c r="I941" s="21" t="s">
        <v>132</v>
      </c>
      <c r="J941" s="19" t="s">
        <v>2941</v>
      </c>
    </row>
    <row r="942" spans="1:10" ht="28.8">
      <c r="A942" s="17" t="s">
        <v>130</v>
      </c>
      <c r="B942" s="20">
        <v>66</v>
      </c>
      <c r="C942" s="22">
        <v>661</v>
      </c>
      <c r="D942" s="22">
        <v>6610</v>
      </c>
      <c r="E942" s="18" t="s">
        <v>131</v>
      </c>
      <c r="F942" s="21" t="s">
        <v>132</v>
      </c>
      <c r="G942" s="19" t="s">
        <v>2942</v>
      </c>
      <c r="H942" s="19" t="s">
        <v>2942</v>
      </c>
      <c r="I942" s="19" t="s">
        <v>2942</v>
      </c>
      <c r="J942" s="19" t="s">
        <v>2943</v>
      </c>
    </row>
    <row r="943" spans="1:10" ht="28.8">
      <c r="A943" s="17" t="s">
        <v>130</v>
      </c>
      <c r="B943" s="20">
        <v>66</v>
      </c>
      <c r="C943" s="22">
        <v>662</v>
      </c>
      <c r="D943" s="22">
        <v>6620</v>
      </c>
      <c r="E943" s="18" t="s">
        <v>131</v>
      </c>
      <c r="F943" s="21" t="s">
        <v>132</v>
      </c>
      <c r="G943" s="19" t="s">
        <v>2944</v>
      </c>
      <c r="H943" s="19" t="s">
        <v>2944</v>
      </c>
      <c r="I943" s="19" t="s">
        <v>2944</v>
      </c>
      <c r="J943" s="19" t="s">
        <v>2945</v>
      </c>
    </row>
    <row r="944" spans="1:10" ht="28.8">
      <c r="A944" s="17" t="s">
        <v>130</v>
      </c>
      <c r="B944" s="20">
        <v>66</v>
      </c>
      <c r="C944" s="22">
        <v>669</v>
      </c>
      <c r="D944" s="22">
        <v>6690</v>
      </c>
      <c r="E944" s="18" t="s">
        <v>131</v>
      </c>
      <c r="F944" s="21" t="s">
        <v>132</v>
      </c>
      <c r="G944" s="19" t="s">
        <v>2946</v>
      </c>
      <c r="H944" s="19" t="s">
        <v>2946</v>
      </c>
      <c r="I944" s="19" t="s">
        <v>2946</v>
      </c>
      <c r="J944" s="19" t="s">
        <v>2947</v>
      </c>
    </row>
    <row r="945" spans="1:10" ht="28.8">
      <c r="A945" s="17" t="s">
        <v>130</v>
      </c>
      <c r="B945" s="20">
        <v>67</v>
      </c>
      <c r="C945" s="31" t="s"/>
      <c r="D945" s="31" t="s"/>
      <c r="E945" s="18" t="s">
        <v>131</v>
      </c>
      <c r="F945" s="21" t="s">
        <v>133</v>
      </c>
      <c r="G945" s="31" t="s"/>
      <c r="H945" s="29" t="s"/>
      <c r="I945" s="21" t="s">
        <v>133</v>
      </c>
      <c r="J945" s="19" t="s">
        <v>2948</v>
      </c>
    </row>
    <row r="946" spans="1:10" ht="28.8">
      <c r="A946" s="17" t="s">
        <v>130</v>
      </c>
      <c r="B946" s="20">
        <v>67</v>
      </c>
      <c r="C946" s="22">
        <v>671</v>
      </c>
      <c r="D946" s="22">
        <v>6710</v>
      </c>
      <c r="E946" s="18" t="s">
        <v>131</v>
      </c>
      <c r="F946" s="21" t="s">
        <v>133</v>
      </c>
      <c r="G946" s="19" t="s">
        <v>2949</v>
      </c>
      <c r="H946" s="19" t="s">
        <v>2949</v>
      </c>
      <c r="I946" s="19" t="s">
        <v>2949</v>
      </c>
      <c r="J946" s="19" t="s">
        <v>2950</v>
      </c>
    </row>
    <row r="947" spans="1:10" ht="28.8">
      <c r="A947" s="17" t="s">
        <v>130</v>
      </c>
      <c r="B947" s="20">
        <v>67</v>
      </c>
      <c r="C947" s="22">
        <v>672</v>
      </c>
      <c r="D947" s="22">
        <v>6720</v>
      </c>
      <c r="E947" s="18" t="s">
        <v>131</v>
      </c>
      <c r="F947" s="21" t="s">
        <v>133</v>
      </c>
      <c r="G947" s="19" t="s">
        <v>2951</v>
      </c>
      <c r="H947" s="19" t="s">
        <v>2951</v>
      </c>
      <c r="I947" s="19" t="s">
        <v>2951</v>
      </c>
      <c r="J947" s="19" t="s">
        <v>51</v>
      </c>
    </row>
    <row r="948" spans="1:10" ht="28.8">
      <c r="A948" s="17" t="s">
        <v>130</v>
      </c>
      <c r="B948" s="20">
        <v>67</v>
      </c>
      <c r="C948" s="22">
        <v>673</v>
      </c>
      <c r="D948" s="22">
        <v>6730</v>
      </c>
      <c r="E948" s="18" t="s">
        <v>131</v>
      </c>
      <c r="F948" s="21" t="s">
        <v>133</v>
      </c>
      <c r="G948" s="19" t="s">
        <v>2952</v>
      </c>
      <c r="H948" s="19" t="s">
        <v>2952</v>
      </c>
      <c r="I948" s="19" t="s">
        <v>2952</v>
      </c>
      <c r="J948" s="19" t="s">
        <v>2953</v>
      </c>
    </row>
    <row r="949" spans="1:10" ht="28.8">
      <c r="A949" s="17" t="s">
        <v>130</v>
      </c>
      <c r="B949" s="20">
        <v>67</v>
      </c>
      <c r="C949" s="22">
        <v>679</v>
      </c>
      <c r="D949" s="22">
        <v>6790</v>
      </c>
      <c r="E949" s="18" t="s">
        <v>131</v>
      </c>
      <c r="F949" s="21" t="s">
        <v>133</v>
      </c>
      <c r="G949" s="19" t="s">
        <v>2954</v>
      </c>
      <c r="H949" s="19" t="s">
        <v>2954</v>
      </c>
      <c r="I949" s="19" t="s">
        <v>2954</v>
      </c>
      <c r="J949" s="19" t="s">
        <v>2955</v>
      </c>
    </row>
    <row r="950" spans="1:10" ht="15.6">
      <c r="A950" s="17" t="s">
        <v>134</v>
      </c>
      <c r="B950" s="17" t="s"/>
      <c r="C950" s="17" t="s"/>
      <c r="D950" s="17" t="s"/>
      <c r="E950" s="18" t="s">
        <v>135</v>
      </c>
      <c r="F950" s="17" t="s"/>
      <c r="G950" s="17" t="s"/>
      <c r="H950" s="29" t="s"/>
      <c r="I950" s="18" t="s">
        <v>135</v>
      </c>
      <c r="J950" s="19" t="s">
        <v>2956</v>
      </c>
    </row>
    <row r="951" spans="1:10" ht="15.6">
      <c r="A951" s="17" t="s">
        <v>134</v>
      </c>
      <c r="B951" s="20">
        <v>68</v>
      </c>
      <c r="C951" s="31" t="s"/>
      <c r="D951" s="31" t="s"/>
      <c r="E951" s="18" t="s">
        <v>135</v>
      </c>
      <c r="F951" s="21" t="s">
        <v>136</v>
      </c>
      <c r="G951" s="31" t="s"/>
      <c r="H951" s="29" t="s"/>
      <c r="I951" s="21" t="s">
        <v>136</v>
      </c>
      <c r="J951" s="19" t="s">
        <v>51</v>
      </c>
    </row>
    <row r="952" spans="1:10" ht="22.8">
      <c r="A952" s="17" t="s">
        <v>134</v>
      </c>
      <c r="B952" s="20">
        <v>68</v>
      </c>
      <c r="C952" s="22">
        <v>681</v>
      </c>
      <c r="D952" s="22">
        <v>6810</v>
      </c>
      <c r="E952" s="18" t="s">
        <v>135</v>
      </c>
      <c r="F952" s="21" t="s">
        <v>136</v>
      </c>
      <c r="G952" s="19" t="s">
        <v>2957</v>
      </c>
      <c r="H952" s="19" t="s">
        <v>2957</v>
      </c>
      <c r="I952" s="19" t="s">
        <v>2957</v>
      </c>
      <c r="J952" s="19" t="s">
        <v>2958</v>
      </c>
    </row>
    <row r="953" spans="1:10" ht="22.8">
      <c r="A953" s="17" t="s">
        <v>134</v>
      </c>
      <c r="B953" s="20">
        <v>68</v>
      </c>
      <c r="C953" s="22">
        <v>682</v>
      </c>
      <c r="D953" s="22">
        <v>6820</v>
      </c>
      <c r="E953" s="18" t="s">
        <v>135</v>
      </c>
      <c r="F953" s="21" t="s">
        <v>136</v>
      </c>
      <c r="G953" s="19" t="s">
        <v>2959</v>
      </c>
      <c r="H953" s="19" t="s">
        <v>2959</v>
      </c>
      <c r="I953" s="19" t="s">
        <v>2959</v>
      </c>
      <c r="J953" s="19" t="s">
        <v>2960</v>
      </c>
    </row>
    <row r="954" spans="1:10" ht="15.6">
      <c r="A954" s="17" t="s">
        <v>134</v>
      </c>
      <c r="B954" s="20">
        <v>68</v>
      </c>
      <c r="C954" s="22">
        <v>689</v>
      </c>
      <c r="D954" s="22">
        <v>6890</v>
      </c>
      <c r="E954" s="18" t="s">
        <v>135</v>
      </c>
      <c r="F954" s="21" t="s">
        <v>136</v>
      </c>
      <c r="G954" s="19" t="s">
        <v>2961</v>
      </c>
      <c r="H954" s="19" t="s">
        <v>2961</v>
      </c>
      <c r="I954" s="19" t="s">
        <v>2961</v>
      </c>
      <c r="J954" s="19" t="s">
        <v>2962</v>
      </c>
    </row>
    <row r="955" spans="1:10" ht="15.6">
      <c r="A955" s="17" t="s">
        <v>134</v>
      </c>
      <c r="B955" s="20">
        <v>69</v>
      </c>
      <c r="C955" s="20" t="s">
        <v>51</v>
      </c>
      <c r="D955" s="20" t="s"/>
      <c r="E955" s="18" t="s">
        <v>135</v>
      </c>
      <c r="F955" s="21" t="s">
        <v>137</v>
      </c>
      <c r="G955" s="20" t="s"/>
      <c r="H955" s="29" t="s"/>
      <c r="I955" s="21" t="s">
        <v>137</v>
      </c>
      <c r="J955" s="19" t="s">
        <v>2963</v>
      </c>
    </row>
    <row r="956" spans="1:10" ht="15.6">
      <c r="A956" s="17" t="s">
        <v>134</v>
      </c>
      <c r="B956" s="20">
        <v>69</v>
      </c>
      <c r="C956" s="22">
        <v>691</v>
      </c>
      <c r="D956" s="22">
        <v>6910</v>
      </c>
      <c r="E956" s="18" t="s">
        <v>135</v>
      </c>
      <c r="F956" s="21" t="s">
        <v>137</v>
      </c>
      <c r="G956" s="19" t="s">
        <v>2964</v>
      </c>
      <c r="H956" s="19" t="s">
        <v>2964</v>
      </c>
      <c r="I956" s="19" t="s">
        <v>2964</v>
      </c>
      <c r="J956" s="19" t="s">
        <v>2965</v>
      </c>
    </row>
    <row r="957" spans="1:10" ht="22.8">
      <c r="A957" s="17" t="s">
        <v>134</v>
      </c>
      <c r="B957" s="20">
        <v>69</v>
      </c>
      <c r="C957" s="22">
        <v>692</v>
      </c>
      <c r="D957" s="22">
        <v>6920</v>
      </c>
      <c r="E957" s="18" t="s">
        <v>135</v>
      </c>
      <c r="F957" s="21" t="s">
        <v>137</v>
      </c>
      <c r="G957" s="19" t="s">
        <v>2966</v>
      </c>
      <c r="H957" s="19" t="s">
        <v>2966</v>
      </c>
      <c r="I957" s="19" t="s">
        <v>2966</v>
      </c>
      <c r="J957" s="19" t="s">
        <v>2967</v>
      </c>
    </row>
    <row r="958" spans="1:10" ht="22.8">
      <c r="A958" s="17" t="s">
        <v>134</v>
      </c>
      <c r="B958" s="20">
        <v>69</v>
      </c>
      <c r="C958" s="22">
        <v>693</v>
      </c>
      <c r="D958" s="22">
        <v>6930</v>
      </c>
      <c r="E958" s="18" t="s">
        <v>135</v>
      </c>
      <c r="F958" s="21" t="s">
        <v>137</v>
      </c>
      <c r="G958" s="19" t="s">
        <v>2968</v>
      </c>
      <c r="H958" s="19" t="s">
        <v>2968</v>
      </c>
      <c r="I958" s="19" t="s">
        <v>2968</v>
      </c>
      <c r="J958" s="19" t="s">
        <v>2969</v>
      </c>
    </row>
    <row r="959" spans="1:10" ht="22.8">
      <c r="A959" s="17" t="s">
        <v>134</v>
      </c>
      <c r="B959" s="20">
        <v>69</v>
      </c>
      <c r="C959" s="22">
        <v>694</v>
      </c>
      <c r="D959" s="22">
        <v>6940</v>
      </c>
      <c r="E959" s="18" t="s">
        <v>135</v>
      </c>
      <c r="F959" s="21" t="s">
        <v>137</v>
      </c>
      <c r="G959" s="19" t="s">
        <v>2970</v>
      </c>
      <c r="H959" s="19" t="s">
        <v>2970</v>
      </c>
      <c r="I959" s="19" t="s">
        <v>2970</v>
      </c>
      <c r="J959" s="19" t="s"/>
    </row>
    <row r="960" spans="1:10" ht="15.6">
      <c r="A960" s="17" t="s">
        <v>134</v>
      </c>
      <c r="B960" s="20">
        <v>70</v>
      </c>
      <c r="C960" s="31" t="s"/>
      <c r="D960" s="31" t="s"/>
      <c r="E960" s="18" t="s">
        <v>135</v>
      </c>
      <c r="F960" s="21" t="s">
        <v>138</v>
      </c>
      <c r="G960" s="31" t="s"/>
      <c r="H960" s="29" t="s"/>
      <c r="I960" s="21" t="s">
        <v>138</v>
      </c>
      <c r="J960" s="19" t="s"/>
    </row>
    <row r="961" spans="1:10" ht="15.6">
      <c r="A961" s="17" t="s">
        <v>134</v>
      </c>
      <c r="B961" s="20">
        <v>70</v>
      </c>
      <c r="C961" s="22">
        <v>701</v>
      </c>
      <c r="D961" s="22">
        <v>7010</v>
      </c>
      <c r="E961" s="18" t="s">
        <v>135</v>
      </c>
      <c r="F961" s="21" t="s">
        <v>138</v>
      </c>
      <c r="G961" s="19" t="s">
        <v>2971</v>
      </c>
      <c r="H961" s="19" t="s">
        <v>2971</v>
      </c>
      <c r="I961" s="19" t="s">
        <v>2971</v>
      </c>
      <c r="J961" s="19" t="s">
        <v>2972</v>
      </c>
    </row>
    <row r="962" spans="1:10" ht="15.6">
      <c r="A962" s="17" t="s">
        <v>134</v>
      </c>
      <c r="B962" s="20">
        <v>70</v>
      </c>
      <c r="C962" s="22">
        <v>702</v>
      </c>
      <c r="D962" s="22">
        <v>7020</v>
      </c>
      <c r="E962" s="18" t="s">
        <v>135</v>
      </c>
      <c r="F962" s="21" t="s">
        <v>138</v>
      </c>
      <c r="G962" s="19" t="s">
        <v>2973</v>
      </c>
      <c r="H962" s="19" t="s">
        <v>2973</v>
      </c>
      <c r="I962" s="19" t="s">
        <v>2973</v>
      </c>
      <c r="J962" s="19" t="s">
        <v>2974</v>
      </c>
    </row>
    <row r="963" spans="1:10" ht="15.6">
      <c r="A963" s="17" t="s">
        <v>134</v>
      </c>
      <c r="B963" s="20">
        <v>70</v>
      </c>
      <c r="C963" s="22">
        <v>703</v>
      </c>
      <c r="D963" s="22">
        <v>7030</v>
      </c>
      <c r="E963" s="18" t="s">
        <v>135</v>
      </c>
      <c r="F963" s="21" t="s">
        <v>138</v>
      </c>
      <c r="G963" s="19" t="s">
        <v>2975</v>
      </c>
      <c r="H963" s="19" t="s">
        <v>2975</v>
      </c>
      <c r="I963" s="19" t="s">
        <v>2975</v>
      </c>
      <c r="J963" s="19" t="s">
        <v>2976</v>
      </c>
    </row>
    <row r="964" spans="1:10" ht="21.6">
      <c r="A964" s="17" t="s">
        <v>134</v>
      </c>
      <c r="B964" s="20">
        <v>71</v>
      </c>
      <c r="C964" s="20" t="s"/>
      <c r="D964" s="20" t="s"/>
      <c r="E964" s="18" t="s">
        <v>135</v>
      </c>
      <c r="F964" s="21" t="s">
        <v>139</v>
      </c>
      <c r="G964" s="20" t="s"/>
      <c r="H964" s="29" t="s"/>
      <c r="I964" s="21" t="s">
        <v>139</v>
      </c>
      <c r="J964" s="19" t="s">
        <v>2977</v>
      </c>
    </row>
    <row r="965" spans="1:10" ht="24">
      <c r="A965" s="17" t="s">
        <v>134</v>
      </c>
      <c r="B965" s="20">
        <v>71</v>
      </c>
      <c r="C965" s="22">
        <v>711</v>
      </c>
      <c r="D965" s="22">
        <v>7110</v>
      </c>
      <c r="E965" s="18" t="s">
        <v>135</v>
      </c>
      <c r="F965" s="21" t="s">
        <v>139</v>
      </c>
      <c r="G965" s="19" t="s">
        <v>2978</v>
      </c>
      <c r="H965" s="19" t="s">
        <v>2978</v>
      </c>
      <c r="I965" s="19" t="s">
        <v>2978</v>
      </c>
      <c r="J965" s="19" t="s">
        <v>2979</v>
      </c>
    </row>
    <row r="966" spans="1:10" ht="21.6">
      <c r="A966" s="17" t="s">
        <v>134</v>
      </c>
      <c r="B966" s="20">
        <v>71</v>
      </c>
      <c r="C966" s="22">
        <v>712</v>
      </c>
      <c r="D966" s="22">
        <v>7120</v>
      </c>
      <c r="E966" s="18" t="s">
        <v>135</v>
      </c>
      <c r="F966" s="21" t="s">
        <v>139</v>
      </c>
      <c r="G966" s="19" t="s">
        <v>2980</v>
      </c>
      <c r="H966" s="19" t="s">
        <v>2980</v>
      </c>
      <c r="I966" s="19" t="s">
        <v>2980</v>
      </c>
      <c r="J966" s="19" t="s"/>
    </row>
    <row r="967" spans="1:10" ht="21.6">
      <c r="A967" s="17" t="s">
        <v>134</v>
      </c>
      <c r="B967" s="20">
        <v>71</v>
      </c>
      <c r="C967" s="22">
        <v>713</v>
      </c>
      <c r="D967" s="22">
        <v>7130</v>
      </c>
      <c r="E967" s="18" t="s">
        <v>135</v>
      </c>
      <c r="F967" s="21" t="s">
        <v>139</v>
      </c>
      <c r="G967" s="19" t="s">
        <v>2981</v>
      </c>
      <c r="H967" s="19" t="s">
        <v>2981</v>
      </c>
      <c r="I967" s="19" t="s">
        <v>2981</v>
      </c>
      <c r="J967" s="19" t="s">
        <v>2982</v>
      </c>
    </row>
    <row r="968" spans="1:10" ht="21.6">
      <c r="A968" s="17" t="s">
        <v>134</v>
      </c>
      <c r="B968" s="20">
        <v>71</v>
      </c>
      <c r="C968" s="22">
        <v>714</v>
      </c>
      <c r="D968" s="22">
        <v>7140</v>
      </c>
      <c r="E968" s="18" t="s">
        <v>135</v>
      </c>
      <c r="F968" s="21" t="s">
        <v>139</v>
      </c>
      <c r="G968" s="19" t="s">
        <v>2983</v>
      </c>
      <c r="H968" s="19" t="s">
        <v>2983</v>
      </c>
      <c r="I968" s="19" t="s">
        <v>2983</v>
      </c>
      <c r="J968" s="19" t="s"/>
    </row>
    <row r="969" spans="1:10" ht="21.6">
      <c r="A969" s="17" t="s">
        <v>134</v>
      </c>
      <c r="B969" s="20">
        <v>71</v>
      </c>
      <c r="C969" s="22">
        <v>715</v>
      </c>
      <c r="D969" s="22">
        <v>7150</v>
      </c>
      <c r="E969" s="18" t="s">
        <v>135</v>
      </c>
      <c r="F969" s="21" t="s">
        <v>139</v>
      </c>
      <c r="G969" s="19" t="s">
        <v>2984</v>
      </c>
      <c r="H969" s="19" t="s">
        <v>2984</v>
      </c>
      <c r="I969" s="19" t="s">
        <v>2984</v>
      </c>
      <c r="J969" s="19" t="s">
        <v>2985</v>
      </c>
    </row>
    <row r="970" spans="1:10" ht="22.8">
      <c r="A970" s="17" t="s">
        <v>134</v>
      </c>
      <c r="B970" s="20">
        <v>71</v>
      </c>
      <c r="C970" s="22">
        <v>719</v>
      </c>
      <c r="D970" s="22">
        <v>7190</v>
      </c>
      <c r="E970" s="18" t="s">
        <v>135</v>
      </c>
      <c r="F970" s="21" t="s">
        <v>139</v>
      </c>
      <c r="G970" s="19" t="s">
        <v>2986</v>
      </c>
      <c r="H970" s="19" t="s">
        <v>2986</v>
      </c>
      <c r="I970" s="19" t="s">
        <v>2986</v>
      </c>
      <c r="J970" s="19" t="s">
        <v>2987</v>
      </c>
    </row>
    <row r="971" spans="1:10" ht="15.6">
      <c r="A971" s="17" t="s">
        <v>140</v>
      </c>
      <c r="B971" s="17" t="s"/>
      <c r="C971" s="17" t="s"/>
      <c r="D971" s="17" t="s"/>
      <c r="E971" s="18" t="s">
        <v>141</v>
      </c>
      <c r="F971" s="17" t="s"/>
      <c r="G971" s="17" t="s"/>
      <c r="H971" s="29" t="s"/>
      <c r="I971" s="18" t="s">
        <v>141</v>
      </c>
      <c r="J971" s="34" t="s"/>
    </row>
    <row r="972" spans="1:10" ht="15.6">
      <c r="A972" s="17" t="s">
        <v>140</v>
      </c>
      <c r="B972" s="20">
        <v>72</v>
      </c>
      <c r="C972" s="31" t="s"/>
      <c r="D972" s="31" t="s"/>
      <c r="E972" s="18" t="s">
        <v>141</v>
      </c>
      <c r="F972" s="21" t="s">
        <v>141</v>
      </c>
      <c r="G972" s="31" t="s"/>
      <c r="H972" s="29" t="s"/>
      <c r="I972" s="21" t="s">
        <v>141</v>
      </c>
      <c r="J972" s="19" t="s"/>
    </row>
    <row r="973" spans="1:10" ht="22.8">
      <c r="A973" s="17" t="s">
        <v>140</v>
      </c>
      <c r="B973" s="20">
        <v>72</v>
      </c>
      <c r="C973" s="22">
        <v>721</v>
      </c>
      <c r="D973" s="22">
        <v>7210</v>
      </c>
      <c r="E973" s="18" t="s">
        <v>141</v>
      </c>
      <c r="F973" s="21" t="s">
        <v>141</v>
      </c>
      <c r="G973" s="19" t="s">
        <v>2988</v>
      </c>
      <c r="H973" s="19" t="s">
        <v>2988</v>
      </c>
      <c r="I973" s="19" t="s">
        <v>2988</v>
      </c>
      <c r="J973" s="19" t="s">
        <v>2989</v>
      </c>
    </row>
    <row r="974" spans="1:10" ht="33.6">
      <c r="A974" s="17" t="s">
        <v>140</v>
      </c>
      <c r="B974" s="20">
        <v>72</v>
      </c>
      <c r="C974" s="22">
        <v>722</v>
      </c>
      <c r="D974" s="22">
        <v>7220</v>
      </c>
      <c r="E974" s="18" t="s">
        <v>141</v>
      </c>
      <c r="F974" s="21" t="s">
        <v>141</v>
      </c>
      <c r="G974" s="19" t="s">
        <v>2990</v>
      </c>
      <c r="H974" s="19" t="s">
        <v>2990</v>
      </c>
      <c r="I974" s="19" t="s">
        <v>2990</v>
      </c>
      <c r="J974" s="19" t="s">
        <v>2991</v>
      </c>
    </row>
    <row r="975" spans="1:10" ht="22.8">
      <c r="A975" s="17" t="s">
        <v>140</v>
      </c>
      <c r="B975" s="20">
        <v>72</v>
      </c>
      <c r="C975" s="22">
        <v>723</v>
      </c>
      <c r="D975" s="22">
        <v>7230</v>
      </c>
      <c r="E975" s="18" t="s">
        <v>141</v>
      </c>
      <c r="F975" s="21" t="s">
        <v>141</v>
      </c>
      <c r="G975" s="19" t="s">
        <v>2992</v>
      </c>
      <c r="H975" s="19" t="s">
        <v>2992</v>
      </c>
      <c r="I975" s="19" t="s">
        <v>2992</v>
      </c>
      <c r="J975" s="19" t="s">
        <v>2993</v>
      </c>
    </row>
    <row r="976" spans="1:10" ht="22.8">
      <c r="A976" s="17" t="s">
        <v>140</v>
      </c>
      <c r="B976" s="20">
        <v>72</v>
      </c>
      <c r="C976" s="22">
        <v>729</v>
      </c>
      <c r="D976" s="22">
        <v>7290</v>
      </c>
      <c r="E976" s="18" t="s">
        <v>141</v>
      </c>
      <c r="F976" s="21" t="s">
        <v>141</v>
      </c>
      <c r="G976" s="19" t="s">
        <v>2994</v>
      </c>
      <c r="H976" s="19" t="s">
        <v>2994</v>
      </c>
      <c r="I976" s="19" t="s">
        <v>2994</v>
      </c>
      <c r="J976" s="19" t="s">
        <v>51</v>
      </c>
    </row>
    <row r="977" spans="1:10" ht="28.8">
      <c r="A977" s="17" t="s">
        <v>142</v>
      </c>
      <c r="B977" s="17" t="s"/>
      <c r="C977" s="17" t="s"/>
      <c r="D977" s="17" t="s"/>
      <c r="E977" s="18" t="s">
        <v>143</v>
      </c>
      <c r="F977" s="17" t="s"/>
      <c r="G977" s="17" t="s"/>
      <c r="H977" s="29" t="s"/>
      <c r="I977" s="18" t="s">
        <v>143</v>
      </c>
      <c r="J977" s="19" t="s">
        <v>2995</v>
      </c>
    </row>
    <row r="978" spans="1:10" ht="28.8">
      <c r="A978" s="17" t="s">
        <v>142</v>
      </c>
      <c r="B978" s="20">
        <v>73</v>
      </c>
      <c r="C978" s="31" t="s"/>
      <c r="D978" s="31" t="s"/>
      <c r="E978" s="18" t="s">
        <v>143</v>
      </c>
      <c r="F978" s="21" t="s">
        <v>144</v>
      </c>
      <c r="G978" s="31" t="s"/>
      <c r="H978" s="29" t="s"/>
      <c r="I978" s="21" t="s">
        <v>144</v>
      </c>
      <c r="J978" s="19" t="s"/>
    </row>
    <row r="979" spans="1:10" ht="28.8">
      <c r="A979" s="17" t="s">
        <v>142</v>
      </c>
      <c r="B979" s="20">
        <v>73</v>
      </c>
      <c r="C979" s="22">
        <v>731</v>
      </c>
      <c r="D979" s="22" t="s"/>
      <c r="E979" s="18" t="s">
        <v>143</v>
      </c>
      <c r="F979" s="21" t="s">
        <v>144</v>
      </c>
      <c r="G979" s="19" t="s">
        <v>2996</v>
      </c>
      <c r="H979" s="29" t="s"/>
      <c r="I979" s="19" t="s">
        <v>2996</v>
      </c>
      <c r="J979" s="19" t="s">
        <v>2997</v>
      </c>
    </row>
    <row r="980" spans="1:10" ht="28.8">
      <c r="A980" s="17" t="s">
        <v>142</v>
      </c>
      <c r="B980" s="20">
        <v>73</v>
      </c>
      <c r="C980" s="22">
        <v>731</v>
      </c>
      <c r="D980" s="22">
        <v>7311</v>
      </c>
      <c r="E980" s="18" t="s">
        <v>143</v>
      </c>
      <c r="F980" s="21" t="s">
        <v>144</v>
      </c>
      <c r="G980" s="19" t="s">
        <v>2996</v>
      </c>
      <c r="H980" s="19" t="s">
        <v>2998</v>
      </c>
      <c r="I980" s="19" t="s">
        <v>2998</v>
      </c>
      <c r="J980" s="19" t="s"/>
    </row>
    <row r="981" spans="1:10" ht="28.8">
      <c r="A981" s="17" t="s">
        <v>142</v>
      </c>
      <c r="B981" s="20">
        <v>73</v>
      </c>
      <c r="C981" s="22">
        <v>731</v>
      </c>
      <c r="D981" s="22">
        <v>7312</v>
      </c>
      <c r="E981" s="18" t="s">
        <v>143</v>
      </c>
      <c r="F981" s="21" t="s">
        <v>144</v>
      </c>
      <c r="G981" s="19" t="s">
        <v>2996</v>
      </c>
      <c r="H981" s="19" t="s">
        <v>2999</v>
      </c>
      <c r="I981" s="19" t="s">
        <v>2999</v>
      </c>
      <c r="J981" s="19" t="s"/>
    </row>
    <row r="982" spans="1:10" ht="28.8">
      <c r="A982" s="17" t="s">
        <v>142</v>
      </c>
      <c r="B982" s="20">
        <v>73</v>
      </c>
      <c r="C982" s="22">
        <v>731</v>
      </c>
      <c r="D982" s="22">
        <v>7313</v>
      </c>
      <c r="E982" s="18" t="s">
        <v>143</v>
      </c>
      <c r="F982" s="21" t="s">
        <v>144</v>
      </c>
      <c r="G982" s="19" t="s">
        <v>2996</v>
      </c>
      <c r="H982" s="19" t="s">
        <v>3000</v>
      </c>
      <c r="I982" s="19" t="s">
        <v>3000</v>
      </c>
      <c r="J982" s="19" t="s"/>
    </row>
    <row r="983" spans="1:10" ht="28.8">
      <c r="A983" s="17" t="s">
        <v>142</v>
      </c>
      <c r="B983" s="20">
        <v>73</v>
      </c>
      <c r="C983" s="22">
        <v>731</v>
      </c>
      <c r="D983" s="22">
        <v>7314</v>
      </c>
      <c r="E983" s="18" t="s">
        <v>143</v>
      </c>
      <c r="F983" s="21" t="s">
        <v>144</v>
      </c>
      <c r="G983" s="19" t="s">
        <v>2996</v>
      </c>
      <c r="H983" s="19" t="s">
        <v>3001</v>
      </c>
      <c r="I983" s="19" t="s">
        <v>3001</v>
      </c>
      <c r="J983" s="19" t="s"/>
    </row>
    <row r="984" spans="1:10" ht="28.8">
      <c r="A984" s="17" t="s">
        <v>142</v>
      </c>
      <c r="B984" s="20">
        <v>73</v>
      </c>
      <c r="C984" s="22">
        <v>731</v>
      </c>
      <c r="D984" s="22">
        <v>7319</v>
      </c>
      <c r="E984" s="18" t="s">
        <v>143</v>
      </c>
      <c r="F984" s="21" t="s">
        <v>144</v>
      </c>
      <c r="G984" s="19" t="s">
        <v>2996</v>
      </c>
      <c r="H984" s="19" t="s">
        <v>3002</v>
      </c>
      <c r="I984" s="19" t="s">
        <v>3002</v>
      </c>
      <c r="J984" s="19" t="s"/>
    </row>
    <row r="985" spans="1:10" ht="28.8">
      <c r="A985" s="17" t="s">
        <v>142</v>
      </c>
      <c r="B985" s="20">
        <v>73</v>
      </c>
      <c r="C985" s="22">
        <v>732</v>
      </c>
      <c r="D985" s="22" t="s"/>
      <c r="E985" s="18" t="s">
        <v>143</v>
      </c>
      <c r="F985" s="21" t="s">
        <v>144</v>
      </c>
      <c r="G985" s="19" t="s">
        <v>3003</v>
      </c>
      <c r="H985" s="29" t="s"/>
      <c r="I985" s="19" t="s">
        <v>3003</v>
      </c>
      <c r="J985" s="19" t="s">
        <v>51</v>
      </c>
    </row>
    <row r="986" spans="1:10" ht="28.8">
      <c r="A986" s="17" t="s">
        <v>142</v>
      </c>
      <c r="B986" s="20">
        <v>73</v>
      </c>
      <c r="C986" s="22">
        <v>732</v>
      </c>
      <c r="D986" s="22">
        <v>7321</v>
      </c>
      <c r="E986" s="18" t="s">
        <v>143</v>
      </c>
      <c r="F986" s="21" t="s">
        <v>144</v>
      </c>
      <c r="G986" s="19" t="s">
        <v>3003</v>
      </c>
      <c r="H986" s="19" t="s">
        <v>3004</v>
      </c>
      <c r="I986" s="19" t="s">
        <v>3004</v>
      </c>
      <c r="J986" s="19" t="s"/>
    </row>
    <row r="987" spans="1:10" ht="28.8">
      <c r="A987" s="17" t="s">
        <v>142</v>
      </c>
      <c r="B987" s="20">
        <v>73</v>
      </c>
      <c r="C987" s="22">
        <v>732</v>
      </c>
      <c r="D987" s="22">
        <v>7329</v>
      </c>
      <c r="E987" s="18" t="s">
        <v>143</v>
      </c>
      <c r="F987" s="21" t="s">
        <v>144</v>
      </c>
      <c r="G987" s="19" t="s">
        <v>3003</v>
      </c>
      <c r="H987" s="19" t="s">
        <v>3005</v>
      </c>
      <c r="I987" s="19" t="s">
        <v>3005</v>
      </c>
      <c r="J987" s="19" t="s"/>
    </row>
    <row r="988" spans="1:10" ht="28.8">
      <c r="A988" s="17" t="s">
        <v>142</v>
      </c>
      <c r="B988" s="20">
        <v>74</v>
      </c>
      <c r="C988" s="31" t="s"/>
      <c r="D988" s="31" t="s"/>
      <c r="E988" s="18" t="s">
        <v>143</v>
      </c>
      <c r="F988" s="21" t="s">
        <v>145</v>
      </c>
      <c r="G988" s="31" t="s"/>
      <c r="H988" s="29" t="s"/>
      <c r="I988" s="21" t="s">
        <v>145</v>
      </c>
      <c r="J988" s="19" t="s"/>
    </row>
    <row r="989" spans="1:10" ht="28.8">
      <c r="A989" s="17" t="s">
        <v>142</v>
      </c>
      <c r="B989" s="20">
        <v>74</v>
      </c>
      <c r="C989" s="22">
        <v>741</v>
      </c>
      <c r="D989" s="22" t="s">
        <v>51</v>
      </c>
      <c r="E989" s="18" t="s">
        <v>143</v>
      </c>
      <c r="F989" s="21" t="s">
        <v>145</v>
      </c>
      <c r="G989" s="19" t="s">
        <v>3006</v>
      </c>
      <c r="H989" s="29" t="s"/>
      <c r="I989" s="19" t="s">
        <v>3006</v>
      </c>
      <c r="J989" s="19" t="s"/>
    </row>
    <row r="990" spans="1:10" ht="33.6">
      <c r="A990" s="17" t="s">
        <v>142</v>
      </c>
      <c r="B990" s="20">
        <v>74</v>
      </c>
      <c r="C990" s="22">
        <v>741</v>
      </c>
      <c r="D990" s="22">
        <v>7411</v>
      </c>
      <c r="E990" s="18" t="s">
        <v>143</v>
      </c>
      <c r="F990" s="21" t="s">
        <v>145</v>
      </c>
      <c r="G990" s="19" t="s">
        <v>3006</v>
      </c>
      <c r="H990" s="19" t="s">
        <v>3007</v>
      </c>
      <c r="I990" s="19" t="s">
        <v>3007</v>
      </c>
      <c r="J990" s="19" t="s">
        <v>3008</v>
      </c>
    </row>
    <row r="991" spans="1:10" ht="28.8">
      <c r="A991" s="17" t="s">
        <v>142</v>
      </c>
      <c r="B991" s="20">
        <v>74</v>
      </c>
      <c r="C991" s="22">
        <v>741</v>
      </c>
      <c r="D991" s="22">
        <v>7412</v>
      </c>
      <c r="E991" s="18" t="s">
        <v>143</v>
      </c>
      <c r="F991" s="21" t="s">
        <v>145</v>
      </c>
      <c r="G991" s="19" t="s">
        <v>3006</v>
      </c>
      <c r="H991" s="19" t="s">
        <v>3009</v>
      </c>
      <c r="I991" s="19" t="s">
        <v>3009</v>
      </c>
      <c r="J991" s="19" t="s">
        <v>3010</v>
      </c>
    </row>
    <row r="992" spans="1:10" ht="28.8">
      <c r="A992" s="17" t="s">
        <v>142</v>
      </c>
      <c r="B992" s="20">
        <v>74</v>
      </c>
      <c r="C992" s="22">
        <v>741</v>
      </c>
      <c r="D992" s="22">
        <v>7419</v>
      </c>
      <c r="E992" s="18" t="s">
        <v>143</v>
      </c>
      <c r="F992" s="21" t="s">
        <v>145</v>
      </c>
      <c r="G992" s="19" t="s">
        <v>3006</v>
      </c>
      <c r="H992" s="19" t="s">
        <v>3011</v>
      </c>
      <c r="I992" s="19" t="s">
        <v>3011</v>
      </c>
      <c r="J992" s="19" t="s">
        <v>3012</v>
      </c>
    </row>
    <row r="993" spans="1:10" ht="28.8">
      <c r="A993" s="17" t="s">
        <v>142</v>
      </c>
      <c r="B993" s="20">
        <v>74</v>
      </c>
      <c r="C993" s="22">
        <v>742</v>
      </c>
      <c r="D993" s="22" t="s"/>
      <c r="E993" s="18" t="s">
        <v>143</v>
      </c>
      <c r="F993" s="21" t="s">
        <v>145</v>
      </c>
      <c r="G993" s="19" t="s">
        <v>3013</v>
      </c>
      <c r="H993" s="29" t="s"/>
      <c r="I993" s="19" t="s">
        <v>3013</v>
      </c>
      <c r="J993" s="19" t="s">
        <v>3014</v>
      </c>
    </row>
    <row r="994" spans="1:10" ht="28.8">
      <c r="A994" s="17" t="s">
        <v>142</v>
      </c>
      <c r="B994" s="20">
        <v>74</v>
      </c>
      <c r="C994" s="22">
        <v>742</v>
      </c>
      <c r="D994" s="22">
        <v>7421</v>
      </c>
      <c r="E994" s="18" t="s">
        <v>143</v>
      </c>
      <c r="F994" s="21" t="s">
        <v>145</v>
      </c>
      <c r="G994" s="19" t="s">
        <v>3013</v>
      </c>
      <c r="H994" s="19" t="s">
        <v>3015</v>
      </c>
      <c r="I994" s="19" t="s">
        <v>3015</v>
      </c>
      <c r="J994" s="19" t="s">
        <v>3016</v>
      </c>
    </row>
    <row r="995" spans="1:10" ht="28.8">
      <c r="A995" s="17" t="s">
        <v>142</v>
      </c>
      <c r="B995" s="20">
        <v>74</v>
      </c>
      <c r="C995" s="22">
        <v>742</v>
      </c>
      <c r="D995" s="22">
        <v>7422</v>
      </c>
      <c r="E995" s="18" t="s">
        <v>143</v>
      </c>
      <c r="F995" s="21" t="s">
        <v>145</v>
      </c>
      <c r="G995" s="19" t="s">
        <v>3013</v>
      </c>
      <c r="H995" s="19" t="s">
        <v>3017</v>
      </c>
      <c r="I995" s="19" t="s">
        <v>3017</v>
      </c>
      <c r="J995" s="19" t="s"/>
    </row>
    <row r="996" spans="1:10" ht="28.8">
      <c r="A996" s="17" t="s">
        <v>142</v>
      </c>
      <c r="B996" s="20">
        <v>74</v>
      </c>
      <c r="C996" s="22">
        <v>742</v>
      </c>
      <c r="D996" s="22">
        <v>7429</v>
      </c>
      <c r="E996" s="18" t="s">
        <v>143</v>
      </c>
      <c r="F996" s="21" t="s">
        <v>145</v>
      </c>
      <c r="G996" s="19" t="s">
        <v>3013</v>
      </c>
      <c r="H996" s="19" t="s">
        <v>3018</v>
      </c>
      <c r="I996" s="19" t="s">
        <v>3018</v>
      </c>
      <c r="J996" s="19" t="s"/>
    </row>
    <row r="997" spans="1:10" ht="28.8">
      <c r="A997" s="17" t="s">
        <v>142</v>
      </c>
      <c r="B997" s="20">
        <v>74</v>
      </c>
      <c r="C997" s="22">
        <v>743</v>
      </c>
      <c r="D997" s="22" t="s"/>
      <c r="E997" s="18" t="s">
        <v>143</v>
      </c>
      <c r="F997" s="21" t="s">
        <v>145</v>
      </c>
      <c r="G997" s="19" t="s">
        <v>3019</v>
      </c>
      <c r="H997" s="29" t="s"/>
      <c r="I997" s="19" t="s">
        <v>3019</v>
      </c>
      <c r="J997" s="19" t="s"/>
    </row>
    <row r="998" spans="1:10" ht="28.8">
      <c r="A998" s="17" t="s">
        <v>142</v>
      </c>
      <c r="B998" s="20">
        <v>74</v>
      </c>
      <c r="C998" s="22">
        <v>743</v>
      </c>
      <c r="D998" s="22">
        <v>7431</v>
      </c>
      <c r="E998" s="18" t="s">
        <v>143</v>
      </c>
      <c r="F998" s="21" t="s">
        <v>145</v>
      </c>
      <c r="G998" s="19" t="s">
        <v>3019</v>
      </c>
      <c r="H998" s="19" t="s">
        <v>3020</v>
      </c>
      <c r="I998" s="19" t="s">
        <v>3020</v>
      </c>
      <c r="J998" s="19" t="s"/>
    </row>
    <row r="999" spans="1:10" ht="28.8">
      <c r="A999" s="17" t="s">
        <v>142</v>
      </c>
      <c r="B999" s="20">
        <v>74</v>
      </c>
      <c r="C999" s="22">
        <v>743</v>
      </c>
      <c r="D999" s="22">
        <v>7432</v>
      </c>
      <c r="E999" s="18" t="s">
        <v>143</v>
      </c>
      <c r="F999" s="21" t="s">
        <v>145</v>
      </c>
      <c r="G999" s="19" t="s">
        <v>3019</v>
      </c>
      <c r="H999" s="19" t="s">
        <v>3021</v>
      </c>
      <c r="I999" s="19" t="s">
        <v>3021</v>
      </c>
      <c r="J999" s="19" t="s"/>
    </row>
    <row r="1000" spans="1:10" ht="28.8">
      <c r="A1000" s="17" t="s">
        <v>142</v>
      </c>
      <c r="B1000" s="20">
        <v>74</v>
      </c>
      <c r="C1000" s="22">
        <v>743</v>
      </c>
      <c r="D1000" s="22">
        <v>7433</v>
      </c>
      <c r="E1000" s="18" t="s">
        <v>143</v>
      </c>
      <c r="F1000" s="21" t="s">
        <v>145</v>
      </c>
      <c r="G1000" s="19" t="s">
        <v>3019</v>
      </c>
      <c r="H1000" s="19" t="s">
        <v>3022</v>
      </c>
      <c r="I1000" s="19" t="s">
        <v>3022</v>
      </c>
      <c r="J1000" s="19" t="s"/>
    </row>
    <row r="1001" spans="1:10" ht="28.8">
      <c r="A1001" s="17" t="s">
        <v>142</v>
      </c>
      <c r="B1001" s="20">
        <v>74</v>
      </c>
      <c r="C1001" s="22">
        <v>743</v>
      </c>
      <c r="D1001" s="22">
        <v>7439</v>
      </c>
      <c r="E1001" s="18" t="s">
        <v>143</v>
      </c>
      <c r="F1001" s="21" t="s">
        <v>145</v>
      </c>
      <c r="G1001" s="19" t="s">
        <v>3019</v>
      </c>
      <c r="H1001" s="19" t="s">
        <v>3023</v>
      </c>
      <c r="I1001" s="19" t="s">
        <v>3023</v>
      </c>
      <c r="J1001" s="19" t="s">
        <v>3024</v>
      </c>
    </row>
    <row r="1002" spans="1:10" ht="28.8">
      <c r="A1002" s="17" t="s">
        <v>142</v>
      </c>
      <c r="B1002" s="20">
        <v>74</v>
      </c>
      <c r="C1002" s="22">
        <v>744</v>
      </c>
      <c r="D1002" s="22">
        <v>7440</v>
      </c>
      <c r="E1002" s="18" t="s">
        <v>143</v>
      </c>
      <c r="F1002" s="21" t="s">
        <v>145</v>
      </c>
      <c r="G1002" s="19" t="s">
        <v>3025</v>
      </c>
      <c r="H1002" s="19" t="s">
        <v>3025</v>
      </c>
      <c r="I1002" s="19" t="s">
        <v>3025</v>
      </c>
      <c r="J1002" s="19" t="s">
        <v>3026</v>
      </c>
    </row>
    <row r="1003" spans="1:10" ht="28.8">
      <c r="A1003" s="17" t="s">
        <v>142</v>
      </c>
      <c r="B1003" s="20">
        <v>74</v>
      </c>
      <c r="C1003" s="22">
        <v>745</v>
      </c>
      <c r="D1003" s="22">
        <v>7450</v>
      </c>
      <c r="E1003" s="18" t="s">
        <v>143</v>
      </c>
      <c r="F1003" s="21" t="s">
        <v>145</v>
      </c>
      <c r="G1003" s="19" t="s">
        <v>3027</v>
      </c>
      <c r="H1003" s="19" t="s">
        <v>3027</v>
      </c>
      <c r="I1003" s="19" t="s">
        <v>3027</v>
      </c>
      <c r="J1003" s="19" t="s">
        <v>3028</v>
      </c>
    </row>
    <row r="1004" spans="1:10" ht="28.8">
      <c r="A1004" s="17" t="s">
        <v>142</v>
      </c>
      <c r="B1004" s="20">
        <v>74</v>
      </c>
      <c r="C1004" s="22">
        <v>746</v>
      </c>
      <c r="D1004" s="22">
        <v>7460</v>
      </c>
      <c r="E1004" s="18" t="s">
        <v>143</v>
      </c>
      <c r="F1004" s="21" t="s">
        <v>145</v>
      </c>
      <c r="G1004" s="19" t="s">
        <v>3029</v>
      </c>
      <c r="H1004" s="19" t="s">
        <v>3029</v>
      </c>
      <c r="I1004" s="19" t="s">
        <v>3029</v>
      </c>
      <c r="J1004" s="19" t="s">
        <v>3030</v>
      </c>
    </row>
    <row r="1005" spans="1:10" ht="28.8">
      <c r="A1005" s="17" t="s">
        <v>142</v>
      </c>
      <c r="B1005" s="20">
        <v>74</v>
      </c>
      <c r="C1005" s="22">
        <v>747</v>
      </c>
      <c r="D1005" s="22">
        <v>7470</v>
      </c>
      <c r="E1005" s="18" t="s">
        <v>143</v>
      </c>
      <c r="F1005" s="21" t="s">
        <v>145</v>
      </c>
      <c r="G1005" s="19" t="s">
        <v>3031</v>
      </c>
      <c r="H1005" s="19" t="s">
        <v>3031</v>
      </c>
      <c r="I1005" s="19" t="s">
        <v>3031</v>
      </c>
      <c r="J1005" s="19" t="s">
        <v>3032</v>
      </c>
    </row>
    <row r="1006" spans="1:10" ht="28.8">
      <c r="A1006" s="17" t="s">
        <v>142</v>
      </c>
      <c r="B1006" s="20">
        <v>74</v>
      </c>
      <c r="C1006" s="22">
        <v>748</v>
      </c>
      <c r="D1006" s="22">
        <v>7480</v>
      </c>
      <c r="E1006" s="18" t="s">
        <v>143</v>
      </c>
      <c r="F1006" s="21" t="s">
        <v>145</v>
      </c>
      <c r="G1006" s="19" t="s">
        <v>3033</v>
      </c>
      <c r="H1006" s="19" t="s">
        <v>3033</v>
      </c>
      <c r="I1006" s="19" t="s">
        <v>3033</v>
      </c>
      <c r="J1006" s="19" t="s">
        <v>3034</v>
      </c>
    </row>
    <row r="1007" spans="1:10" ht="28.8">
      <c r="A1007" s="17" t="s">
        <v>142</v>
      </c>
      <c r="B1007" s="20">
        <v>74</v>
      </c>
      <c r="C1007" s="22">
        <v>749</v>
      </c>
      <c r="D1007" s="22" t="s"/>
      <c r="E1007" s="18" t="s">
        <v>143</v>
      </c>
      <c r="F1007" s="21" t="s">
        <v>145</v>
      </c>
      <c r="G1007" s="19" t="s">
        <v>3035</v>
      </c>
      <c r="H1007" s="29" t="s"/>
      <c r="I1007" s="19" t="s">
        <v>3035</v>
      </c>
      <c r="J1007" s="19" t="s"/>
    </row>
    <row r="1008" spans="1:10" ht="28.8">
      <c r="A1008" s="17" t="s">
        <v>142</v>
      </c>
      <c r="B1008" s="20">
        <v>74</v>
      </c>
      <c r="C1008" s="22">
        <v>749</v>
      </c>
      <c r="D1008" s="22">
        <v>7491</v>
      </c>
      <c r="E1008" s="18" t="s">
        <v>143</v>
      </c>
      <c r="F1008" s="21" t="s">
        <v>145</v>
      </c>
      <c r="G1008" s="19" t="s">
        <v>3035</v>
      </c>
      <c r="H1008" s="19" t="s">
        <v>3036</v>
      </c>
      <c r="I1008" s="19" t="s">
        <v>3036</v>
      </c>
      <c r="J1008" s="19" t="s">
        <v>3037</v>
      </c>
    </row>
    <row r="1009" spans="1:10" ht="28.8">
      <c r="A1009" s="17" t="s">
        <v>142</v>
      </c>
      <c r="B1009" s="20">
        <v>74</v>
      </c>
      <c r="C1009" s="22">
        <v>749</v>
      </c>
      <c r="D1009" s="22">
        <v>7492</v>
      </c>
      <c r="E1009" s="18" t="s">
        <v>143</v>
      </c>
      <c r="F1009" s="21" t="s">
        <v>145</v>
      </c>
      <c r="G1009" s="19" t="s">
        <v>3035</v>
      </c>
      <c r="H1009" s="19" t="s">
        <v>3038</v>
      </c>
      <c r="I1009" s="19" t="s">
        <v>3038</v>
      </c>
      <c r="J1009" s="19" t="s">
        <v>3039</v>
      </c>
    </row>
    <row r="1010" spans="1:10" ht="28.8">
      <c r="A1010" s="17" t="s">
        <v>142</v>
      </c>
      <c r="B1010" s="20">
        <v>74</v>
      </c>
      <c r="C1010" s="22">
        <v>749</v>
      </c>
      <c r="D1010" s="22">
        <v>7493</v>
      </c>
      <c r="E1010" s="18" t="s">
        <v>143</v>
      </c>
      <c r="F1010" s="21" t="s">
        <v>145</v>
      </c>
      <c r="G1010" s="19" t="s">
        <v>3035</v>
      </c>
      <c r="H1010" s="19" t="s">
        <v>3040</v>
      </c>
      <c r="I1010" s="19" t="s">
        <v>3040</v>
      </c>
      <c r="J1010" s="19" t="s">
        <v>3041</v>
      </c>
    </row>
    <row r="1011" spans="1:10" ht="28.8">
      <c r="A1011" s="17" t="s">
        <v>142</v>
      </c>
      <c r="B1011" s="20">
        <v>74</v>
      </c>
      <c r="C1011" s="22">
        <v>749</v>
      </c>
      <c r="D1011" s="22">
        <v>7494</v>
      </c>
      <c r="E1011" s="18" t="s">
        <v>143</v>
      </c>
      <c r="F1011" s="21" t="s">
        <v>145</v>
      </c>
      <c r="G1011" s="19" t="s">
        <v>3035</v>
      </c>
      <c r="H1011" s="19" t="s">
        <v>3042</v>
      </c>
      <c r="I1011" s="19" t="s">
        <v>3042</v>
      </c>
      <c r="J1011" s="19" t="s">
        <v>3043</v>
      </c>
    </row>
    <row r="1012" spans="1:10" ht="28.8">
      <c r="A1012" s="17" t="s">
        <v>142</v>
      </c>
      <c r="B1012" s="20">
        <v>74</v>
      </c>
      <c r="C1012" s="22">
        <v>749</v>
      </c>
      <c r="D1012" s="22">
        <v>7499</v>
      </c>
      <c r="E1012" s="18" t="s">
        <v>143</v>
      </c>
      <c r="F1012" s="21" t="s">
        <v>145</v>
      </c>
      <c r="G1012" s="19" t="s">
        <v>3035</v>
      </c>
      <c r="H1012" s="19" t="s">
        <v>3044</v>
      </c>
      <c r="I1012" s="19" t="s">
        <v>3044</v>
      </c>
      <c r="J1012" s="19" t="s">
        <v>3045</v>
      </c>
    </row>
    <row r="1013" spans="1:10" ht="43.2">
      <c r="A1013" s="17" t="s">
        <v>146</v>
      </c>
      <c r="B1013" s="17" t="s"/>
      <c r="C1013" s="17" t="s"/>
      <c r="D1013" s="17" t="s"/>
      <c r="E1013" s="18" t="s">
        <v>147</v>
      </c>
      <c r="F1013" s="17" t="s"/>
      <c r="G1013" s="17" t="s"/>
      <c r="H1013" s="29" t="s"/>
      <c r="I1013" s="18" t="s">
        <v>147</v>
      </c>
      <c r="J1013" s="19" t="s">
        <v>3046</v>
      </c>
    </row>
    <row r="1014" spans="1:10" ht="55.2">
      <c r="A1014" s="17" t="s">
        <v>146</v>
      </c>
      <c r="B1014" s="20">
        <v>75</v>
      </c>
      <c r="C1014" s="31" t="s"/>
      <c r="D1014" s="31" t="s"/>
      <c r="E1014" s="18" t="s">
        <v>147</v>
      </c>
      <c r="F1014" s="21" t="s">
        <v>148</v>
      </c>
      <c r="G1014" s="31" t="s"/>
      <c r="H1014" s="29" t="s"/>
      <c r="I1014" s="21" t="s">
        <v>148</v>
      </c>
      <c r="J1014" s="19" t="s">
        <v>3047</v>
      </c>
    </row>
    <row r="1015" spans="1:10" ht="43.2">
      <c r="A1015" s="17" t="s">
        <v>146</v>
      </c>
      <c r="B1015" s="20">
        <v>75</v>
      </c>
      <c r="C1015" s="22">
        <v>751</v>
      </c>
      <c r="D1015" s="22">
        <v>7510</v>
      </c>
      <c r="E1015" s="18" t="s">
        <v>147</v>
      </c>
      <c r="F1015" s="21" t="s">
        <v>148</v>
      </c>
      <c r="G1015" s="19" t="s">
        <v>3048</v>
      </c>
      <c r="H1015" s="19" t="s">
        <v>3048</v>
      </c>
      <c r="I1015" s="19" t="s">
        <v>3048</v>
      </c>
      <c r="J1015" s="19" t="s"/>
    </row>
    <row r="1016" spans="1:10" ht="43.2">
      <c r="A1016" s="17" t="s">
        <v>146</v>
      </c>
      <c r="B1016" s="20">
        <v>75</v>
      </c>
      <c r="C1016" s="22">
        <v>752</v>
      </c>
      <c r="D1016" s="22">
        <v>7520</v>
      </c>
      <c r="E1016" s="18" t="s">
        <v>147</v>
      </c>
      <c r="F1016" s="21" t="s">
        <v>148</v>
      </c>
      <c r="G1016" s="19" t="s">
        <v>3049</v>
      </c>
      <c r="H1016" s="19" t="s">
        <v>3049</v>
      </c>
      <c r="I1016" s="19" t="s">
        <v>3049</v>
      </c>
      <c r="J1016" s="19" t="s"/>
    </row>
    <row r="1017" spans="1:10" ht="43.2">
      <c r="A1017" s="17" t="s">
        <v>146</v>
      </c>
      <c r="B1017" s="20">
        <v>75</v>
      </c>
      <c r="C1017" s="22">
        <v>753</v>
      </c>
      <c r="D1017" s="22">
        <v>7530</v>
      </c>
      <c r="E1017" s="18" t="s">
        <v>147</v>
      </c>
      <c r="F1017" s="21" t="s">
        <v>148</v>
      </c>
      <c r="G1017" s="19" t="s">
        <v>3050</v>
      </c>
      <c r="H1017" s="19" t="s">
        <v>3050</v>
      </c>
      <c r="I1017" s="19" t="s">
        <v>3050</v>
      </c>
      <c r="J1017" s="19" t="s"/>
    </row>
    <row r="1018" spans="1:10" ht="43.2">
      <c r="A1018" s="17" t="s">
        <v>146</v>
      </c>
      <c r="B1018" s="20">
        <v>75</v>
      </c>
      <c r="C1018" s="22">
        <v>754</v>
      </c>
      <c r="D1018" s="22">
        <v>7540</v>
      </c>
      <c r="E1018" s="18" t="s">
        <v>147</v>
      </c>
      <c r="F1018" s="21" t="s">
        <v>148</v>
      </c>
      <c r="G1018" s="19" t="s">
        <v>3051</v>
      </c>
      <c r="H1018" s="19" t="s">
        <v>3051</v>
      </c>
      <c r="I1018" s="19" t="s">
        <v>3051</v>
      </c>
      <c r="J1018" s="19" t="s"/>
    </row>
    <row r="1019" spans="1:10" ht="43.2">
      <c r="A1019" s="17" t="s">
        <v>146</v>
      </c>
      <c r="B1019" s="20">
        <v>75</v>
      </c>
      <c r="C1019" s="22">
        <v>755</v>
      </c>
      <c r="D1019" s="22">
        <v>7550</v>
      </c>
      <c r="E1019" s="18" t="s">
        <v>147</v>
      </c>
      <c r="F1019" s="21" t="s">
        <v>148</v>
      </c>
      <c r="G1019" s="19" t="s">
        <v>3052</v>
      </c>
      <c r="H1019" s="19" t="s">
        <v>3052</v>
      </c>
      <c r="I1019" s="19" t="s">
        <v>3052</v>
      </c>
      <c r="J1019" s="19" t="s"/>
    </row>
    <row r="1020" spans="1:10" ht="43.2">
      <c r="A1020" s="17" t="s">
        <v>146</v>
      </c>
      <c r="B1020" s="20">
        <v>76</v>
      </c>
      <c r="C1020" s="31" t="s"/>
      <c r="D1020" s="31" t="s"/>
      <c r="E1020" s="18" t="s">
        <v>147</v>
      </c>
      <c r="F1020" s="21" t="s">
        <v>149</v>
      </c>
      <c r="G1020" s="31" t="s"/>
      <c r="H1020" s="29" t="s"/>
      <c r="I1020" s="21" t="s">
        <v>149</v>
      </c>
      <c r="J1020" s="19" t="s"/>
    </row>
    <row r="1021" spans="1:10" ht="43.2">
      <c r="A1021" s="17" t="s">
        <v>146</v>
      </c>
      <c r="B1021" s="20">
        <v>76</v>
      </c>
      <c r="C1021" s="22">
        <v>761</v>
      </c>
      <c r="D1021" s="22">
        <v>7610</v>
      </c>
      <c r="E1021" s="18" t="s">
        <v>147</v>
      </c>
      <c r="F1021" s="21" t="s">
        <v>149</v>
      </c>
      <c r="G1021" s="19" t="s">
        <v>3053</v>
      </c>
      <c r="H1021" s="19" t="s">
        <v>3053</v>
      </c>
      <c r="I1021" s="19" t="s">
        <v>3053</v>
      </c>
      <c r="J1021" s="19" t="s">
        <v>3054</v>
      </c>
    </row>
    <row r="1022" spans="1:10" ht="43.2">
      <c r="A1022" s="17" t="s">
        <v>146</v>
      </c>
      <c r="B1022" s="20">
        <v>76</v>
      </c>
      <c r="C1022" s="22">
        <v>762</v>
      </c>
      <c r="D1022" s="22">
        <v>7620</v>
      </c>
      <c r="E1022" s="18" t="s">
        <v>147</v>
      </c>
      <c r="F1022" s="21" t="s">
        <v>149</v>
      </c>
      <c r="G1022" s="19" t="s">
        <v>3055</v>
      </c>
      <c r="H1022" s="19" t="s">
        <v>3055</v>
      </c>
      <c r="I1022" s="19" t="s">
        <v>3055</v>
      </c>
      <c r="J1022" s="19" t="s">
        <v>3056</v>
      </c>
    </row>
    <row r="1023" spans="1:10" ht="43.2">
      <c r="A1023" s="17" t="s">
        <v>146</v>
      </c>
      <c r="B1023" s="20">
        <v>76</v>
      </c>
      <c r="C1023" s="22">
        <v>763</v>
      </c>
      <c r="D1023" s="22">
        <v>7630</v>
      </c>
      <c r="E1023" s="18" t="s">
        <v>147</v>
      </c>
      <c r="F1023" s="21" t="s">
        <v>149</v>
      </c>
      <c r="G1023" s="19" t="s">
        <v>3057</v>
      </c>
      <c r="H1023" s="19" t="s">
        <v>3057</v>
      </c>
      <c r="I1023" s="19" t="s">
        <v>3057</v>
      </c>
      <c r="J1023" s="33" t="s"/>
    </row>
    <row r="1024" spans="1:10" ht="43.2">
      <c r="A1024" s="17" t="s">
        <v>146</v>
      </c>
      <c r="B1024" s="20">
        <v>76</v>
      </c>
      <c r="C1024" s="22">
        <v>764</v>
      </c>
      <c r="D1024" s="22">
        <v>7640</v>
      </c>
      <c r="E1024" s="18" t="s">
        <v>147</v>
      </c>
      <c r="F1024" s="21" t="s">
        <v>149</v>
      </c>
      <c r="G1024" s="19" t="s">
        <v>3058</v>
      </c>
      <c r="H1024" s="19" t="s">
        <v>3058</v>
      </c>
      <c r="I1024" s="19" t="s">
        <v>3058</v>
      </c>
      <c r="J1024" s="19" t="s">
        <v>51</v>
      </c>
    </row>
    <row r="1025" spans="1:10" ht="43.2">
      <c r="A1025" s="17" t="s">
        <v>146</v>
      </c>
      <c r="B1025" s="20">
        <v>76</v>
      </c>
      <c r="C1025" s="22">
        <v>765</v>
      </c>
      <c r="D1025" s="22">
        <v>7650</v>
      </c>
      <c r="E1025" s="18" t="s">
        <v>147</v>
      </c>
      <c r="F1025" s="21" t="s">
        <v>149</v>
      </c>
      <c r="G1025" s="19" t="s">
        <v>3059</v>
      </c>
      <c r="H1025" s="19" t="s">
        <v>3059</v>
      </c>
      <c r="I1025" s="19" t="s">
        <v>3059</v>
      </c>
      <c r="J1025" s="19" t="s">
        <v>3060</v>
      </c>
    </row>
    <row r="1026" spans="1:10" ht="43.2">
      <c r="A1026" s="17" t="s">
        <v>146</v>
      </c>
      <c r="B1026" s="20">
        <v>76</v>
      </c>
      <c r="C1026" s="22">
        <v>766</v>
      </c>
      <c r="D1026" s="22">
        <v>7660</v>
      </c>
      <c r="E1026" s="18" t="s">
        <v>147</v>
      </c>
      <c r="F1026" s="21" t="s">
        <v>149</v>
      </c>
      <c r="G1026" s="19" t="s">
        <v>3061</v>
      </c>
      <c r="H1026" s="19" t="s">
        <v>3061</v>
      </c>
      <c r="I1026" s="19" t="s">
        <v>3061</v>
      </c>
      <c r="J1026" s="19" t="s">
        <v>3062</v>
      </c>
    </row>
    <row r="1027" spans="1:10" ht="43.2">
      <c r="A1027" s="17" t="s">
        <v>146</v>
      </c>
      <c r="B1027" s="20">
        <v>76</v>
      </c>
      <c r="C1027" s="22">
        <v>767</v>
      </c>
      <c r="D1027" s="22" t="s"/>
      <c r="E1027" s="18" t="s">
        <v>147</v>
      </c>
      <c r="F1027" s="21" t="s">
        <v>149</v>
      </c>
      <c r="G1027" s="19" t="s">
        <v>3063</v>
      </c>
      <c r="H1027" s="29" t="s"/>
      <c r="I1027" s="19" t="s">
        <v>3063</v>
      </c>
      <c r="J1027" s="19" t="s"/>
    </row>
    <row r="1028" spans="1:10" ht="43.2">
      <c r="A1028" s="17" t="s">
        <v>146</v>
      </c>
      <c r="B1028" s="20">
        <v>76</v>
      </c>
      <c r="C1028" s="22">
        <v>767</v>
      </c>
      <c r="D1028" s="22">
        <v>7671</v>
      </c>
      <c r="E1028" s="18" t="s">
        <v>147</v>
      </c>
      <c r="F1028" s="21" t="s">
        <v>149</v>
      </c>
      <c r="G1028" s="19" t="s">
        <v>3063</v>
      </c>
      <c r="H1028" s="19" t="s">
        <v>3064</v>
      </c>
      <c r="I1028" s="19" t="s">
        <v>3064</v>
      </c>
      <c r="J1028" s="19" t="s">
        <v>3065</v>
      </c>
    </row>
    <row r="1029" spans="1:10" ht="43.2">
      <c r="A1029" s="17" t="s">
        <v>146</v>
      </c>
      <c r="B1029" s="20">
        <v>76</v>
      </c>
      <c r="C1029" s="22">
        <v>767</v>
      </c>
      <c r="D1029" s="22">
        <v>7672</v>
      </c>
      <c r="E1029" s="18" t="s">
        <v>147</v>
      </c>
      <c r="F1029" s="21" t="s">
        <v>149</v>
      </c>
      <c r="G1029" s="19" t="s">
        <v>3063</v>
      </c>
      <c r="H1029" s="19" t="s">
        <v>3066</v>
      </c>
      <c r="I1029" s="19" t="s">
        <v>3066</v>
      </c>
      <c r="J1029" s="19" t="s">
        <v>3067</v>
      </c>
    </row>
    <row r="1030" spans="1:10" ht="43.2">
      <c r="A1030" s="17" t="s">
        <v>146</v>
      </c>
      <c r="B1030" s="20">
        <v>76</v>
      </c>
      <c r="C1030" s="22">
        <v>767</v>
      </c>
      <c r="D1030" s="22">
        <v>7673</v>
      </c>
      <c r="E1030" s="18" t="s">
        <v>147</v>
      </c>
      <c r="F1030" s="21" t="s">
        <v>149</v>
      </c>
      <c r="G1030" s="19" t="s">
        <v>3063</v>
      </c>
      <c r="H1030" s="19" t="s">
        <v>3068</v>
      </c>
      <c r="I1030" s="19" t="s">
        <v>3068</v>
      </c>
      <c r="J1030" s="19" t="s">
        <v>3069</v>
      </c>
    </row>
    <row r="1031" spans="1:10" ht="43.2">
      <c r="A1031" s="17" t="s">
        <v>146</v>
      </c>
      <c r="B1031" s="20">
        <v>76</v>
      </c>
      <c r="C1031" s="22">
        <v>769</v>
      </c>
      <c r="D1031" s="22">
        <v>7690</v>
      </c>
      <c r="E1031" s="18" t="s">
        <v>147</v>
      </c>
      <c r="F1031" s="21" t="s">
        <v>149</v>
      </c>
      <c r="G1031" s="19" t="s">
        <v>3070</v>
      </c>
      <c r="H1031" s="19" t="s">
        <v>3070</v>
      </c>
      <c r="I1031" s="19" t="s">
        <v>3070</v>
      </c>
      <c r="J1031" s="19" t="s">
        <v>3071</v>
      </c>
    </row>
    <row r="1032" spans="1:10" ht="43.2">
      <c r="A1032" s="17" t="s">
        <v>146</v>
      </c>
      <c r="B1032" s="20">
        <v>77</v>
      </c>
      <c r="C1032" s="22" t="s"/>
      <c r="D1032" s="22" t="s"/>
      <c r="E1032" s="18" t="s">
        <v>147</v>
      </c>
      <c r="F1032" s="21" t="s">
        <v>150</v>
      </c>
      <c r="G1032" s="22" t="s"/>
      <c r="H1032" s="29" t="s"/>
      <c r="I1032" s="21" t="s">
        <v>150</v>
      </c>
      <c r="J1032" s="19" t="s"/>
    </row>
    <row r="1033" spans="1:10" ht="43.2">
      <c r="A1033" s="17" t="s">
        <v>146</v>
      </c>
      <c r="B1033" s="20">
        <v>77</v>
      </c>
      <c r="C1033" s="22">
        <v>771</v>
      </c>
      <c r="D1033" s="22">
        <v>7710</v>
      </c>
      <c r="E1033" s="18" t="s">
        <v>147</v>
      </c>
      <c r="F1033" s="21" t="s">
        <v>150</v>
      </c>
      <c r="G1033" s="19" t="s">
        <v>3072</v>
      </c>
      <c r="H1033" s="19" t="s">
        <v>3072</v>
      </c>
      <c r="I1033" s="19" t="s">
        <v>3072</v>
      </c>
      <c r="J1033" s="19" t="s">
        <v>3073</v>
      </c>
    </row>
    <row r="1034" spans="1:10" ht="43.2">
      <c r="A1034" s="17" t="s">
        <v>146</v>
      </c>
      <c r="B1034" s="20">
        <v>77</v>
      </c>
      <c r="C1034" s="22">
        <v>772</v>
      </c>
      <c r="D1034" s="22">
        <v>7720</v>
      </c>
      <c r="E1034" s="18" t="s">
        <v>147</v>
      </c>
      <c r="F1034" s="21" t="s">
        <v>150</v>
      </c>
      <c r="G1034" s="19" t="s">
        <v>3074</v>
      </c>
      <c r="H1034" s="19" t="s">
        <v>3074</v>
      </c>
      <c r="I1034" s="19" t="s">
        <v>3074</v>
      </c>
      <c r="J1034" s="19" t="s">
        <v>3075</v>
      </c>
    </row>
    <row r="1035" spans="1:10" ht="43.2">
      <c r="A1035" s="17" t="s">
        <v>146</v>
      </c>
      <c r="B1035" s="20">
        <v>77</v>
      </c>
      <c r="C1035" s="22">
        <v>779</v>
      </c>
      <c r="D1035" s="22">
        <v>7790</v>
      </c>
      <c r="E1035" s="18" t="s">
        <v>147</v>
      </c>
      <c r="F1035" s="21" t="s">
        <v>150</v>
      </c>
      <c r="G1035" s="19" t="s">
        <v>3076</v>
      </c>
      <c r="H1035" s="19" t="s">
        <v>3076</v>
      </c>
      <c r="I1035" s="19" t="s">
        <v>3076</v>
      </c>
      <c r="J1035" s="19" t="s">
        <v>3077</v>
      </c>
    </row>
    <row r="1036" spans="1:10" ht="43.2">
      <c r="A1036" s="17" t="s">
        <v>146</v>
      </c>
      <c r="B1036" s="20">
        <v>78</v>
      </c>
      <c r="C1036" s="22" t="s"/>
      <c r="D1036" s="22" t="s"/>
      <c r="E1036" s="18" t="s">
        <v>147</v>
      </c>
      <c r="F1036" s="21" t="s">
        <v>151</v>
      </c>
      <c r="G1036" s="22" t="s"/>
      <c r="H1036" s="29" t="s"/>
      <c r="I1036" s="21" t="s">
        <v>151</v>
      </c>
      <c r="J1036" s="19" t="s">
        <v>3078</v>
      </c>
    </row>
    <row r="1037" spans="1:10" ht="43.2">
      <c r="A1037" s="17" t="s">
        <v>146</v>
      </c>
      <c r="B1037" s="20">
        <v>78</v>
      </c>
      <c r="C1037" s="22">
        <v>781</v>
      </c>
      <c r="D1037" s="22" t="s"/>
      <c r="E1037" s="18" t="s">
        <v>147</v>
      </c>
      <c r="F1037" s="21" t="s">
        <v>151</v>
      </c>
      <c r="G1037" s="19" t="s">
        <v>3079</v>
      </c>
      <c r="H1037" s="29" t="s"/>
      <c r="I1037" s="19" t="s">
        <v>3079</v>
      </c>
      <c r="J1037" s="19" t="s">
        <v>3080</v>
      </c>
    </row>
    <row r="1038" spans="1:10" ht="43.2">
      <c r="A1038" s="17" t="s">
        <v>146</v>
      </c>
      <c r="B1038" s="20">
        <v>78</v>
      </c>
      <c r="C1038" s="22">
        <v>781</v>
      </c>
      <c r="D1038" s="22">
        <v>7811</v>
      </c>
      <c r="E1038" s="18" t="s">
        <v>147</v>
      </c>
      <c r="F1038" s="21" t="s">
        <v>151</v>
      </c>
      <c r="G1038" s="19" t="s">
        <v>3079</v>
      </c>
      <c r="H1038" s="19" t="s">
        <v>3081</v>
      </c>
      <c r="I1038" s="19" t="s">
        <v>3081</v>
      </c>
      <c r="J1038" s="19" t="s"/>
    </row>
    <row r="1039" spans="1:10" ht="43.2">
      <c r="A1039" s="17" t="s">
        <v>146</v>
      </c>
      <c r="B1039" s="20">
        <v>78</v>
      </c>
      <c r="C1039" s="22">
        <v>781</v>
      </c>
      <c r="D1039" s="22">
        <v>7812</v>
      </c>
      <c r="E1039" s="18" t="s">
        <v>147</v>
      </c>
      <c r="F1039" s="21" t="s">
        <v>151</v>
      </c>
      <c r="G1039" s="19" t="s">
        <v>3079</v>
      </c>
      <c r="H1039" s="19" t="s">
        <v>3082</v>
      </c>
      <c r="I1039" s="19" t="s">
        <v>3082</v>
      </c>
      <c r="J1039" s="19" t="s"/>
    </row>
    <row r="1040" spans="1:10" ht="43.2">
      <c r="A1040" s="17" t="s">
        <v>146</v>
      </c>
      <c r="B1040" s="20">
        <v>78</v>
      </c>
      <c r="C1040" s="22">
        <v>781</v>
      </c>
      <c r="D1040" s="22">
        <v>7819</v>
      </c>
      <c r="E1040" s="18" t="s">
        <v>147</v>
      </c>
      <c r="F1040" s="21" t="s">
        <v>151</v>
      </c>
      <c r="G1040" s="19" t="s">
        <v>3079</v>
      </c>
      <c r="H1040" s="19" t="s">
        <v>3083</v>
      </c>
      <c r="I1040" s="19" t="s">
        <v>3083</v>
      </c>
      <c r="J1040" s="19" t="s"/>
    </row>
    <row r="1041" spans="1:10" ht="43.2">
      <c r="A1041" s="17" t="s">
        <v>146</v>
      </c>
      <c r="B1041" s="20">
        <v>78</v>
      </c>
      <c r="C1041" s="22">
        <v>782</v>
      </c>
      <c r="D1041" s="22">
        <v>7820</v>
      </c>
      <c r="E1041" s="18" t="s">
        <v>147</v>
      </c>
      <c r="F1041" s="21" t="s">
        <v>151</v>
      </c>
      <c r="G1041" s="19" t="s">
        <v>3084</v>
      </c>
      <c r="H1041" s="19" t="s">
        <v>3084</v>
      </c>
      <c r="I1041" s="19" t="s">
        <v>3084</v>
      </c>
      <c r="J1041" s="19" t="s">
        <v>3085</v>
      </c>
    </row>
    <row r="1042" spans="1:10" ht="43.2">
      <c r="A1042" s="17" t="s">
        <v>146</v>
      </c>
      <c r="B1042" s="20">
        <v>78</v>
      </c>
      <c r="C1042" s="22">
        <v>783</v>
      </c>
      <c r="D1042" s="22">
        <v>7830</v>
      </c>
      <c r="E1042" s="18" t="s">
        <v>147</v>
      </c>
      <c r="F1042" s="21" t="s">
        <v>151</v>
      </c>
      <c r="G1042" s="19" t="s">
        <v>3086</v>
      </c>
      <c r="H1042" s="19" t="s">
        <v>3086</v>
      </c>
      <c r="I1042" s="19" t="s">
        <v>3086</v>
      </c>
      <c r="J1042" s="19" t="s">
        <v>3087</v>
      </c>
    </row>
    <row r="1043" spans="1:10" ht="43.2">
      <c r="A1043" s="17" t="s">
        <v>152</v>
      </c>
      <c r="B1043" s="17" t="s"/>
      <c r="C1043" s="17" t="s"/>
      <c r="D1043" s="17" t="s"/>
      <c r="E1043" s="18" t="s">
        <v>153</v>
      </c>
      <c r="F1043" s="17" t="s"/>
      <c r="G1043" s="17" t="s"/>
      <c r="H1043" s="29" t="s"/>
      <c r="I1043" s="18" t="s">
        <v>153</v>
      </c>
      <c r="J1043" s="19" t="s">
        <v>3088</v>
      </c>
    </row>
    <row r="1044" spans="1:10" ht="43.2">
      <c r="A1044" s="17" t="s">
        <v>152</v>
      </c>
      <c r="B1044" s="20">
        <v>79</v>
      </c>
      <c r="C1044" s="22" t="s"/>
      <c r="D1044" s="22" t="s"/>
      <c r="E1044" s="18" t="s">
        <v>153</v>
      </c>
      <c r="F1044" s="21" t="s">
        <v>154</v>
      </c>
      <c r="G1044" s="22" t="s"/>
      <c r="H1044" s="29" t="s"/>
      <c r="I1044" s="21" t="s">
        <v>154</v>
      </c>
      <c r="J1044" s="19" t="s"/>
    </row>
    <row r="1045" spans="1:10" ht="43.2">
      <c r="A1045" s="17" t="s">
        <v>152</v>
      </c>
      <c r="B1045" s="20">
        <v>79</v>
      </c>
      <c r="C1045" s="22">
        <v>791</v>
      </c>
      <c r="D1045" s="22">
        <v>7910</v>
      </c>
      <c r="E1045" s="18" t="s">
        <v>153</v>
      </c>
      <c r="F1045" s="21" t="s">
        <v>154</v>
      </c>
      <c r="G1045" s="19" t="s">
        <v>3089</v>
      </c>
      <c r="H1045" s="19" t="s">
        <v>3089</v>
      </c>
      <c r="I1045" s="19" t="s">
        <v>3089</v>
      </c>
      <c r="J1045" s="19" t="s">
        <v>3090</v>
      </c>
    </row>
    <row r="1046" spans="1:10" ht="43.2">
      <c r="A1046" s="17" t="s">
        <v>152</v>
      </c>
      <c r="B1046" s="20">
        <v>79</v>
      </c>
      <c r="C1046" s="22">
        <v>792</v>
      </c>
      <c r="D1046" s="22" t="s">
        <v>51</v>
      </c>
      <c r="E1046" s="18" t="s">
        <v>153</v>
      </c>
      <c r="F1046" s="21" t="s">
        <v>154</v>
      </c>
      <c r="G1046" s="19" t="s">
        <v>3091</v>
      </c>
      <c r="H1046" s="29" t="s"/>
      <c r="I1046" s="19" t="s">
        <v>3091</v>
      </c>
      <c r="J1046" s="19" t="s">
        <v>3092</v>
      </c>
    </row>
    <row r="1047" spans="1:10" ht="43.2">
      <c r="A1047" s="17" t="s">
        <v>152</v>
      </c>
      <c r="B1047" s="20">
        <v>79</v>
      </c>
      <c r="C1047" s="22">
        <v>792</v>
      </c>
      <c r="D1047" s="22">
        <v>7921</v>
      </c>
      <c r="E1047" s="18" t="s">
        <v>153</v>
      </c>
      <c r="F1047" s="21" t="s">
        <v>154</v>
      </c>
      <c r="G1047" s="19" t="s">
        <v>3091</v>
      </c>
      <c r="H1047" s="19" t="s">
        <v>3093</v>
      </c>
      <c r="I1047" s="19" t="s">
        <v>3093</v>
      </c>
      <c r="J1047" s="19" t="s">
        <v>3094</v>
      </c>
    </row>
    <row r="1048" spans="1:10" ht="43.2">
      <c r="A1048" s="17" t="s">
        <v>152</v>
      </c>
      <c r="B1048" s="20">
        <v>79</v>
      </c>
      <c r="C1048" s="22">
        <v>792</v>
      </c>
      <c r="D1048" s="22">
        <v>7922</v>
      </c>
      <c r="E1048" s="18" t="s">
        <v>153</v>
      </c>
      <c r="F1048" s="21" t="s">
        <v>154</v>
      </c>
      <c r="G1048" s="19" t="s">
        <v>3091</v>
      </c>
      <c r="H1048" s="19" t="s">
        <v>3095</v>
      </c>
      <c r="I1048" s="19" t="s">
        <v>3095</v>
      </c>
      <c r="J1048" s="19" t="s">
        <v>3096</v>
      </c>
    </row>
    <row r="1049" spans="1:10" ht="43.2">
      <c r="A1049" s="17" t="s">
        <v>152</v>
      </c>
      <c r="B1049" s="20">
        <v>79</v>
      </c>
      <c r="C1049" s="22">
        <v>792</v>
      </c>
      <c r="D1049" s="22">
        <v>7929</v>
      </c>
      <c r="E1049" s="18" t="s">
        <v>153</v>
      </c>
      <c r="F1049" s="21" t="s">
        <v>154</v>
      </c>
      <c r="G1049" s="19" t="s">
        <v>3091</v>
      </c>
      <c r="H1049" s="19" t="s">
        <v>3097</v>
      </c>
      <c r="I1049" s="19" t="s">
        <v>3097</v>
      </c>
      <c r="J1049" s="19" t="s">
        <v>3098</v>
      </c>
    </row>
    <row r="1050" spans="1:10" ht="43.2">
      <c r="A1050" s="17" t="s">
        <v>152</v>
      </c>
      <c r="B1050" s="20">
        <v>79</v>
      </c>
      <c r="C1050" s="22">
        <v>799</v>
      </c>
      <c r="D1050" s="22">
        <v>7990</v>
      </c>
      <c r="E1050" s="18" t="s">
        <v>153</v>
      </c>
      <c r="F1050" s="21" t="s">
        <v>154</v>
      </c>
      <c r="G1050" s="19" t="s">
        <v>3099</v>
      </c>
      <c r="H1050" s="19" t="s">
        <v>3099</v>
      </c>
      <c r="I1050" s="19" t="s">
        <v>3099</v>
      </c>
      <c r="J1050" s="19" t="s">
        <v>3100</v>
      </c>
    </row>
    <row r="1051" spans="1:10" ht="43.2">
      <c r="A1051" s="17" t="s">
        <v>152</v>
      </c>
      <c r="B1051" s="20">
        <v>80</v>
      </c>
      <c r="C1051" s="20" t="s"/>
      <c r="D1051" s="20" t="s"/>
      <c r="E1051" s="18" t="s">
        <v>153</v>
      </c>
      <c r="F1051" s="21" t="s">
        <v>155</v>
      </c>
      <c r="G1051" s="20" t="s"/>
      <c r="H1051" s="29" t="s"/>
      <c r="I1051" s="21" t="s">
        <v>155</v>
      </c>
      <c r="J1051" s="19" t="s">
        <v>51</v>
      </c>
    </row>
    <row r="1052" spans="1:10" ht="43.2">
      <c r="A1052" s="17" t="s">
        <v>152</v>
      </c>
      <c r="B1052" s="20">
        <v>80</v>
      </c>
      <c r="C1052" s="22">
        <v>801</v>
      </c>
      <c r="D1052" s="22" t="s"/>
      <c r="E1052" s="18" t="s">
        <v>153</v>
      </c>
      <c r="F1052" s="21" t="s">
        <v>155</v>
      </c>
      <c r="G1052" s="19" t="s">
        <v>3101</v>
      </c>
      <c r="H1052" s="29" t="s"/>
      <c r="I1052" s="19" t="s">
        <v>3101</v>
      </c>
      <c r="J1052" s="19" t="s"/>
    </row>
    <row r="1053" spans="1:10" ht="43.2">
      <c r="A1053" s="17" t="s">
        <v>152</v>
      </c>
      <c r="B1053" s="20">
        <v>80</v>
      </c>
      <c r="C1053" s="22">
        <v>801</v>
      </c>
      <c r="D1053" s="22">
        <v>8011</v>
      </c>
      <c r="E1053" s="18" t="s">
        <v>153</v>
      </c>
      <c r="F1053" s="21" t="s">
        <v>155</v>
      </c>
      <c r="G1053" s="19" t="s">
        <v>3101</v>
      </c>
      <c r="H1053" s="19" t="s">
        <v>3102</v>
      </c>
      <c r="I1053" s="19" t="s">
        <v>3102</v>
      </c>
      <c r="J1053" s="19" t="s">
        <v>3103</v>
      </c>
    </row>
    <row r="1054" spans="1:10" ht="43.2">
      <c r="A1054" s="17" t="s">
        <v>152</v>
      </c>
      <c r="B1054" s="20">
        <v>80</v>
      </c>
      <c r="C1054" s="22">
        <v>801</v>
      </c>
      <c r="D1054" s="22">
        <v>8012</v>
      </c>
      <c r="E1054" s="18" t="s">
        <v>153</v>
      </c>
      <c r="F1054" s="21" t="s">
        <v>155</v>
      </c>
      <c r="G1054" s="19" t="s">
        <v>3101</v>
      </c>
      <c r="H1054" s="19" t="s">
        <v>3104</v>
      </c>
      <c r="I1054" s="19" t="s">
        <v>3104</v>
      </c>
      <c r="J1054" s="19" t="s">
        <v>3105</v>
      </c>
    </row>
    <row r="1055" spans="1:10" ht="43.2">
      <c r="A1055" s="17" t="s">
        <v>152</v>
      </c>
      <c r="B1055" s="20">
        <v>80</v>
      </c>
      <c r="C1055" s="22">
        <v>801</v>
      </c>
      <c r="D1055" s="22">
        <v>8019</v>
      </c>
      <c r="E1055" s="18" t="s">
        <v>153</v>
      </c>
      <c r="F1055" s="21" t="s">
        <v>155</v>
      </c>
      <c r="G1055" s="19" t="s">
        <v>3101</v>
      </c>
      <c r="H1055" s="19" t="s">
        <v>3106</v>
      </c>
      <c r="I1055" s="19" t="s">
        <v>3106</v>
      </c>
      <c r="J1055" s="19" t="s">
        <v>3107</v>
      </c>
    </row>
    <row r="1056" spans="1:10" ht="43.2">
      <c r="A1056" s="17" t="s">
        <v>152</v>
      </c>
      <c r="B1056" s="20">
        <v>80</v>
      </c>
      <c r="C1056" s="22">
        <v>802</v>
      </c>
      <c r="D1056" s="22" t="s"/>
      <c r="E1056" s="18" t="s">
        <v>153</v>
      </c>
      <c r="F1056" s="21" t="s">
        <v>155</v>
      </c>
      <c r="G1056" s="19" t="s">
        <v>3108</v>
      </c>
      <c r="H1056" s="29" t="s"/>
      <c r="I1056" s="19" t="s">
        <v>3108</v>
      </c>
      <c r="J1056" s="19" t="s"/>
    </row>
    <row r="1057" spans="1:10" ht="43.2">
      <c r="A1057" s="17" t="s">
        <v>152</v>
      </c>
      <c r="B1057" s="20">
        <v>80</v>
      </c>
      <c r="C1057" s="22">
        <v>802</v>
      </c>
      <c r="D1057" s="22">
        <v>8021</v>
      </c>
      <c r="E1057" s="18" t="s">
        <v>153</v>
      </c>
      <c r="F1057" s="21" t="s">
        <v>155</v>
      </c>
      <c r="G1057" s="19" t="s">
        <v>3108</v>
      </c>
      <c r="H1057" s="19" t="s">
        <v>3109</v>
      </c>
      <c r="I1057" s="19" t="s">
        <v>3109</v>
      </c>
      <c r="J1057" s="19" t="s"/>
    </row>
    <row r="1058" spans="1:10" ht="43.2">
      <c r="A1058" s="17" t="s">
        <v>152</v>
      </c>
      <c r="B1058" s="20">
        <v>80</v>
      </c>
      <c r="C1058" s="22">
        <v>802</v>
      </c>
      <c r="D1058" s="22">
        <v>8022</v>
      </c>
      <c r="E1058" s="18" t="s">
        <v>153</v>
      </c>
      <c r="F1058" s="21" t="s">
        <v>155</v>
      </c>
      <c r="G1058" s="19" t="s">
        <v>3108</v>
      </c>
      <c r="H1058" s="19" t="s">
        <v>3110</v>
      </c>
      <c r="I1058" s="19" t="s">
        <v>3110</v>
      </c>
      <c r="J1058" s="19" t="s">
        <v>3111</v>
      </c>
    </row>
    <row r="1059" spans="1:10" ht="43.2">
      <c r="A1059" s="17" t="s">
        <v>152</v>
      </c>
      <c r="B1059" s="20">
        <v>80</v>
      </c>
      <c r="C1059" s="22">
        <v>802</v>
      </c>
      <c r="D1059" s="22">
        <v>8023</v>
      </c>
      <c r="E1059" s="18" t="s">
        <v>153</v>
      </c>
      <c r="F1059" s="21" t="s">
        <v>155</v>
      </c>
      <c r="G1059" s="19" t="s">
        <v>3108</v>
      </c>
      <c r="H1059" s="19" t="s">
        <v>3112</v>
      </c>
      <c r="I1059" s="19" t="s">
        <v>3112</v>
      </c>
      <c r="J1059" s="19" t="s">
        <v>3113</v>
      </c>
    </row>
    <row r="1060" spans="1:10" ht="43.2">
      <c r="A1060" s="17" t="s">
        <v>152</v>
      </c>
      <c r="B1060" s="20">
        <v>80</v>
      </c>
      <c r="C1060" s="22">
        <v>802</v>
      </c>
      <c r="D1060" s="22">
        <v>8024</v>
      </c>
      <c r="E1060" s="18" t="s">
        <v>153</v>
      </c>
      <c r="F1060" s="21" t="s">
        <v>155</v>
      </c>
      <c r="G1060" s="19" t="s">
        <v>3108</v>
      </c>
      <c r="H1060" s="19" t="s">
        <v>3114</v>
      </c>
      <c r="I1060" s="19" t="s">
        <v>3114</v>
      </c>
      <c r="J1060" s="19" t="s">
        <v>3115</v>
      </c>
    </row>
    <row r="1061" spans="1:10" ht="43.2">
      <c r="A1061" s="17" t="s">
        <v>152</v>
      </c>
      <c r="B1061" s="20">
        <v>80</v>
      </c>
      <c r="C1061" s="22">
        <v>802</v>
      </c>
      <c r="D1061" s="22">
        <v>8029</v>
      </c>
      <c r="E1061" s="18" t="s">
        <v>153</v>
      </c>
      <c r="F1061" s="21" t="s">
        <v>155</v>
      </c>
      <c r="G1061" s="19" t="s">
        <v>3108</v>
      </c>
      <c r="H1061" s="19" t="s">
        <v>3116</v>
      </c>
      <c r="I1061" s="19" t="s">
        <v>3116</v>
      </c>
      <c r="J1061" s="19" t="s">
        <v>3117</v>
      </c>
    </row>
    <row r="1062" spans="1:10" ht="43.2">
      <c r="A1062" s="17" t="s">
        <v>152</v>
      </c>
      <c r="B1062" s="20">
        <v>81</v>
      </c>
      <c r="C1062" s="22" t="s">
        <v>51</v>
      </c>
      <c r="D1062" s="20" t="s"/>
      <c r="E1062" s="18" t="s">
        <v>153</v>
      </c>
      <c r="F1062" s="21" t="s">
        <v>156</v>
      </c>
      <c r="G1062" s="20" t="s"/>
      <c r="H1062" s="29" t="s"/>
      <c r="I1062" s="21" t="s">
        <v>156</v>
      </c>
      <c r="J1062" s="24" t="s"/>
    </row>
    <row r="1063" spans="1:10" ht="43.2">
      <c r="A1063" s="17" t="s">
        <v>152</v>
      </c>
      <c r="B1063" s="20">
        <v>81</v>
      </c>
      <c r="C1063" s="22">
        <v>811</v>
      </c>
      <c r="D1063" s="22">
        <v>8110</v>
      </c>
      <c r="E1063" s="18" t="s">
        <v>153</v>
      </c>
      <c r="F1063" s="21" t="s">
        <v>156</v>
      </c>
      <c r="G1063" s="19" t="s">
        <v>3118</v>
      </c>
      <c r="H1063" s="19" t="s">
        <v>3118</v>
      </c>
      <c r="I1063" s="19" t="s">
        <v>3118</v>
      </c>
      <c r="J1063" s="19" t="s">
        <v>3119</v>
      </c>
    </row>
    <row r="1064" spans="1:10" ht="43.2">
      <c r="A1064" s="17" t="s">
        <v>152</v>
      </c>
      <c r="B1064" s="20">
        <v>81</v>
      </c>
      <c r="C1064" s="22">
        <v>812</v>
      </c>
      <c r="D1064" s="22">
        <v>8120</v>
      </c>
      <c r="E1064" s="18" t="s">
        <v>153</v>
      </c>
      <c r="F1064" s="21" t="s">
        <v>156</v>
      </c>
      <c r="G1064" s="19" t="s">
        <v>3120</v>
      </c>
      <c r="H1064" s="19" t="s">
        <v>3120</v>
      </c>
      <c r="I1064" s="19" t="s">
        <v>3120</v>
      </c>
      <c r="J1064" s="19" t="s">
        <v>3121</v>
      </c>
    </row>
    <row r="1065" spans="1:10" ht="43.2">
      <c r="A1065" s="17" t="s">
        <v>152</v>
      </c>
      <c r="B1065" s="20">
        <v>81</v>
      </c>
      <c r="C1065" s="22">
        <v>813</v>
      </c>
      <c r="D1065" s="22" t="s"/>
      <c r="E1065" s="18" t="s">
        <v>153</v>
      </c>
      <c r="F1065" s="21" t="s">
        <v>156</v>
      </c>
      <c r="G1065" s="19" t="s">
        <v>3122</v>
      </c>
      <c r="H1065" s="29" t="s"/>
      <c r="I1065" s="19" t="s">
        <v>3122</v>
      </c>
      <c r="J1065" s="19" t="s">
        <v>3123</v>
      </c>
    </row>
    <row r="1066" spans="1:10" ht="43.2">
      <c r="A1066" s="17" t="s">
        <v>152</v>
      </c>
      <c r="B1066" s="20">
        <v>81</v>
      </c>
      <c r="C1066" s="22">
        <v>813</v>
      </c>
      <c r="D1066" s="22">
        <v>8131</v>
      </c>
      <c r="E1066" s="18" t="s">
        <v>153</v>
      </c>
      <c r="F1066" s="21" t="s">
        <v>156</v>
      </c>
      <c r="G1066" s="19" t="s">
        <v>3122</v>
      </c>
      <c r="H1066" s="19" t="s">
        <v>3124</v>
      </c>
      <c r="I1066" s="19" t="s">
        <v>3124</v>
      </c>
      <c r="J1066" s="19" t="s">
        <v>3125</v>
      </c>
    </row>
    <row r="1067" spans="1:10" ht="43.2">
      <c r="A1067" s="17" t="s">
        <v>152</v>
      </c>
      <c r="B1067" s="20">
        <v>81</v>
      </c>
      <c r="C1067" s="22">
        <v>813</v>
      </c>
      <c r="D1067" s="22">
        <v>8132</v>
      </c>
      <c r="E1067" s="18" t="s">
        <v>153</v>
      </c>
      <c r="F1067" s="21" t="s">
        <v>156</v>
      </c>
      <c r="G1067" s="19" t="s">
        <v>3122</v>
      </c>
      <c r="H1067" s="19" t="s">
        <v>3126</v>
      </c>
      <c r="I1067" s="19" t="s">
        <v>3126</v>
      </c>
      <c r="J1067" s="19" t="s">
        <v>3127</v>
      </c>
    </row>
    <row r="1068" spans="1:10" ht="43.2">
      <c r="A1068" s="17" t="s">
        <v>152</v>
      </c>
      <c r="B1068" s="20">
        <v>81</v>
      </c>
      <c r="C1068" s="22">
        <v>813</v>
      </c>
      <c r="D1068" s="22">
        <v>8139</v>
      </c>
      <c r="E1068" s="18" t="s">
        <v>153</v>
      </c>
      <c r="F1068" s="21" t="s">
        <v>156</v>
      </c>
      <c r="G1068" s="19" t="s">
        <v>3122</v>
      </c>
      <c r="H1068" s="19" t="s">
        <v>3128</v>
      </c>
      <c r="I1068" s="19" t="s">
        <v>3128</v>
      </c>
      <c r="J1068" s="19" t="s">
        <v>3129</v>
      </c>
    </row>
    <row r="1069" spans="1:10" ht="28.8">
      <c r="A1069" s="17" t="s">
        <v>157</v>
      </c>
      <c r="B1069" s="17" t="s"/>
      <c r="C1069" s="26" t="s"/>
      <c r="D1069" s="26" t="s"/>
      <c r="E1069" s="18" t="s">
        <v>158</v>
      </c>
      <c r="F1069" s="26" t="s"/>
      <c r="G1069" s="26" t="s"/>
      <c r="H1069" s="29" t="s"/>
      <c r="I1069" s="18" t="s">
        <v>158</v>
      </c>
      <c r="J1069" s="19" t="s">
        <v>3130</v>
      </c>
    </row>
    <row r="1070" spans="1:10" ht="28.8">
      <c r="A1070" s="17" t="s">
        <v>157</v>
      </c>
      <c r="B1070" s="20">
        <v>82</v>
      </c>
      <c r="C1070" s="22" t="s"/>
      <c r="D1070" s="22" t="s"/>
      <c r="E1070" s="18" t="s">
        <v>158</v>
      </c>
      <c r="F1070" s="21" t="s">
        <v>159</v>
      </c>
      <c r="G1070" s="22" t="s"/>
      <c r="H1070" s="29" t="s"/>
      <c r="I1070" s="21" t="s">
        <v>159</v>
      </c>
      <c r="J1070" s="19" t="s">
        <v>51</v>
      </c>
    </row>
    <row r="1071" spans="1:10" ht="28.8">
      <c r="A1071" s="17" t="s">
        <v>157</v>
      </c>
      <c r="B1071" s="20">
        <v>82</v>
      </c>
      <c r="C1071" s="22">
        <v>821</v>
      </c>
      <c r="D1071" s="22">
        <v>8210</v>
      </c>
      <c r="E1071" s="18" t="s">
        <v>158</v>
      </c>
      <c r="F1071" s="21" t="s">
        <v>159</v>
      </c>
      <c r="G1071" s="19" t="s">
        <v>3131</v>
      </c>
      <c r="H1071" s="19" t="s">
        <v>3131</v>
      </c>
      <c r="I1071" s="19" t="s">
        <v>3131</v>
      </c>
      <c r="J1071" s="33" t="s"/>
    </row>
    <row r="1072" spans="1:10" ht="28.8">
      <c r="A1072" s="17" t="s">
        <v>157</v>
      </c>
      <c r="B1072" s="20">
        <v>82</v>
      </c>
      <c r="C1072" s="22">
        <v>822</v>
      </c>
      <c r="D1072" s="22">
        <v>8220</v>
      </c>
      <c r="E1072" s="18" t="s">
        <v>158</v>
      </c>
      <c r="F1072" s="21" t="s">
        <v>159</v>
      </c>
      <c r="G1072" s="19" t="s">
        <v>3132</v>
      </c>
      <c r="H1072" s="19" t="s">
        <v>3132</v>
      </c>
      <c r="I1072" s="19" t="s">
        <v>3132</v>
      </c>
      <c r="J1072" s="19" t="s">
        <v>3133</v>
      </c>
    </row>
    <row r="1073" spans="1:10" ht="28.8">
      <c r="A1073" s="17" t="s">
        <v>157</v>
      </c>
      <c r="B1073" s="20">
        <v>82</v>
      </c>
      <c r="C1073" s="22">
        <v>823</v>
      </c>
      <c r="D1073" s="22">
        <v>8230</v>
      </c>
      <c r="E1073" s="18" t="s">
        <v>158</v>
      </c>
      <c r="F1073" s="21" t="s">
        <v>159</v>
      </c>
      <c r="G1073" s="19" t="s">
        <v>3134</v>
      </c>
      <c r="H1073" s="19" t="s">
        <v>3134</v>
      </c>
      <c r="I1073" s="19" t="s">
        <v>3134</v>
      </c>
      <c r="J1073" s="19" t="s">
        <v>3135</v>
      </c>
    </row>
    <row r="1074" spans="1:10" ht="28.8">
      <c r="A1074" s="17" t="s">
        <v>157</v>
      </c>
      <c r="B1074" s="20">
        <v>82</v>
      </c>
      <c r="C1074" s="22">
        <v>824</v>
      </c>
      <c r="D1074" s="22">
        <v>8240</v>
      </c>
      <c r="E1074" s="18" t="s">
        <v>158</v>
      </c>
      <c r="F1074" s="21" t="s">
        <v>159</v>
      </c>
      <c r="G1074" s="19" t="s">
        <v>3136</v>
      </c>
      <c r="H1074" s="19" t="s">
        <v>3136</v>
      </c>
      <c r="I1074" s="19" t="s">
        <v>3136</v>
      </c>
      <c r="J1074" s="19" t="s">
        <v>3137</v>
      </c>
    </row>
    <row r="1075" spans="1:10" ht="28.8">
      <c r="A1075" s="17" t="s">
        <v>157</v>
      </c>
      <c r="B1075" s="20">
        <v>82</v>
      </c>
      <c r="C1075" s="22">
        <v>825</v>
      </c>
      <c r="D1075" s="22">
        <v>8250</v>
      </c>
      <c r="E1075" s="18" t="s">
        <v>158</v>
      </c>
      <c r="F1075" s="21" t="s">
        <v>159</v>
      </c>
      <c r="G1075" s="19" t="s">
        <v>3138</v>
      </c>
      <c r="H1075" s="19" t="s">
        <v>3138</v>
      </c>
      <c r="I1075" s="19" t="s">
        <v>3138</v>
      </c>
      <c r="J1075" s="19" t="s">
        <v>3139</v>
      </c>
    </row>
    <row r="1076" spans="1:10" ht="28.8">
      <c r="A1076" s="17" t="s">
        <v>157</v>
      </c>
      <c r="B1076" s="20">
        <v>82</v>
      </c>
      <c r="C1076" s="22">
        <v>826</v>
      </c>
      <c r="D1076" s="22">
        <v>8260</v>
      </c>
      <c r="E1076" s="18" t="s">
        <v>158</v>
      </c>
      <c r="F1076" s="21" t="s">
        <v>159</v>
      </c>
      <c r="G1076" s="19" t="s">
        <v>3140</v>
      </c>
      <c r="H1076" s="19" t="s">
        <v>3140</v>
      </c>
      <c r="I1076" s="19" t="s">
        <v>3140</v>
      </c>
      <c r="J1076" s="19" t="s">
        <v>3141</v>
      </c>
    </row>
    <row r="1077" spans="1:10" ht="28.8">
      <c r="A1077" s="17" t="s">
        <v>157</v>
      </c>
      <c r="B1077" s="20">
        <v>82</v>
      </c>
      <c r="C1077" s="22">
        <v>827</v>
      </c>
      <c r="D1077" s="22">
        <v>8270</v>
      </c>
      <c r="E1077" s="18" t="s">
        <v>158</v>
      </c>
      <c r="F1077" s="21" t="s">
        <v>159</v>
      </c>
      <c r="G1077" s="19" t="s">
        <v>3142</v>
      </c>
      <c r="H1077" s="19" t="s">
        <v>3142</v>
      </c>
      <c r="I1077" s="19" t="s">
        <v>3142</v>
      </c>
      <c r="J1077" s="19" t="s">
        <v>3143</v>
      </c>
    </row>
    <row r="1078" spans="1:10" ht="28.8">
      <c r="A1078" s="17" t="s">
        <v>157</v>
      </c>
      <c r="B1078" s="20">
        <v>82</v>
      </c>
      <c r="C1078" s="22">
        <v>828</v>
      </c>
      <c r="D1078" s="22">
        <v>8280</v>
      </c>
      <c r="E1078" s="18" t="s">
        <v>158</v>
      </c>
      <c r="F1078" s="21" t="s">
        <v>159</v>
      </c>
      <c r="G1078" s="19" t="s">
        <v>3144</v>
      </c>
      <c r="H1078" s="19" t="s">
        <v>3144</v>
      </c>
      <c r="I1078" s="19" t="s">
        <v>3144</v>
      </c>
      <c r="J1078" s="19" t="s"/>
    </row>
    <row r="1079" spans="1:10" ht="28.8">
      <c r="A1079" s="17" t="s">
        <v>157</v>
      </c>
      <c r="B1079" s="20">
        <v>82</v>
      </c>
      <c r="C1079" s="22">
        <v>829</v>
      </c>
      <c r="D1079" s="22">
        <v>8290</v>
      </c>
      <c r="E1079" s="18" t="s">
        <v>158</v>
      </c>
      <c r="F1079" s="21" t="s">
        <v>159</v>
      </c>
      <c r="G1079" s="19" t="s">
        <v>3145</v>
      </c>
      <c r="H1079" s="19" t="s">
        <v>3145</v>
      </c>
      <c r="I1079" s="19" t="s">
        <v>3145</v>
      </c>
      <c r="J1079" s="19" t="s">
        <v>3146</v>
      </c>
    </row>
    <row r="1080" spans="1:10" ht="28.8">
      <c r="A1080" s="17" t="s">
        <v>157</v>
      </c>
      <c r="B1080" s="20">
        <v>83</v>
      </c>
      <c r="C1080" s="31" t="s"/>
      <c r="D1080" s="31" t="s"/>
      <c r="E1080" s="18" t="s">
        <v>158</v>
      </c>
      <c r="F1080" s="21" t="s">
        <v>160</v>
      </c>
      <c r="G1080" s="31" t="s"/>
      <c r="H1080" s="29" t="s"/>
      <c r="I1080" s="21" t="s">
        <v>160</v>
      </c>
      <c r="J1080" s="19" t="s">
        <v>51</v>
      </c>
    </row>
    <row r="1081" spans="1:10" ht="28.8">
      <c r="A1081" s="17" t="s">
        <v>157</v>
      </c>
      <c r="B1081" s="20">
        <v>83</v>
      </c>
      <c r="C1081" s="22">
        <v>831</v>
      </c>
      <c r="D1081" s="22" t="s"/>
      <c r="E1081" s="18" t="s">
        <v>158</v>
      </c>
      <c r="F1081" s="21" t="s">
        <v>160</v>
      </c>
      <c r="G1081" s="19" t="s">
        <v>3147</v>
      </c>
      <c r="H1081" s="29" t="s"/>
      <c r="I1081" s="19" t="s">
        <v>3147</v>
      </c>
      <c r="J1081" s="33" t="s"/>
    </row>
    <row r="1082" spans="1:10" ht="33.6">
      <c r="A1082" s="17" t="s">
        <v>157</v>
      </c>
      <c r="B1082" s="20">
        <v>83</v>
      </c>
      <c r="C1082" s="22">
        <v>831</v>
      </c>
      <c r="D1082" s="22">
        <v>8311</v>
      </c>
      <c r="E1082" s="18" t="s">
        <v>158</v>
      </c>
      <c r="F1082" s="21" t="s">
        <v>160</v>
      </c>
      <c r="G1082" s="19" t="s">
        <v>3147</v>
      </c>
      <c r="H1082" s="19" t="s">
        <v>3148</v>
      </c>
      <c r="I1082" s="19" t="s">
        <v>3148</v>
      </c>
      <c r="J1082" s="19" t="s">
        <v>3149</v>
      </c>
    </row>
    <row r="1083" spans="1:10" ht="28.8">
      <c r="A1083" s="17" t="s">
        <v>157</v>
      </c>
      <c r="B1083" s="20">
        <v>83</v>
      </c>
      <c r="C1083" s="22">
        <v>831</v>
      </c>
      <c r="D1083" s="22">
        <v>8312</v>
      </c>
      <c r="E1083" s="18" t="s">
        <v>158</v>
      </c>
      <c r="F1083" s="21" t="s">
        <v>160</v>
      </c>
      <c r="G1083" s="19" t="s">
        <v>3147</v>
      </c>
      <c r="H1083" s="19" t="s">
        <v>3150</v>
      </c>
      <c r="I1083" s="19" t="s">
        <v>3150</v>
      </c>
      <c r="J1083" s="19" t="s">
        <v>3151</v>
      </c>
    </row>
    <row r="1084" spans="1:10" ht="28.8">
      <c r="A1084" s="17" t="s">
        <v>157</v>
      </c>
      <c r="B1084" s="20">
        <v>83</v>
      </c>
      <c r="C1084" s="22">
        <v>831</v>
      </c>
      <c r="D1084" s="22">
        <v>8313</v>
      </c>
      <c r="E1084" s="18" t="s">
        <v>158</v>
      </c>
      <c r="F1084" s="21" t="s">
        <v>160</v>
      </c>
      <c r="G1084" s="19" t="s">
        <v>3147</v>
      </c>
      <c r="H1084" s="19" t="s">
        <v>3152</v>
      </c>
      <c r="I1084" s="19" t="s">
        <v>3152</v>
      </c>
      <c r="J1084" s="19" t="s">
        <v>3153</v>
      </c>
    </row>
    <row r="1085" spans="1:10" ht="28.8">
      <c r="A1085" s="17" t="s">
        <v>157</v>
      </c>
      <c r="B1085" s="20">
        <v>83</v>
      </c>
      <c r="C1085" s="22">
        <v>831</v>
      </c>
      <c r="D1085" s="22">
        <v>8319</v>
      </c>
      <c r="E1085" s="18" t="s">
        <v>158</v>
      </c>
      <c r="F1085" s="21" t="s">
        <v>160</v>
      </c>
      <c r="G1085" s="19" t="s">
        <v>3147</v>
      </c>
      <c r="H1085" s="19" t="s">
        <v>3154</v>
      </c>
      <c r="I1085" s="19" t="s">
        <v>3154</v>
      </c>
      <c r="J1085" s="19" t="s">
        <v>3155</v>
      </c>
    </row>
    <row r="1086" spans="1:10" ht="28.8">
      <c r="A1086" s="17" t="s">
        <v>157</v>
      </c>
      <c r="B1086" s="20">
        <v>83</v>
      </c>
      <c r="C1086" s="22">
        <v>832</v>
      </c>
      <c r="D1086" s="22" t="s"/>
      <c r="E1086" s="18" t="s">
        <v>158</v>
      </c>
      <c r="F1086" s="21" t="s">
        <v>160</v>
      </c>
      <c r="G1086" s="19" t="s">
        <v>3156</v>
      </c>
      <c r="H1086" s="29" t="s"/>
      <c r="I1086" s="19" t="s">
        <v>3156</v>
      </c>
      <c r="J1086" s="19" t="s">
        <v>3157</v>
      </c>
    </row>
    <row r="1087" spans="1:10" ht="28.8">
      <c r="A1087" s="17" t="s">
        <v>157</v>
      </c>
      <c r="B1087" s="20">
        <v>83</v>
      </c>
      <c r="C1087" s="22">
        <v>832</v>
      </c>
      <c r="D1087" s="22">
        <v>8321</v>
      </c>
      <c r="E1087" s="18" t="s">
        <v>158</v>
      </c>
      <c r="F1087" s="21" t="s">
        <v>160</v>
      </c>
      <c r="G1087" s="19" t="s">
        <v>3156</v>
      </c>
      <c r="H1087" s="19" t="s">
        <v>3158</v>
      </c>
      <c r="I1087" s="19" t="s">
        <v>3158</v>
      </c>
      <c r="J1087" s="19" t="s">
        <v>3159</v>
      </c>
    </row>
    <row r="1088" spans="1:10" ht="28.8">
      <c r="A1088" s="17" t="s">
        <v>157</v>
      </c>
      <c r="B1088" s="20">
        <v>83</v>
      </c>
      <c r="C1088" s="22">
        <v>832</v>
      </c>
      <c r="D1088" s="22">
        <v>8329</v>
      </c>
      <c r="E1088" s="18" t="s">
        <v>158</v>
      </c>
      <c r="F1088" s="21" t="s">
        <v>160</v>
      </c>
      <c r="G1088" s="19" t="s">
        <v>3156</v>
      </c>
      <c r="H1088" s="19" t="s">
        <v>3160</v>
      </c>
      <c r="I1088" s="19" t="s">
        <v>3160</v>
      </c>
      <c r="J1088" s="19" t="s">
        <v>3161</v>
      </c>
    </row>
    <row r="1089" spans="1:10" ht="28.8">
      <c r="A1089" s="17" t="s">
        <v>157</v>
      </c>
      <c r="B1089" s="20">
        <v>83</v>
      </c>
      <c r="C1089" s="22">
        <v>839</v>
      </c>
      <c r="D1089" s="22">
        <v>8390</v>
      </c>
      <c r="E1089" s="18" t="s">
        <v>158</v>
      </c>
      <c r="F1089" s="21" t="s">
        <v>160</v>
      </c>
      <c r="G1089" s="19" t="s">
        <v>3162</v>
      </c>
      <c r="H1089" s="19" t="s">
        <v>3162</v>
      </c>
      <c r="I1089" s="19" t="s">
        <v>3162</v>
      </c>
      <c r="J1089" s="19" t="s"/>
    </row>
    <row r="1090" spans="1:10" ht="15.6">
      <c r="A1090" s="17" t="s">
        <v>161</v>
      </c>
      <c r="B1090" s="17" t="s"/>
      <c r="C1090" s="17" t="s"/>
      <c r="D1090" s="17" t="s"/>
      <c r="E1090" s="18" t="s">
        <v>162</v>
      </c>
      <c r="F1090" s="17" t="s"/>
      <c r="G1090" s="17" t="s"/>
      <c r="H1090" s="29" t="s"/>
      <c r="I1090" s="18" t="s">
        <v>162</v>
      </c>
      <c r="J1090" s="34" t="s"/>
    </row>
    <row r="1091" spans="1:10" ht="15.6">
      <c r="A1091" s="17" t="s">
        <v>161</v>
      </c>
      <c r="B1091" s="20">
        <v>84</v>
      </c>
      <c r="C1091" s="31" t="s"/>
      <c r="D1091" s="31" t="s"/>
      <c r="E1091" s="18" t="s">
        <v>162</v>
      </c>
      <c r="F1091" s="21" t="s">
        <v>162</v>
      </c>
      <c r="G1091" s="31" t="s"/>
      <c r="H1091" s="29" t="s"/>
      <c r="I1091" s="21" t="s">
        <v>162</v>
      </c>
      <c r="J1091" s="19" t="s"/>
    </row>
    <row r="1092" spans="1:10" ht="15.6">
      <c r="A1092" s="17" t="s">
        <v>161</v>
      </c>
      <c r="B1092" s="20">
        <v>84</v>
      </c>
      <c r="C1092" s="22">
        <v>841</v>
      </c>
      <c r="D1092" s="22">
        <v>8410</v>
      </c>
      <c r="E1092" s="18" t="s">
        <v>162</v>
      </c>
      <c r="F1092" s="21" t="s">
        <v>162</v>
      </c>
      <c r="G1092" s="19" t="s">
        <v>3163</v>
      </c>
      <c r="H1092" s="19" t="s">
        <v>3163</v>
      </c>
      <c r="I1092" s="19" t="s">
        <v>3163</v>
      </c>
      <c r="J1092" s="19" t="s">
        <v>3164</v>
      </c>
    </row>
    <row r="1093" spans="1:10" ht="15.6">
      <c r="A1093" s="17" t="s">
        <v>161</v>
      </c>
      <c r="B1093" s="20">
        <v>84</v>
      </c>
      <c r="C1093" s="22">
        <v>842</v>
      </c>
      <c r="D1093" s="22">
        <v>8420</v>
      </c>
      <c r="E1093" s="18" t="s">
        <v>162</v>
      </c>
      <c r="F1093" s="21" t="s">
        <v>162</v>
      </c>
      <c r="G1093" s="19" t="s">
        <v>3165</v>
      </c>
      <c r="H1093" s="19" t="s">
        <v>3165</v>
      </c>
      <c r="I1093" s="19" t="s">
        <v>3165</v>
      </c>
      <c r="J1093" s="19" t="s">
        <v>3166</v>
      </c>
    </row>
    <row r="1094" spans="1:10" ht="15.6">
      <c r="A1094" s="17" t="s">
        <v>161</v>
      </c>
      <c r="B1094" s="20">
        <v>84</v>
      </c>
      <c r="C1094" s="22">
        <v>843</v>
      </c>
      <c r="D1094" s="22" t="s"/>
      <c r="E1094" s="18" t="s">
        <v>162</v>
      </c>
      <c r="F1094" s="21" t="s">
        <v>162</v>
      </c>
      <c r="G1094" s="19" t="s">
        <v>3167</v>
      </c>
      <c r="H1094" s="29" t="s"/>
      <c r="I1094" s="19" t="s">
        <v>3167</v>
      </c>
      <c r="J1094" s="19" t="s">
        <v>51</v>
      </c>
    </row>
    <row r="1095" spans="1:10" ht="15.6">
      <c r="A1095" s="17" t="s">
        <v>161</v>
      </c>
      <c r="B1095" s="20">
        <v>84</v>
      </c>
      <c r="C1095" s="22">
        <v>843</v>
      </c>
      <c r="D1095" s="22">
        <v>8431</v>
      </c>
      <c r="E1095" s="18" t="s">
        <v>162</v>
      </c>
      <c r="F1095" s="21" t="s">
        <v>162</v>
      </c>
      <c r="G1095" s="19" t="s">
        <v>3167</v>
      </c>
      <c r="H1095" s="19" t="s">
        <v>3168</v>
      </c>
      <c r="I1095" s="19" t="s">
        <v>3168</v>
      </c>
      <c r="J1095" s="19" t="s">
        <v>3169</v>
      </c>
    </row>
    <row r="1096" spans="1:10" ht="22.8">
      <c r="A1096" s="17" t="s">
        <v>161</v>
      </c>
      <c r="B1096" s="20">
        <v>84</v>
      </c>
      <c r="C1096" s="22">
        <v>843</v>
      </c>
      <c r="D1096" s="22">
        <v>8432</v>
      </c>
      <c r="E1096" s="18" t="s">
        <v>162</v>
      </c>
      <c r="F1096" s="21" t="s">
        <v>162</v>
      </c>
      <c r="G1096" s="19" t="s">
        <v>3167</v>
      </c>
      <c r="H1096" s="19" t="s">
        <v>3170</v>
      </c>
      <c r="I1096" s="19" t="s">
        <v>3170</v>
      </c>
      <c r="J1096" s="19" t="s">
        <v>3171</v>
      </c>
    </row>
    <row r="1097" spans="1:10" ht="15.6">
      <c r="A1097" s="17" t="s">
        <v>161</v>
      </c>
      <c r="B1097" s="20">
        <v>84</v>
      </c>
      <c r="C1097" s="22">
        <v>843</v>
      </c>
      <c r="D1097" s="22">
        <v>8433</v>
      </c>
      <c r="E1097" s="18" t="s">
        <v>162</v>
      </c>
      <c r="F1097" s="21" t="s">
        <v>162</v>
      </c>
      <c r="G1097" s="19" t="s">
        <v>3167</v>
      </c>
      <c r="H1097" s="19" t="s">
        <v>3172</v>
      </c>
      <c r="I1097" s="19" t="s">
        <v>3172</v>
      </c>
      <c r="J1097" s="19" t="s"/>
    </row>
    <row r="1098" spans="1:10" ht="22.8">
      <c r="A1098" s="17" t="s">
        <v>161</v>
      </c>
      <c r="B1098" s="20">
        <v>84</v>
      </c>
      <c r="C1098" s="22">
        <v>843</v>
      </c>
      <c r="D1098" s="22">
        <v>8434</v>
      </c>
      <c r="E1098" s="18" t="s">
        <v>162</v>
      </c>
      <c r="F1098" s="21" t="s">
        <v>162</v>
      </c>
      <c r="G1098" s="19" t="s">
        <v>3167</v>
      </c>
      <c r="H1098" s="19" t="s">
        <v>3173</v>
      </c>
      <c r="I1098" s="19" t="s">
        <v>3173</v>
      </c>
      <c r="J1098" s="19" t="s">
        <v>3174</v>
      </c>
    </row>
    <row r="1099" spans="1:10" ht="15.6">
      <c r="A1099" s="17" t="s">
        <v>161</v>
      </c>
      <c r="B1099" s="20">
        <v>84</v>
      </c>
      <c r="C1099" s="22">
        <v>843</v>
      </c>
      <c r="D1099" s="22">
        <v>8435</v>
      </c>
      <c r="E1099" s="18" t="s">
        <v>162</v>
      </c>
      <c r="F1099" s="21" t="s">
        <v>162</v>
      </c>
      <c r="G1099" s="19" t="s">
        <v>3167</v>
      </c>
      <c r="H1099" s="19" t="s">
        <v>3175</v>
      </c>
      <c r="I1099" s="19" t="s">
        <v>3175</v>
      </c>
      <c r="J1099" s="34" t="s">
        <v>3176</v>
      </c>
    </row>
    <row r="1100" spans="1:10" ht="15.6">
      <c r="A1100" s="17" t="s">
        <v>161</v>
      </c>
      <c r="B1100" s="20">
        <v>84</v>
      </c>
      <c r="C1100" s="22">
        <v>843</v>
      </c>
      <c r="D1100" s="22">
        <v>8439</v>
      </c>
      <c r="E1100" s="18" t="s">
        <v>162</v>
      </c>
      <c r="F1100" s="21" t="s">
        <v>162</v>
      </c>
      <c r="G1100" s="19" t="s">
        <v>3167</v>
      </c>
      <c r="H1100" s="19" t="s">
        <v>3177</v>
      </c>
      <c r="I1100" s="19" t="s">
        <v>3177</v>
      </c>
      <c r="J1100" s="19" t="s">
        <v>3178</v>
      </c>
    </row>
    <row r="1101" spans="1:10" ht="15.6">
      <c r="A1101" s="17" t="s">
        <v>161</v>
      </c>
      <c r="B1101" s="20">
        <v>84</v>
      </c>
      <c r="C1101" s="22">
        <v>844</v>
      </c>
      <c r="D1101" s="22" t="s">
        <v>51</v>
      </c>
      <c r="E1101" s="18" t="s">
        <v>162</v>
      </c>
      <c r="F1101" s="21" t="s">
        <v>162</v>
      </c>
      <c r="G1101" s="19" t="s">
        <v>3179</v>
      </c>
      <c r="H1101" s="29" t="s"/>
      <c r="I1101" s="19" t="s">
        <v>3179</v>
      </c>
      <c r="J1101" s="27" t="s"/>
    </row>
    <row r="1102" spans="1:10" ht="22.8">
      <c r="A1102" s="17" t="s">
        <v>161</v>
      </c>
      <c r="B1102" s="20">
        <v>84</v>
      </c>
      <c r="C1102" s="22">
        <v>844</v>
      </c>
      <c r="D1102" s="22">
        <v>8441</v>
      </c>
      <c r="E1102" s="18" t="s">
        <v>162</v>
      </c>
      <c r="F1102" s="21" t="s">
        <v>162</v>
      </c>
      <c r="G1102" s="19" t="s">
        <v>3179</v>
      </c>
      <c r="H1102" s="19" t="s">
        <v>3180</v>
      </c>
      <c r="I1102" s="19" t="s">
        <v>3180</v>
      </c>
      <c r="J1102" s="19" t="s">
        <v>3181</v>
      </c>
    </row>
    <row r="1103" spans="1:10" ht="15.6">
      <c r="A1103" s="17" t="s">
        <v>161</v>
      </c>
      <c r="B1103" s="20">
        <v>84</v>
      </c>
      <c r="C1103" s="22">
        <v>844</v>
      </c>
      <c r="D1103" s="22">
        <v>8442</v>
      </c>
      <c r="E1103" s="18" t="s">
        <v>162</v>
      </c>
      <c r="F1103" s="21" t="s">
        <v>162</v>
      </c>
      <c r="G1103" s="19" t="s">
        <v>3179</v>
      </c>
      <c r="H1103" s="19" t="s">
        <v>3182</v>
      </c>
      <c r="I1103" s="19" t="s">
        <v>3182</v>
      </c>
      <c r="J1103" s="19" t="s">
        <v>3183</v>
      </c>
    </row>
    <row r="1104" spans="1:10" ht="15.6">
      <c r="A1104" s="17" t="s">
        <v>161</v>
      </c>
      <c r="B1104" s="20">
        <v>84</v>
      </c>
      <c r="C1104" s="22">
        <v>849</v>
      </c>
      <c r="D1104" s="22" t="s"/>
      <c r="E1104" s="18" t="s">
        <v>162</v>
      </c>
      <c r="F1104" s="21" t="s">
        <v>162</v>
      </c>
      <c r="G1104" s="19" t="s">
        <v>3184</v>
      </c>
      <c r="H1104" s="29" t="s"/>
      <c r="I1104" s="19" t="s">
        <v>3184</v>
      </c>
      <c r="J1104" s="19" t="s"/>
    </row>
    <row r="1105" spans="1:10" ht="33.6">
      <c r="A1105" s="17" t="s">
        <v>161</v>
      </c>
      <c r="B1105" s="20">
        <v>84</v>
      </c>
      <c r="C1105" s="22">
        <v>849</v>
      </c>
      <c r="D1105" s="22">
        <v>8491</v>
      </c>
      <c r="E1105" s="18" t="s">
        <v>162</v>
      </c>
      <c r="F1105" s="21" t="s">
        <v>162</v>
      </c>
      <c r="G1105" s="19" t="s">
        <v>3184</v>
      </c>
      <c r="H1105" s="19" t="s">
        <v>3185</v>
      </c>
      <c r="I1105" s="19" t="s">
        <v>3185</v>
      </c>
      <c r="J1105" s="19" t="s">
        <v>3186</v>
      </c>
    </row>
    <row r="1106" spans="1:10" ht="15.6">
      <c r="A1106" s="17" t="s">
        <v>161</v>
      </c>
      <c r="B1106" s="20">
        <v>84</v>
      </c>
      <c r="C1106" s="22">
        <v>849</v>
      </c>
      <c r="D1106" s="22">
        <v>8492</v>
      </c>
      <c r="E1106" s="18" t="s">
        <v>162</v>
      </c>
      <c r="F1106" s="21" t="s">
        <v>162</v>
      </c>
      <c r="G1106" s="19" t="s">
        <v>3184</v>
      </c>
      <c r="H1106" s="19" t="s">
        <v>3187</v>
      </c>
      <c r="I1106" s="19" t="s">
        <v>3187</v>
      </c>
      <c r="J1106" s="19" t="s">
        <v>3188</v>
      </c>
    </row>
    <row r="1107" spans="1:10" ht="22.8">
      <c r="A1107" s="17" t="s">
        <v>161</v>
      </c>
      <c r="B1107" s="20">
        <v>84</v>
      </c>
      <c r="C1107" s="22">
        <v>849</v>
      </c>
      <c r="D1107" s="22">
        <v>8499</v>
      </c>
      <c r="E1107" s="18" t="s">
        <v>162</v>
      </c>
      <c r="F1107" s="21" t="s">
        <v>162</v>
      </c>
      <c r="G1107" s="19" t="s">
        <v>3184</v>
      </c>
      <c r="H1107" s="19" t="s">
        <v>3189</v>
      </c>
      <c r="I1107" s="19" t="s">
        <v>3189</v>
      </c>
      <c r="J1107" s="19" t="s">
        <v>3190</v>
      </c>
    </row>
    <row r="1108" spans="1:10" ht="43.2">
      <c r="A1108" s="17" t="s">
        <v>163</v>
      </c>
      <c r="B1108" s="17" t="s"/>
      <c r="C1108" s="17" t="s"/>
      <c r="D1108" s="17" t="s"/>
      <c r="E1108" s="18" t="s">
        <v>164</v>
      </c>
      <c r="F1108" s="17" t="s"/>
      <c r="G1108" s="17" t="s"/>
      <c r="H1108" s="29" t="s"/>
      <c r="I1108" s="18" t="s">
        <v>164</v>
      </c>
      <c r="J1108" s="19" t="s">
        <v>3191</v>
      </c>
    </row>
    <row r="1109" spans="1:10" ht="43.2">
      <c r="A1109" s="17" t="s">
        <v>163</v>
      </c>
      <c r="B1109" s="20">
        <v>85</v>
      </c>
      <c r="C1109" s="31" t="s"/>
      <c r="D1109" s="31" t="s"/>
      <c r="E1109" s="18" t="s">
        <v>164</v>
      </c>
      <c r="F1109" s="21" t="s">
        <v>165</v>
      </c>
      <c r="G1109" s="31" t="s"/>
      <c r="H1109" s="29" t="s"/>
      <c r="I1109" s="21" t="s">
        <v>165</v>
      </c>
      <c r="J1109" s="19" t="s"/>
    </row>
    <row r="1110" spans="1:10" ht="43.2">
      <c r="A1110" s="17" t="s">
        <v>163</v>
      </c>
      <c r="B1110" s="20">
        <v>85</v>
      </c>
      <c r="C1110" s="22">
        <v>851</v>
      </c>
      <c r="D1110" s="22" t="s"/>
      <c r="E1110" s="18" t="s">
        <v>164</v>
      </c>
      <c r="F1110" s="21" t="s">
        <v>165</v>
      </c>
      <c r="G1110" s="19" t="s">
        <v>3192</v>
      </c>
      <c r="H1110" s="29" t="s"/>
      <c r="I1110" s="19" t="s">
        <v>3192</v>
      </c>
      <c r="J1110" s="19" t="s">
        <v>51</v>
      </c>
    </row>
    <row r="1111" spans="1:10" ht="43.2">
      <c r="A1111" s="17" t="s">
        <v>163</v>
      </c>
      <c r="B1111" s="20">
        <v>85</v>
      </c>
      <c r="C1111" s="22">
        <v>851</v>
      </c>
      <c r="D1111" s="22">
        <v>8511</v>
      </c>
      <c r="E1111" s="18" t="s">
        <v>164</v>
      </c>
      <c r="F1111" s="21" t="s">
        <v>165</v>
      </c>
      <c r="G1111" s="19" t="s">
        <v>3192</v>
      </c>
      <c r="H1111" s="19" t="s">
        <v>3193</v>
      </c>
      <c r="I1111" s="19" t="s">
        <v>3193</v>
      </c>
      <c r="J1111" s="19" t="s"/>
    </row>
    <row r="1112" spans="1:10" ht="43.2">
      <c r="A1112" s="17" t="s">
        <v>163</v>
      </c>
      <c r="B1112" s="20">
        <v>85</v>
      </c>
      <c r="C1112" s="22">
        <v>851</v>
      </c>
      <c r="D1112" s="22">
        <v>8512</v>
      </c>
      <c r="E1112" s="18" t="s">
        <v>164</v>
      </c>
      <c r="F1112" s="21" t="s">
        <v>165</v>
      </c>
      <c r="G1112" s="19" t="s">
        <v>3192</v>
      </c>
      <c r="H1112" s="19" t="s">
        <v>3194</v>
      </c>
      <c r="I1112" s="19" t="s">
        <v>3194</v>
      </c>
      <c r="J1112" s="19" t="s"/>
    </row>
    <row r="1113" spans="1:10" ht="43.2">
      <c r="A1113" s="17" t="s">
        <v>163</v>
      </c>
      <c r="B1113" s="20">
        <v>85</v>
      </c>
      <c r="C1113" s="22">
        <v>851</v>
      </c>
      <c r="D1113" s="22">
        <v>8513</v>
      </c>
      <c r="E1113" s="18" t="s">
        <v>164</v>
      </c>
      <c r="F1113" s="21" t="s">
        <v>165</v>
      </c>
      <c r="G1113" s="19" t="s">
        <v>3192</v>
      </c>
      <c r="H1113" s="19" t="s">
        <v>3195</v>
      </c>
      <c r="I1113" s="19" t="s">
        <v>3195</v>
      </c>
      <c r="J1113" s="19" t="s"/>
    </row>
    <row r="1114" spans="1:10" ht="43.2">
      <c r="A1114" s="17" t="s">
        <v>163</v>
      </c>
      <c r="B1114" s="20">
        <v>85</v>
      </c>
      <c r="C1114" s="22">
        <v>851</v>
      </c>
      <c r="D1114" s="22">
        <v>8514</v>
      </c>
      <c r="E1114" s="18" t="s">
        <v>164</v>
      </c>
      <c r="F1114" s="21" t="s">
        <v>165</v>
      </c>
      <c r="G1114" s="19" t="s">
        <v>3192</v>
      </c>
      <c r="H1114" s="19" t="s">
        <v>3196</v>
      </c>
      <c r="I1114" s="19" t="s">
        <v>3196</v>
      </c>
      <c r="J1114" s="19" t="s"/>
    </row>
    <row r="1115" spans="1:10" ht="43.2">
      <c r="A1115" s="17" t="s">
        <v>163</v>
      </c>
      <c r="B1115" s="20">
        <v>85</v>
      </c>
      <c r="C1115" s="22">
        <v>851</v>
      </c>
      <c r="D1115" s="22">
        <v>8515</v>
      </c>
      <c r="E1115" s="18" t="s">
        <v>164</v>
      </c>
      <c r="F1115" s="21" t="s">
        <v>165</v>
      </c>
      <c r="G1115" s="19" t="s">
        <v>3192</v>
      </c>
      <c r="H1115" s="19" t="s">
        <v>3197</v>
      </c>
      <c r="I1115" s="19" t="s">
        <v>3197</v>
      </c>
      <c r="J1115" s="19" t="s"/>
    </row>
    <row r="1116" spans="1:10" ht="43.2">
      <c r="A1116" s="17" t="s">
        <v>163</v>
      </c>
      <c r="B1116" s="20">
        <v>85</v>
      </c>
      <c r="C1116" s="22">
        <v>851</v>
      </c>
      <c r="D1116" s="22">
        <v>8516</v>
      </c>
      <c r="E1116" s="18" t="s">
        <v>164</v>
      </c>
      <c r="F1116" s="21" t="s">
        <v>165</v>
      </c>
      <c r="G1116" s="19" t="s">
        <v>3192</v>
      </c>
      <c r="H1116" s="19" t="s">
        <v>3198</v>
      </c>
      <c r="I1116" s="19" t="s">
        <v>3198</v>
      </c>
      <c r="J1116" s="19" t="s"/>
    </row>
    <row r="1117" spans="1:10" ht="43.2">
      <c r="A1117" s="17" t="s">
        <v>163</v>
      </c>
      <c r="B1117" s="20">
        <v>85</v>
      </c>
      <c r="C1117" s="22">
        <v>852</v>
      </c>
      <c r="D1117" s="22">
        <v>8520</v>
      </c>
      <c r="E1117" s="18" t="s">
        <v>164</v>
      </c>
      <c r="F1117" s="21" t="s">
        <v>165</v>
      </c>
      <c r="G1117" s="19" t="s">
        <v>3199</v>
      </c>
      <c r="H1117" s="19" t="s">
        <v>3199</v>
      </c>
      <c r="I1117" s="19" t="s">
        <v>3199</v>
      </c>
      <c r="J1117" s="19" t="s">
        <v>3200</v>
      </c>
    </row>
    <row r="1118" spans="1:10" ht="43.2">
      <c r="A1118" s="17" t="s">
        <v>163</v>
      </c>
      <c r="B1118" s="20">
        <v>85</v>
      </c>
      <c r="C1118" s="22">
        <v>853</v>
      </c>
      <c r="D1118" s="22">
        <v>8530</v>
      </c>
      <c r="E1118" s="18" t="s">
        <v>164</v>
      </c>
      <c r="F1118" s="21" t="s">
        <v>165</v>
      </c>
      <c r="G1118" s="19" t="s">
        <v>3201</v>
      </c>
      <c r="H1118" s="19" t="s">
        <v>3201</v>
      </c>
      <c r="I1118" s="19" t="s">
        <v>3201</v>
      </c>
      <c r="J1118" s="19" t="s">
        <v>3202</v>
      </c>
    </row>
    <row r="1119" spans="1:10" ht="43.2">
      <c r="A1119" s="17" t="s">
        <v>163</v>
      </c>
      <c r="B1119" s="20">
        <v>85</v>
      </c>
      <c r="C1119" s="22">
        <v>854</v>
      </c>
      <c r="D1119" s="22">
        <v>8540</v>
      </c>
      <c r="E1119" s="18" t="s">
        <v>164</v>
      </c>
      <c r="F1119" s="21" t="s">
        <v>165</v>
      </c>
      <c r="G1119" s="19" t="s">
        <v>3203</v>
      </c>
      <c r="H1119" s="19" t="s">
        <v>3203</v>
      </c>
      <c r="I1119" s="19" t="s">
        <v>3203</v>
      </c>
      <c r="J1119" s="19" t="s">
        <v>3204</v>
      </c>
    </row>
    <row r="1120" spans="1:10" ht="43.2">
      <c r="A1120" s="17" t="s">
        <v>163</v>
      </c>
      <c r="B1120" s="20">
        <v>85</v>
      </c>
      <c r="C1120" s="22">
        <v>855</v>
      </c>
      <c r="D1120" s="22">
        <v>8550</v>
      </c>
      <c r="E1120" s="18" t="s">
        <v>164</v>
      </c>
      <c r="F1120" s="21" t="s">
        <v>165</v>
      </c>
      <c r="G1120" s="19" t="s">
        <v>3205</v>
      </c>
      <c r="H1120" s="19" t="s">
        <v>3205</v>
      </c>
      <c r="I1120" s="19" t="s">
        <v>3205</v>
      </c>
      <c r="J1120" s="19" t="s">
        <v>3206</v>
      </c>
    </row>
    <row r="1121" spans="1:10" ht="43.2">
      <c r="A1121" s="17" t="s">
        <v>163</v>
      </c>
      <c r="B1121" s="20">
        <v>85</v>
      </c>
      <c r="C1121" s="22">
        <v>856</v>
      </c>
      <c r="D1121" s="22">
        <v>8560</v>
      </c>
      <c r="E1121" s="18" t="s">
        <v>164</v>
      </c>
      <c r="F1121" s="21" t="s">
        <v>165</v>
      </c>
      <c r="G1121" s="19" t="s">
        <v>3207</v>
      </c>
      <c r="H1121" s="19" t="s">
        <v>3207</v>
      </c>
      <c r="I1121" s="19" t="s">
        <v>3207</v>
      </c>
      <c r="J1121" s="19" t="s">
        <v>3208</v>
      </c>
    </row>
    <row r="1122" spans="1:10" ht="43.2">
      <c r="A1122" s="17" t="s">
        <v>163</v>
      </c>
      <c r="B1122" s="20">
        <v>85</v>
      </c>
      <c r="C1122" s="22">
        <v>857</v>
      </c>
      <c r="D1122" s="22">
        <v>8570</v>
      </c>
      <c r="E1122" s="18" t="s">
        <v>164</v>
      </c>
      <c r="F1122" s="21" t="s">
        <v>165</v>
      </c>
      <c r="G1122" s="19" t="s">
        <v>3209</v>
      </c>
      <c r="H1122" s="19" t="s">
        <v>3209</v>
      </c>
      <c r="I1122" s="19" t="s">
        <v>3209</v>
      </c>
      <c r="J1122" s="19" t="s">
        <v>51</v>
      </c>
    </row>
    <row r="1123" spans="1:10" ht="43.2">
      <c r="A1123" s="17" t="s">
        <v>163</v>
      </c>
      <c r="B1123" s="20">
        <v>85</v>
      </c>
      <c r="C1123" s="22">
        <v>859</v>
      </c>
      <c r="D1123" s="22">
        <v>8590</v>
      </c>
      <c r="E1123" s="18" t="s">
        <v>164</v>
      </c>
      <c r="F1123" s="21" t="s">
        <v>165</v>
      </c>
      <c r="G1123" s="19" t="s">
        <v>3210</v>
      </c>
      <c r="H1123" s="19" t="s">
        <v>3210</v>
      </c>
      <c r="I1123" s="19" t="s">
        <v>3210</v>
      </c>
      <c r="J1123" s="19" t="s">
        <v>3211</v>
      </c>
    </row>
    <row r="1124" spans="1:10" ht="43.2">
      <c r="A1124" s="17" t="s">
        <v>163</v>
      </c>
      <c r="B1124" s="20">
        <v>86</v>
      </c>
      <c r="C1124" s="22" t="s"/>
      <c r="D1124" s="22" t="s"/>
      <c r="E1124" s="18" t="s">
        <v>164</v>
      </c>
      <c r="F1124" s="21" t="s">
        <v>166</v>
      </c>
      <c r="G1124" s="22" t="s"/>
      <c r="H1124" s="29" t="s"/>
      <c r="I1124" s="21" t="s">
        <v>166</v>
      </c>
      <c r="J1124" s="27" t="s"/>
    </row>
    <row r="1125" spans="1:10" ht="43.2">
      <c r="A1125" s="17" t="s">
        <v>163</v>
      </c>
      <c r="B1125" s="20">
        <v>86</v>
      </c>
      <c r="C1125" s="22">
        <v>860</v>
      </c>
      <c r="D1125" s="22">
        <v>8600</v>
      </c>
      <c r="E1125" s="18" t="s">
        <v>164</v>
      </c>
      <c r="F1125" s="21" t="s">
        <v>166</v>
      </c>
      <c r="G1125" s="19" t="s">
        <v>3212</v>
      </c>
      <c r="H1125" s="19" t="s">
        <v>3212</v>
      </c>
      <c r="I1125" s="19" t="s">
        <v>3212</v>
      </c>
      <c r="J1125" s="19" t="s">
        <v>3213</v>
      </c>
    </row>
    <row r="1126" spans="1:10" ht="43.2">
      <c r="A1126" s="17" t="s">
        <v>163</v>
      </c>
      <c r="B1126" s="20">
        <v>87</v>
      </c>
      <c r="C1126" s="31" t="s"/>
      <c r="D1126" s="31" t="s"/>
      <c r="E1126" s="18" t="s">
        <v>164</v>
      </c>
      <c r="F1126" s="21" t="s">
        <v>167</v>
      </c>
      <c r="G1126" s="31" t="s"/>
      <c r="H1126" s="29" t="s"/>
      <c r="I1126" s="21" t="s">
        <v>167</v>
      </c>
      <c r="J1126" s="19" t="s"/>
    </row>
    <row r="1127" spans="1:10" ht="43.2">
      <c r="A1127" s="17" t="s">
        <v>163</v>
      </c>
      <c r="B1127" s="20">
        <v>87</v>
      </c>
      <c r="C1127" s="22">
        <v>871</v>
      </c>
      <c r="D1127" s="22" t="s"/>
      <c r="E1127" s="18" t="s">
        <v>164</v>
      </c>
      <c r="F1127" s="21" t="s">
        <v>167</v>
      </c>
      <c r="G1127" s="19" t="s">
        <v>3214</v>
      </c>
      <c r="H1127" s="29" t="s"/>
      <c r="I1127" s="19" t="s">
        <v>3214</v>
      </c>
      <c r="J1127" s="19" t="s">
        <v>3215</v>
      </c>
    </row>
    <row r="1128" spans="1:10" ht="43.2">
      <c r="A1128" s="17" t="s">
        <v>163</v>
      </c>
      <c r="B1128" s="20">
        <v>87</v>
      </c>
      <c r="C1128" s="22">
        <v>871</v>
      </c>
      <c r="D1128" s="22">
        <v>8711</v>
      </c>
      <c r="E1128" s="18" t="s">
        <v>164</v>
      </c>
      <c r="F1128" s="21" t="s">
        <v>167</v>
      </c>
      <c r="G1128" s="19" t="s">
        <v>3214</v>
      </c>
      <c r="H1128" s="19" t="s">
        <v>3216</v>
      </c>
      <c r="I1128" s="19" t="s">
        <v>3216</v>
      </c>
      <c r="J1128" s="19" t="s"/>
    </row>
    <row r="1129" spans="1:10" ht="43.2">
      <c r="A1129" s="17" t="s">
        <v>163</v>
      </c>
      <c r="B1129" s="20">
        <v>87</v>
      </c>
      <c r="C1129" s="22">
        <v>871</v>
      </c>
      <c r="D1129" s="22">
        <v>8712</v>
      </c>
      <c r="E1129" s="18" t="s">
        <v>164</v>
      </c>
      <c r="F1129" s="21" t="s">
        <v>167</v>
      </c>
      <c r="G1129" s="19" t="s">
        <v>3214</v>
      </c>
      <c r="H1129" s="19" t="s">
        <v>3217</v>
      </c>
      <c r="I1129" s="19" t="s">
        <v>3217</v>
      </c>
      <c r="J1129" s="19" t="s">
        <v>3218</v>
      </c>
    </row>
    <row r="1130" spans="1:10" ht="43.2">
      <c r="A1130" s="17" t="s">
        <v>163</v>
      </c>
      <c r="B1130" s="20">
        <v>87</v>
      </c>
      <c r="C1130" s="22">
        <v>872</v>
      </c>
      <c r="D1130" s="22">
        <v>8720</v>
      </c>
      <c r="E1130" s="18" t="s">
        <v>164</v>
      </c>
      <c r="F1130" s="21" t="s">
        <v>167</v>
      </c>
      <c r="G1130" s="19" t="s">
        <v>3219</v>
      </c>
      <c r="H1130" s="19" t="s">
        <v>3219</v>
      </c>
      <c r="I1130" s="19" t="s">
        <v>3219</v>
      </c>
      <c r="J1130" s="19" t="s">
        <v>3220</v>
      </c>
    </row>
    <row r="1131" spans="1:10" ht="28.8">
      <c r="A1131" s="17" t="s">
        <v>168</v>
      </c>
      <c r="B1131" s="17" t="s"/>
      <c r="C1131" s="17" t="s"/>
      <c r="D1131" s="17" t="s"/>
      <c r="E1131" s="18" t="s">
        <v>169</v>
      </c>
      <c r="F1131" s="17" t="s"/>
      <c r="G1131" s="17" t="s"/>
      <c r="H1131" s="29" t="s"/>
      <c r="I1131" s="18" t="s">
        <v>169</v>
      </c>
      <c r="J1131" s="19" t="s">
        <v>3221</v>
      </c>
    </row>
    <row r="1132" spans="1:10" ht="28.8">
      <c r="A1132" s="17" t="s">
        <v>168</v>
      </c>
      <c r="B1132" s="20">
        <v>88</v>
      </c>
      <c r="C1132" s="22" t="s"/>
      <c r="D1132" s="22" t="s"/>
      <c r="E1132" s="18" t="s">
        <v>169</v>
      </c>
      <c r="F1132" s="22" t="s"/>
      <c r="G1132" s="22" t="s"/>
      <c r="H1132" s="21" t="s">
        <v>170</v>
      </c>
      <c r="I1132" s="21" t="s">
        <v>170</v>
      </c>
      <c r="J1132" s="19" t="s"/>
    </row>
    <row r="1133" spans="1:10" ht="28.8">
      <c r="A1133" s="17" t="s">
        <v>168</v>
      </c>
      <c r="B1133" s="20">
        <v>88</v>
      </c>
      <c r="C1133" s="22">
        <v>881</v>
      </c>
      <c r="D1133" s="22">
        <v>8810</v>
      </c>
      <c r="E1133" s="18" t="s">
        <v>169</v>
      </c>
      <c r="F1133" s="22" t="s"/>
      <c r="G1133" s="22" t="s"/>
      <c r="H1133" s="19" t="s">
        <v>3222</v>
      </c>
      <c r="I1133" s="19" t="s">
        <v>3222</v>
      </c>
      <c r="J1133" s="19" t="s"/>
    </row>
    <row r="1134" spans="1:10" ht="28.8">
      <c r="A1134" s="17" t="s">
        <v>168</v>
      </c>
      <c r="B1134" s="20">
        <v>88</v>
      </c>
      <c r="C1134" s="22">
        <v>882</v>
      </c>
      <c r="D1134" s="22" t="s"/>
      <c r="E1134" s="18" t="s">
        <v>169</v>
      </c>
      <c r="F1134" s="22" t="s"/>
      <c r="G1134" s="22" t="s"/>
      <c r="H1134" s="19" t="s">
        <v>3223</v>
      </c>
      <c r="I1134" s="19" t="s">
        <v>3223</v>
      </c>
      <c r="J1134" s="19" t="s">
        <v>51</v>
      </c>
    </row>
    <row r="1135" spans="1:10" ht="28.8">
      <c r="A1135" s="17" t="s">
        <v>168</v>
      </c>
      <c r="B1135" s="20">
        <v>88</v>
      </c>
      <c r="C1135" s="22">
        <v>882</v>
      </c>
      <c r="D1135" s="22">
        <v>8821</v>
      </c>
      <c r="E1135" s="18" t="s">
        <v>169</v>
      </c>
      <c r="F1135" s="22" t="s"/>
      <c r="G1135" s="22" t="s"/>
      <c r="H1135" s="19" t="s">
        <v>3224</v>
      </c>
      <c r="I1135" s="19" t="s">
        <v>3224</v>
      </c>
      <c r="J1135" s="19" t="s"/>
    </row>
    <row r="1136" spans="1:10" ht="28.8">
      <c r="A1136" s="17" t="s">
        <v>168</v>
      </c>
      <c r="B1136" s="20">
        <v>88</v>
      </c>
      <c r="C1136" s="22">
        <v>882</v>
      </c>
      <c r="D1136" s="22">
        <v>8822</v>
      </c>
      <c r="E1136" s="18" t="s">
        <v>169</v>
      </c>
      <c r="F1136" s="22" t="s"/>
      <c r="G1136" s="22" t="s"/>
      <c r="H1136" s="19" t="s">
        <v>3225</v>
      </c>
      <c r="I1136" s="19" t="s">
        <v>3225</v>
      </c>
      <c r="J1136" s="19" t="s"/>
    </row>
    <row r="1137" spans="1:10" ht="28.8">
      <c r="A1137" s="17" t="s">
        <v>168</v>
      </c>
      <c r="B1137" s="20">
        <v>88</v>
      </c>
      <c r="C1137" s="22">
        <v>882</v>
      </c>
      <c r="D1137" s="22">
        <v>8823</v>
      </c>
      <c r="E1137" s="18" t="s">
        <v>169</v>
      </c>
      <c r="F1137" s="22" t="s"/>
      <c r="G1137" s="22" t="s"/>
      <c r="H1137" s="19" t="s">
        <v>3226</v>
      </c>
      <c r="I1137" s="19" t="s">
        <v>3226</v>
      </c>
      <c r="J1137" s="19" t="s"/>
    </row>
    <row r="1138" spans="1:10" ht="28.8">
      <c r="A1138" s="17" t="s">
        <v>168</v>
      </c>
      <c r="B1138" s="20">
        <v>88</v>
      </c>
      <c r="C1138" s="22">
        <v>882</v>
      </c>
      <c r="D1138" s="22">
        <v>8824</v>
      </c>
      <c r="E1138" s="18" t="s">
        <v>169</v>
      </c>
      <c r="F1138" s="22" t="s"/>
      <c r="G1138" s="22" t="s"/>
      <c r="H1138" s="19" t="s">
        <v>3227</v>
      </c>
      <c r="I1138" s="19" t="s">
        <v>3227</v>
      </c>
      <c r="J1138" s="19" t="s"/>
    </row>
    <row r="1139" spans="1:10" ht="28.8">
      <c r="A1139" s="17" t="s">
        <v>168</v>
      </c>
      <c r="B1139" s="20">
        <v>88</v>
      </c>
      <c r="C1139" s="22">
        <v>882</v>
      </c>
      <c r="D1139" s="22">
        <v>8825</v>
      </c>
      <c r="E1139" s="18" t="s">
        <v>169</v>
      </c>
      <c r="F1139" s="22" t="s"/>
      <c r="G1139" s="22" t="s"/>
      <c r="H1139" s="19" t="s">
        <v>3228</v>
      </c>
      <c r="I1139" s="19" t="s">
        <v>3228</v>
      </c>
      <c r="J1139" s="19" t="s"/>
    </row>
    <row r="1140" spans="1:10" ht="28.8">
      <c r="A1140" s="17" t="s">
        <v>168</v>
      </c>
      <c r="B1140" s="20">
        <v>88</v>
      </c>
      <c r="C1140" s="22">
        <v>882</v>
      </c>
      <c r="D1140" s="22">
        <v>8829</v>
      </c>
      <c r="E1140" s="18" t="s">
        <v>169</v>
      </c>
      <c r="F1140" s="22" t="s"/>
      <c r="G1140" s="22" t="s"/>
      <c r="H1140" s="19" t="s">
        <v>3229</v>
      </c>
      <c r="I1140" s="19" t="s">
        <v>3229</v>
      </c>
      <c r="J1140" s="19" t="s"/>
    </row>
    <row r="1141" spans="1:10" ht="32.4">
      <c r="A1141" s="17" t="s">
        <v>168</v>
      </c>
      <c r="B1141" s="20">
        <v>89</v>
      </c>
      <c r="C1141" s="22" t="s"/>
      <c r="D1141" s="22" t="s"/>
      <c r="E1141" s="18" t="s">
        <v>169</v>
      </c>
      <c r="F1141" s="21" t="s">
        <v>171</v>
      </c>
      <c r="G1141" s="22" t="s"/>
      <c r="H1141" s="29" t="s"/>
      <c r="I1141" s="21" t="s">
        <v>171</v>
      </c>
      <c r="J1141" s="19" t="s">
        <v>3230</v>
      </c>
    </row>
    <row r="1142" spans="1:10" ht="32.4">
      <c r="A1142" s="17" t="s">
        <v>168</v>
      </c>
      <c r="B1142" s="20">
        <v>89</v>
      </c>
      <c r="C1142" s="22">
        <v>891</v>
      </c>
      <c r="D1142" s="22">
        <v>8910</v>
      </c>
      <c r="E1142" s="18" t="s">
        <v>169</v>
      </c>
      <c r="F1142" s="21" t="s">
        <v>171</v>
      </c>
      <c r="G1142" s="19" t="s">
        <v>3231</v>
      </c>
      <c r="H1142" s="19" t="s">
        <v>3231</v>
      </c>
      <c r="I1142" s="19" t="s">
        <v>3231</v>
      </c>
      <c r="J1142" s="19" t="s">
        <v>3232</v>
      </c>
    </row>
    <row r="1143" spans="1:10" ht="32.4">
      <c r="A1143" s="17" t="s">
        <v>168</v>
      </c>
      <c r="B1143" s="20">
        <v>89</v>
      </c>
      <c r="C1143" s="22">
        <v>892</v>
      </c>
      <c r="D1143" s="22">
        <v>8920</v>
      </c>
      <c r="E1143" s="18" t="s">
        <v>169</v>
      </c>
      <c r="F1143" s="21" t="s">
        <v>171</v>
      </c>
      <c r="G1143" s="19" t="s">
        <v>3233</v>
      </c>
      <c r="H1143" s="19" t="s">
        <v>3233</v>
      </c>
      <c r="I1143" s="19" t="s">
        <v>3233</v>
      </c>
      <c r="J1143" s="19" t="s">
        <v>3234</v>
      </c>
    </row>
    <row r="1144" spans="1:10" ht="32.4">
      <c r="A1144" s="17" t="s">
        <v>168</v>
      </c>
      <c r="B1144" s="20">
        <v>89</v>
      </c>
      <c r="C1144" s="22">
        <v>893</v>
      </c>
      <c r="D1144" s="22" t="s"/>
      <c r="E1144" s="18" t="s">
        <v>169</v>
      </c>
      <c r="F1144" s="21" t="s">
        <v>171</v>
      </c>
      <c r="G1144" s="19" t="s">
        <v>3235</v>
      </c>
      <c r="H1144" s="29" t="s"/>
      <c r="I1144" s="19" t="s">
        <v>3235</v>
      </c>
      <c r="J1144" s="19" t="s">
        <v>3236</v>
      </c>
    </row>
    <row r="1145" spans="1:10" ht="32.4">
      <c r="A1145" s="17" t="s">
        <v>168</v>
      </c>
      <c r="B1145" s="20">
        <v>89</v>
      </c>
      <c r="C1145" s="22">
        <v>893</v>
      </c>
      <c r="D1145" s="22">
        <v>8931</v>
      </c>
      <c r="E1145" s="18" t="s">
        <v>169</v>
      </c>
      <c r="F1145" s="21" t="s">
        <v>171</v>
      </c>
      <c r="G1145" s="19" t="s">
        <v>3235</v>
      </c>
      <c r="H1145" s="19" t="s">
        <v>3237</v>
      </c>
      <c r="I1145" s="19" t="s">
        <v>3237</v>
      </c>
      <c r="J1145" s="19" t="s">
        <v>3238</v>
      </c>
    </row>
    <row r="1146" spans="1:10" ht="32.4">
      <c r="A1146" s="17" t="s">
        <v>168</v>
      </c>
      <c r="B1146" s="20">
        <v>89</v>
      </c>
      <c r="C1146" s="22">
        <v>893</v>
      </c>
      <c r="D1146" s="22">
        <v>8932</v>
      </c>
      <c r="E1146" s="18" t="s">
        <v>169</v>
      </c>
      <c r="F1146" s="21" t="s">
        <v>171</v>
      </c>
      <c r="G1146" s="19" t="s">
        <v>3235</v>
      </c>
      <c r="H1146" s="19" t="s">
        <v>3239</v>
      </c>
      <c r="I1146" s="19" t="s">
        <v>3239</v>
      </c>
      <c r="J1146" s="19" t="s">
        <v>3240</v>
      </c>
    </row>
    <row r="1147" spans="1:10" ht="33.6">
      <c r="A1147" s="17" t="s">
        <v>168</v>
      </c>
      <c r="B1147" s="20">
        <v>89</v>
      </c>
      <c r="C1147" s="22">
        <v>894</v>
      </c>
      <c r="D1147" s="22">
        <v>8940</v>
      </c>
      <c r="E1147" s="18" t="s">
        <v>169</v>
      </c>
      <c r="F1147" s="21" t="s">
        <v>171</v>
      </c>
      <c r="G1147" s="19" t="s">
        <v>3241</v>
      </c>
      <c r="H1147" s="19" t="s">
        <v>3241</v>
      </c>
      <c r="I1147" s="19" t="s">
        <v>3241</v>
      </c>
      <c r="J1147" s="19" t="s">
        <v>3242</v>
      </c>
    </row>
    <row r="1148" spans="1:10" ht="28.8">
      <c r="A1148" s="17" t="s">
        <v>168</v>
      </c>
      <c r="B1148" s="20">
        <v>90</v>
      </c>
      <c r="C1148" s="22" t="s"/>
      <c r="D1148" s="22" t="s"/>
      <c r="E1148" s="18" t="s">
        <v>169</v>
      </c>
      <c r="F1148" s="21" t="s">
        <v>172</v>
      </c>
      <c r="G1148" s="22" t="s"/>
      <c r="H1148" s="29" t="s"/>
      <c r="I1148" s="21" t="s">
        <v>172</v>
      </c>
      <c r="J1148" s="19" t="s"/>
    </row>
    <row r="1149" spans="1:10" ht="28.8">
      <c r="A1149" s="17" t="s">
        <v>168</v>
      </c>
      <c r="B1149" s="20">
        <v>90</v>
      </c>
      <c r="C1149" s="22">
        <v>901</v>
      </c>
      <c r="D1149" s="22">
        <v>9010</v>
      </c>
      <c r="E1149" s="18" t="s">
        <v>169</v>
      </c>
      <c r="F1149" s="21" t="s">
        <v>172</v>
      </c>
      <c r="G1149" s="19" t="s">
        <v>3243</v>
      </c>
      <c r="H1149" s="19" t="s">
        <v>3243</v>
      </c>
      <c r="I1149" s="19" t="s">
        <v>3243</v>
      </c>
      <c r="J1149" s="19" t="s">
        <v>3244</v>
      </c>
    </row>
    <row r="1150" spans="1:10" ht="28.8">
      <c r="A1150" s="17" t="s">
        <v>168</v>
      </c>
      <c r="B1150" s="20">
        <v>90</v>
      </c>
      <c r="C1150" s="22">
        <v>902</v>
      </c>
      <c r="D1150" s="22">
        <v>9020</v>
      </c>
      <c r="E1150" s="18" t="s">
        <v>169</v>
      </c>
      <c r="F1150" s="21" t="s">
        <v>172</v>
      </c>
      <c r="G1150" s="19" t="s">
        <v>3245</v>
      </c>
      <c r="H1150" s="19" t="s">
        <v>3245</v>
      </c>
      <c r="I1150" s="19" t="s">
        <v>3245</v>
      </c>
      <c r="J1150" s="19" t="s">
        <v>3246</v>
      </c>
    </row>
    <row r="1151" spans="1:10" ht="28.8">
      <c r="A1151" s="17" t="s">
        <v>168</v>
      </c>
      <c r="B1151" s="20">
        <v>90</v>
      </c>
      <c r="C1151" s="22">
        <v>903</v>
      </c>
      <c r="D1151" s="22" t="s">
        <v>51</v>
      </c>
      <c r="E1151" s="18" t="s">
        <v>169</v>
      </c>
      <c r="F1151" s="21" t="s">
        <v>172</v>
      </c>
      <c r="G1151" s="19" t="s">
        <v>3247</v>
      </c>
      <c r="H1151" s="29" t="s"/>
      <c r="I1151" s="19" t="s">
        <v>3247</v>
      </c>
      <c r="J1151" s="19" t="s"/>
    </row>
    <row r="1152" spans="1:10" ht="28.8">
      <c r="A1152" s="17" t="s">
        <v>168</v>
      </c>
      <c r="B1152" s="20">
        <v>90</v>
      </c>
      <c r="C1152" s="22">
        <v>903</v>
      </c>
      <c r="D1152" s="22">
        <v>9031</v>
      </c>
      <c r="E1152" s="18" t="s">
        <v>169</v>
      </c>
      <c r="F1152" s="21" t="s">
        <v>172</v>
      </c>
      <c r="G1152" s="19" t="s">
        <v>3247</v>
      </c>
      <c r="H1152" s="19" t="s">
        <v>3248</v>
      </c>
      <c r="I1152" s="19" t="s">
        <v>3248</v>
      </c>
      <c r="J1152" s="19" t="s"/>
    </row>
    <row r="1153" spans="1:10" ht="28.8">
      <c r="A1153" s="17" t="s">
        <v>168</v>
      </c>
      <c r="B1153" s="20">
        <v>90</v>
      </c>
      <c r="C1153" s="22">
        <v>903</v>
      </c>
      <c r="D1153" s="22">
        <v>9032</v>
      </c>
      <c r="E1153" s="18" t="s">
        <v>169</v>
      </c>
      <c r="F1153" s="21" t="s">
        <v>172</v>
      </c>
      <c r="G1153" s="19" t="s">
        <v>3247</v>
      </c>
      <c r="H1153" s="19" t="s">
        <v>3249</v>
      </c>
      <c r="I1153" s="19" t="s">
        <v>3249</v>
      </c>
      <c r="J1153" s="19" t="s"/>
    </row>
    <row r="1154" spans="1:10" ht="33.6">
      <c r="A1154" s="17" t="s">
        <v>168</v>
      </c>
      <c r="B1154" s="20">
        <v>90</v>
      </c>
      <c r="C1154" s="22">
        <v>904</v>
      </c>
      <c r="D1154" s="22">
        <v>9040</v>
      </c>
      <c r="E1154" s="18" t="s">
        <v>169</v>
      </c>
      <c r="F1154" s="21" t="s">
        <v>172</v>
      </c>
      <c r="G1154" s="19" t="s">
        <v>3250</v>
      </c>
      <c r="H1154" s="19" t="s">
        <v>3250</v>
      </c>
      <c r="I1154" s="19" t="s">
        <v>3250</v>
      </c>
      <c r="J1154" s="19" t="s">
        <v>3251</v>
      </c>
    </row>
    <row r="1155" spans="1:10" ht="33.6">
      <c r="A1155" s="17" t="s">
        <v>168</v>
      </c>
      <c r="B1155" s="20">
        <v>90</v>
      </c>
      <c r="C1155" s="22">
        <v>905</v>
      </c>
      <c r="D1155" s="22">
        <v>9050</v>
      </c>
      <c r="E1155" s="18" t="s">
        <v>169</v>
      </c>
      <c r="F1155" s="21" t="s">
        <v>172</v>
      </c>
      <c r="G1155" s="19" t="s">
        <v>3252</v>
      </c>
      <c r="H1155" s="19" t="s">
        <v>3252</v>
      </c>
      <c r="I1155" s="19" t="s">
        <v>3252</v>
      </c>
      <c r="J1155" s="19" t="s">
        <v>3253</v>
      </c>
    </row>
    <row r="1156" spans="1:10" ht="28.8">
      <c r="A1156" s="17" t="s">
        <v>168</v>
      </c>
      <c r="B1156" s="20">
        <v>90</v>
      </c>
      <c r="C1156" s="22">
        <v>906</v>
      </c>
      <c r="D1156" s="22">
        <v>9060</v>
      </c>
      <c r="E1156" s="18" t="s">
        <v>169</v>
      </c>
      <c r="F1156" s="21" t="s">
        <v>172</v>
      </c>
      <c r="G1156" s="19" t="s">
        <v>3254</v>
      </c>
      <c r="H1156" s="19" t="s">
        <v>3254</v>
      </c>
      <c r="I1156" s="19" t="s">
        <v>3254</v>
      </c>
      <c r="J1156" s="19" t="s">
        <v>62</v>
      </c>
    </row>
    <row r="1157" spans="1:10" ht="28.8">
      <c r="A1157" s="17" t="s">
        <v>168</v>
      </c>
      <c r="B1157" s="20">
        <v>90</v>
      </c>
      <c r="C1157" s="22">
        <v>907</v>
      </c>
      <c r="D1157" s="22">
        <v>9070</v>
      </c>
      <c r="E1157" s="18" t="s">
        <v>169</v>
      </c>
      <c r="F1157" s="21" t="s">
        <v>172</v>
      </c>
      <c r="G1157" s="19" t="s">
        <v>3255</v>
      </c>
      <c r="H1157" s="19" t="s">
        <v>3255</v>
      </c>
      <c r="I1157" s="19" t="s">
        <v>3255</v>
      </c>
      <c r="J1157" s="19" t="s">
        <v>3256</v>
      </c>
    </row>
    <row r="1158" spans="1:10" ht="28.8">
      <c r="A1158" s="17" t="s">
        <v>168</v>
      </c>
      <c r="B1158" s="20">
        <v>90</v>
      </c>
      <c r="C1158" s="22">
        <v>908</v>
      </c>
      <c r="D1158" s="22">
        <v>9080</v>
      </c>
      <c r="E1158" s="18" t="s">
        <v>169</v>
      </c>
      <c r="F1158" s="21" t="s">
        <v>172</v>
      </c>
      <c r="G1158" s="19" t="s">
        <v>3257</v>
      </c>
      <c r="H1158" s="19" t="s">
        <v>3257</v>
      </c>
      <c r="I1158" s="19" t="s">
        <v>3257</v>
      </c>
      <c r="J1158" s="19" t="s">
        <v>51</v>
      </c>
    </row>
    <row r="1159" spans="1:10" ht="28.8">
      <c r="A1159" s="17" t="s">
        <v>168</v>
      </c>
      <c r="B1159" s="20">
        <v>90</v>
      </c>
      <c r="C1159" s="22">
        <v>909</v>
      </c>
      <c r="D1159" s="22">
        <v>9090</v>
      </c>
      <c r="E1159" s="18" t="s">
        <v>169</v>
      </c>
      <c r="F1159" s="21" t="s">
        <v>172</v>
      </c>
      <c r="G1159" s="19" t="s">
        <v>3258</v>
      </c>
      <c r="H1159" s="19" t="s">
        <v>3258</v>
      </c>
      <c r="I1159" s="19" t="s">
        <v>3258</v>
      </c>
      <c r="J1159" s="19" t="s"/>
    </row>
    <row r="1160" spans="1:10" ht="28.8">
      <c r="A1160" s="17" t="s">
        <v>168</v>
      </c>
      <c r="B1160" s="20">
        <v>91</v>
      </c>
      <c r="C1160" s="22" t="s"/>
      <c r="D1160" s="22" t="s"/>
      <c r="E1160" s="18" t="s">
        <v>169</v>
      </c>
      <c r="F1160" s="21" t="s">
        <v>173</v>
      </c>
      <c r="G1160" s="22" t="s"/>
      <c r="H1160" s="29" t="s"/>
      <c r="I1160" s="21" t="s">
        <v>173</v>
      </c>
      <c r="J1160" s="19" t="s"/>
    </row>
    <row r="1161" spans="1:10" ht="28.8">
      <c r="A1161" s="17" t="s">
        <v>168</v>
      </c>
      <c r="B1161" s="20">
        <v>91</v>
      </c>
      <c r="C1161" s="22">
        <v>911</v>
      </c>
      <c r="D1161" s="22">
        <v>9110</v>
      </c>
      <c r="E1161" s="18" t="s">
        <v>169</v>
      </c>
      <c r="F1161" s="21" t="s">
        <v>173</v>
      </c>
      <c r="G1161" s="19" t="s">
        <v>3259</v>
      </c>
      <c r="H1161" s="19" t="s">
        <v>3259</v>
      </c>
      <c r="I1161" s="19" t="s">
        <v>3259</v>
      </c>
      <c r="J1161" s="19" t="s">
        <v>3260</v>
      </c>
    </row>
    <row r="1162" spans="1:10" ht="28.8">
      <c r="A1162" s="17" t="s">
        <v>168</v>
      </c>
      <c r="B1162" s="20">
        <v>91</v>
      </c>
      <c r="C1162" s="22">
        <v>912</v>
      </c>
      <c r="D1162" s="22">
        <v>9120</v>
      </c>
      <c r="E1162" s="18" t="s">
        <v>169</v>
      </c>
      <c r="F1162" s="21" t="s">
        <v>173</v>
      </c>
      <c r="G1162" s="19" t="s">
        <v>3261</v>
      </c>
      <c r="H1162" s="19" t="s">
        <v>3261</v>
      </c>
      <c r="I1162" s="19" t="s">
        <v>3261</v>
      </c>
      <c r="J1162" s="19" t="s">
        <v>3262</v>
      </c>
    </row>
    <row r="1163" spans="1:10" ht="28.8">
      <c r="A1163" s="17" t="s">
        <v>168</v>
      </c>
      <c r="B1163" s="20">
        <v>91</v>
      </c>
      <c r="C1163" s="22">
        <v>919</v>
      </c>
      <c r="D1163" s="22">
        <v>9190</v>
      </c>
      <c r="E1163" s="18" t="s">
        <v>169</v>
      </c>
      <c r="F1163" s="21" t="s">
        <v>173</v>
      </c>
      <c r="G1163" s="19" t="s">
        <v>3263</v>
      </c>
      <c r="H1163" s="19" t="s">
        <v>3263</v>
      </c>
      <c r="I1163" s="19" t="s">
        <v>3263</v>
      </c>
      <c r="J1163" s="19" t="s">
        <v>3264</v>
      </c>
    </row>
    <row r="1164" spans="1:10" ht="28.8">
      <c r="A1164" s="17" t="s">
        <v>168</v>
      </c>
      <c r="B1164" s="20">
        <v>92</v>
      </c>
      <c r="C1164" s="22" t="s"/>
      <c r="D1164" s="22" t="s"/>
      <c r="E1164" s="18" t="s">
        <v>169</v>
      </c>
      <c r="F1164" s="21" t="s">
        <v>174</v>
      </c>
      <c r="G1164" s="22" t="s"/>
      <c r="H1164" s="29" t="s"/>
      <c r="I1164" s="21" t="s">
        <v>174</v>
      </c>
      <c r="J1164" s="19" t="s"/>
    </row>
    <row r="1165" spans="1:10" ht="28.8">
      <c r="A1165" s="17" t="s">
        <v>168</v>
      </c>
      <c r="B1165" s="20">
        <v>92</v>
      </c>
      <c r="C1165" s="22">
        <v>921</v>
      </c>
      <c r="D1165" s="22">
        <v>9210</v>
      </c>
      <c r="E1165" s="18" t="s">
        <v>169</v>
      </c>
      <c r="F1165" s="21" t="s">
        <v>174</v>
      </c>
      <c r="G1165" s="19" t="s">
        <v>3265</v>
      </c>
      <c r="H1165" s="19" t="s">
        <v>3265</v>
      </c>
      <c r="I1165" s="19" t="s">
        <v>3265</v>
      </c>
      <c r="J1165" s="19" t="s">
        <v>3266</v>
      </c>
    </row>
    <row r="1166" spans="1:10" ht="28.8">
      <c r="A1166" s="17" t="s">
        <v>168</v>
      </c>
      <c r="B1166" s="20">
        <v>92</v>
      </c>
      <c r="C1166" s="22">
        <v>922</v>
      </c>
      <c r="D1166" s="22">
        <v>9220</v>
      </c>
      <c r="E1166" s="18" t="s">
        <v>169</v>
      </c>
      <c r="F1166" s="21" t="s">
        <v>174</v>
      </c>
      <c r="G1166" s="19" t="s">
        <v>3267</v>
      </c>
      <c r="H1166" s="19" t="s">
        <v>3267</v>
      </c>
      <c r="I1166" s="19" t="s">
        <v>3267</v>
      </c>
      <c r="J1166" s="19" t="s">
        <v>3268</v>
      </c>
    </row>
    <row r="1167" spans="1:10" ht="28.8">
      <c r="A1167" s="17" t="s">
        <v>168</v>
      </c>
      <c r="B1167" s="20">
        <v>92</v>
      </c>
      <c r="C1167" s="22">
        <v>923</v>
      </c>
      <c r="D1167" s="22">
        <v>9230</v>
      </c>
      <c r="E1167" s="18" t="s">
        <v>169</v>
      </c>
      <c r="F1167" s="21" t="s">
        <v>174</v>
      </c>
      <c r="G1167" s="19" t="s">
        <v>3269</v>
      </c>
      <c r="H1167" s="19" t="s">
        <v>3269</v>
      </c>
      <c r="I1167" s="19" t="s">
        <v>3269</v>
      </c>
      <c r="J1167" s="19" t="s">
        <v>3270</v>
      </c>
    </row>
    <row r="1168" spans="1:10" ht="28.8">
      <c r="A1168" s="17" t="s">
        <v>168</v>
      </c>
      <c r="B1168" s="20">
        <v>92</v>
      </c>
      <c r="C1168" s="22">
        <v>929</v>
      </c>
      <c r="D1168" s="22">
        <v>9290</v>
      </c>
      <c r="E1168" s="18" t="s">
        <v>169</v>
      </c>
      <c r="F1168" s="21" t="s">
        <v>174</v>
      </c>
      <c r="G1168" s="19" t="s">
        <v>3271</v>
      </c>
      <c r="H1168" s="19" t="s">
        <v>3271</v>
      </c>
      <c r="I1168" s="19" t="s">
        <v>3271</v>
      </c>
      <c r="J1168" s="19" t="s">
        <v>3272</v>
      </c>
    </row>
    <row r="1169" spans="1:10" ht="28.8">
      <c r="A1169" s="17" t="s">
        <v>175</v>
      </c>
      <c r="B1169" s="17" t="s"/>
      <c r="C1169" s="17" t="s"/>
      <c r="D1169" s="17" t="s"/>
      <c r="E1169" s="18" t="s">
        <v>176</v>
      </c>
      <c r="F1169" s="17" t="s"/>
      <c r="G1169" s="17" t="s"/>
      <c r="H1169" s="29" t="s"/>
      <c r="I1169" s="18" t="s">
        <v>176</v>
      </c>
      <c r="J1169" s="19" t="s">
        <v>3273</v>
      </c>
    </row>
    <row r="1170" spans="1:10" ht="28.8">
      <c r="A1170" s="17" t="s">
        <v>175</v>
      </c>
      <c r="B1170" s="20">
        <v>93</v>
      </c>
      <c r="C1170" s="20" t="s">
        <v>51</v>
      </c>
      <c r="D1170" s="20" t="s">
        <v>51</v>
      </c>
      <c r="E1170" s="18" t="s">
        <v>176</v>
      </c>
      <c r="F1170" s="21" t="s">
        <v>177</v>
      </c>
      <c r="G1170" s="20" t="s"/>
      <c r="H1170" s="29" t="s"/>
      <c r="I1170" s="21" t="s">
        <v>177</v>
      </c>
      <c r="J1170" s="19" t="s"/>
    </row>
    <row r="1171" spans="1:10" ht="28.8">
      <c r="A1171" s="17" t="s">
        <v>175</v>
      </c>
      <c r="B1171" s="20">
        <v>93</v>
      </c>
      <c r="C1171" s="22">
        <v>930</v>
      </c>
      <c r="D1171" s="22">
        <v>9300</v>
      </c>
      <c r="E1171" s="18" t="s">
        <v>176</v>
      </c>
      <c r="F1171" s="21" t="s">
        <v>177</v>
      </c>
      <c r="G1171" s="19" t="s">
        <v>3274</v>
      </c>
      <c r="H1171" s="19" t="s">
        <v>3274</v>
      </c>
      <c r="I1171" s="19" t="s">
        <v>3274</v>
      </c>
      <c r="J1171" s="19" t="s"/>
    </row>
    <row r="1172" spans="1:10" ht="28.8">
      <c r="A1172" s="17" t="s">
        <v>175</v>
      </c>
      <c r="B1172" s="20">
        <v>94</v>
      </c>
      <c r="C1172" s="31" t="s"/>
      <c r="D1172" s="31" t="s"/>
      <c r="E1172" s="18" t="s">
        <v>176</v>
      </c>
      <c r="F1172" s="21" t="s">
        <v>178</v>
      </c>
      <c r="G1172" s="31" t="s"/>
      <c r="H1172" s="29" t="s"/>
      <c r="I1172" s="21" t="s">
        <v>178</v>
      </c>
      <c r="J1172" s="19" t="s">
        <v>3275</v>
      </c>
    </row>
    <row r="1173" spans="1:10" ht="28.8">
      <c r="A1173" s="17" t="s">
        <v>175</v>
      </c>
      <c r="B1173" s="20">
        <v>94</v>
      </c>
      <c r="C1173" s="22">
        <v>941</v>
      </c>
      <c r="D1173" s="22">
        <v>9410</v>
      </c>
      <c r="E1173" s="18" t="s">
        <v>176</v>
      </c>
      <c r="F1173" s="21" t="s">
        <v>178</v>
      </c>
      <c r="G1173" s="19" t="s">
        <v>3276</v>
      </c>
      <c r="H1173" s="19" t="s">
        <v>3276</v>
      </c>
      <c r="I1173" s="19" t="s">
        <v>3276</v>
      </c>
      <c r="J1173" s="19" t="s">
        <v>3277</v>
      </c>
    </row>
    <row r="1174" spans="1:10" ht="33.6">
      <c r="A1174" s="17" t="s">
        <v>175</v>
      </c>
      <c r="B1174" s="20">
        <v>94</v>
      </c>
      <c r="C1174" s="22">
        <v>942</v>
      </c>
      <c r="D1174" s="22" t="s"/>
      <c r="E1174" s="18" t="s">
        <v>176</v>
      </c>
      <c r="F1174" s="21" t="s">
        <v>178</v>
      </c>
      <c r="G1174" s="19" t="s">
        <v>3278</v>
      </c>
      <c r="H1174" s="29" t="s"/>
      <c r="I1174" s="19" t="s">
        <v>3278</v>
      </c>
      <c r="J1174" s="19" t="s">
        <v>3279</v>
      </c>
    </row>
    <row r="1175" spans="1:10" ht="28.8">
      <c r="A1175" s="17" t="s">
        <v>175</v>
      </c>
      <c r="B1175" s="20">
        <v>94</v>
      </c>
      <c r="C1175" s="22">
        <v>942</v>
      </c>
      <c r="D1175" s="22">
        <v>9421</v>
      </c>
      <c r="E1175" s="18" t="s">
        <v>176</v>
      </c>
      <c r="F1175" s="21" t="s">
        <v>178</v>
      </c>
      <c r="G1175" s="19" t="s">
        <v>3278</v>
      </c>
      <c r="H1175" s="19" t="s">
        <v>3280</v>
      </c>
      <c r="I1175" s="19" t="s">
        <v>3280</v>
      </c>
      <c r="J1175" s="19" t="s">
        <v>3281</v>
      </c>
    </row>
    <row r="1176" spans="1:10" ht="28.8">
      <c r="A1176" s="17" t="s">
        <v>175</v>
      </c>
      <c r="B1176" s="20">
        <v>94</v>
      </c>
      <c r="C1176" s="22">
        <v>942</v>
      </c>
      <c r="D1176" s="22">
        <v>9422</v>
      </c>
      <c r="E1176" s="18" t="s">
        <v>176</v>
      </c>
      <c r="F1176" s="21" t="s">
        <v>178</v>
      </c>
      <c r="G1176" s="19" t="s">
        <v>3278</v>
      </c>
      <c r="H1176" s="19" t="s">
        <v>3282</v>
      </c>
      <c r="I1176" s="19" t="s">
        <v>3282</v>
      </c>
      <c r="J1176" s="19" t="s">
        <v>62</v>
      </c>
    </row>
    <row r="1177" spans="1:10" ht="28.8">
      <c r="A1177" s="17" t="s">
        <v>175</v>
      </c>
      <c r="B1177" s="20">
        <v>94</v>
      </c>
      <c r="C1177" s="22">
        <v>942</v>
      </c>
      <c r="D1177" s="22">
        <v>9423</v>
      </c>
      <c r="E1177" s="18" t="s">
        <v>176</v>
      </c>
      <c r="F1177" s="21" t="s">
        <v>178</v>
      </c>
      <c r="G1177" s="19" t="s">
        <v>3278</v>
      </c>
      <c r="H1177" s="19" t="s">
        <v>3283</v>
      </c>
      <c r="I1177" s="19" t="s">
        <v>3283</v>
      </c>
      <c r="J1177" s="19" t="s"/>
    </row>
    <row r="1178" spans="1:10" ht="28.8">
      <c r="A1178" s="17" t="s">
        <v>175</v>
      </c>
      <c r="B1178" s="20">
        <v>94</v>
      </c>
      <c r="C1178" s="22">
        <v>942</v>
      </c>
      <c r="D1178" s="22">
        <v>9424</v>
      </c>
      <c r="E1178" s="18" t="s">
        <v>176</v>
      </c>
      <c r="F1178" s="21" t="s">
        <v>178</v>
      </c>
      <c r="G1178" s="19" t="s">
        <v>3278</v>
      </c>
      <c r="H1178" s="19" t="s">
        <v>3284</v>
      </c>
      <c r="I1178" s="19" t="s">
        <v>3284</v>
      </c>
      <c r="J1178" s="19" t="s"/>
    </row>
    <row r="1179" spans="1:10" ht="28.8">
      <c r="A1179" s="17" t="s">
        <v>175</v>
      </c>
      <c r="B1179" s="20">
        <v>94</v>
      </c>
      <c r="C1179" s="22">
        <v>942</v>
      </c>
      <c r="D1179" s="22">
        <v>9425</v>
      </c>
      <c r="E1179" s="18" t="s">
        <v>176</v>
      </c>
      <c r="F1179" s="21" t="s">
        <v>178</v>
      </c>
      <c r="G1179" s="19" t="s">
        <v>3278</v>
      </c>
      <c r="H1179" s="19" t="s">
        <v>3285</v>
      </c>
      <c r="I1179" s="19" t="s">
        <v>3285</v>
      </c>
      <c r="J1179" s="19" t="s"/>
    </row>
    <row r="1180" spans="1:10" ht="28.8">
      <c r="A1180" s="17" t="s">
        <v>175</v>
      </c>
      <c r="B1180" s="20">
        <v>94</v>
      </c>
      <c r="C1180" s="22">
        <v>942</v>
      </c>
      <c r="D1180" s="22">
        <v>9426</v>
      </c>
      <c r="E1180" s="18" t="s">
        <v>176</v>
      </c>
      <c r="F1180" s="21" t="s">
        <v>178</v>
      </c>
      <c r="G1180" s="19" t="s">
        <v>3278</v>
      </c>
      <c r="H1180" s="19" t="s">
        <v>3286</v>
      </c>
      <c r="I1180" s="19" t="s">
        <v>3286</v>
      </c>
      <c r="J1180" s="19" t="s">
        <v>3287</v>
      </c>
    </row>
    <row r="1181" spans="1:10" ht="33.6">
      <c r="A1181" s="17" t="s">
        <v>175</v>
      </c>
      <c r="B1181" s="20">
        <v>94</v>
      </c>
      <c r="C1181" s="22">
        <v>942</v>
      </c>
      <c r="D1181" s="22">
        <v>9427</v>
      </c>
      <c r="E1181" s="18" t="s">
        <v>176</v>
      </c>
      <c r="F1181" s="21" t="s">
        <v>178</v>
      </c>
      <c r="G1181" s="19" t="s">
        <v>3278</v>
      </c>
      <c r="H1181" s="19" t="s">
        <v>3288</v>
      </c>
      <c r="I1181" s="19" t="s">
        <v>3288</v>
      </c>
      <c r="J1181" s="19" t="s">
        <v>3289</v>
      </c>
    </row>
    <row r="1182" spans="1:10" ht="28.8">
      <c r="A1182" s="17" t="s">
        <v>175</v>
      </c>
      <c r="B1182" s="20">
        <v>94</v>
      </c>
      <c r="C1182" s="22">
        <v>943</v>
      </c>
      <c r="D1182" s="22" t="s">
        <v>51</v>
      </c>
      <c r="E1182" s="18" t="s">
        <v>176</v>
      </c>
      <c r="F1182" s="21" t="s">
        <v>178</v>
      </c>
      <c r="G1182" s="19" t="s">
        <v>3290</v>
      </c>
      <c r="H1182" s="29" t="s"/>
      <c r="I1182" s="19" t="s">
        <v>3290</v>
      </c>
      <c r="J1182" s="19" t="s">
        <v>3291</v>
      </c>
    </row>
    <row r="1183" spans="1:10" ht="28.8">
      <c r="A1183" s="17" t="s">
        <v>175</v>
      </c>
      <c r="B1183" s="20">
        <v>94</v>
      </c>
      <c r="C1183" s="22">
        <v>943</v>
      </c>
      <c r="D1183" s="22">
        <v>9431</v>
      </c>
      <c r="E1183" s="18" t="s">
        <v>176</v>
      </c>
      <c r="F1183" s="21" t="s">
        <v>178</v>
      </c>
      <c r="G1183" s="19" t="s">
        <v>3290</v>
      </c>
      <c r="H1183" s="19" t="s">
        <v>3292</v>
      </c>
      <c r="I1183" s="19" t="s">
        <v>3292</v>
      </c>
      <c r="J1183" s="19" t="s"/>
    </row>
    <row r="1184" spans="1:10" ht="28.8">
      <c r="A1184" s="17" t="s">
        <v>175</v>
      </c>
      <c r="B1184" s="20">
        <v>94</v>
      </c>
      <c r="C1184" s="22">
        <v>943</v>
      </c>
      <c r="D1184" s="22">
        <v>9432</v>
      </c>
      <c r="E1184" s="18" t="s">
        <v>176</v>
      </c>
      <c r="F1184" s="21" t="s">
        <v>178</v>
      </c>
      <c r="G1184" s="19" t="s">
        <v>3290</v>
      </c>
      <c r="H1184" s="19" t="s">
        <v>3293</v>
      </c>
      <c r="I1184" s="19" t="s">
        <v>3293</v>
      </c>
      <c r="J1184" s="19" t="s"/>
    </row>
    <row r="1185" spans="1:10" ht="28.8">
      <c r="A1185" s="17" t="s">
        <v>175</v>
      </c>
      <c r="B1185" s="20">
        <v>94</v>
      </c>
      <c r="C1185" s="22">
        <v>949</v>
      </c>
      <c r="D1185" s="22">
        <v>9490</v>
      </c>
      <c r="E1185" s="18" t="s">
        <v>176</v>
      </c>
      <c r="F1185" s="21" t="s">
        <v>178</v>
      </c>
      <c r="G1185" s="19" t="s">
        <v>3290</v>
      </c>
      <c r="H1185" s="19" t="s">
        <v>3294</v>
      </c>
      <c r="I1185" s="19" t="s">
        <v>3294</v>
      </c>
      <c r="J1185" s="19" t="s">
        <v>3295</v>
      </c>
    </row>
    <row r="1186" spans="1:10" ht="32.4">
      <c r="A1186" s="17" t="s">
        <v>175</v>
      </c>
      <c r="B1186" s="20">
        <v>95</v>
      </c>
      <c r="C1186" s="22" t="s">
        <v>51</v>
      </c>
      <c r="D1186" s="22" t="s">
        <v>51</v>
      </c>
      <c r="E1186" s="18" t="s">
        <v>176</v>
      </c>
      <c r="F1186" s="21" t="s">
        <v>179</v>
      </c>
      <c r="G1186" s="22" t="s"/>
      <c r="H1186" s="29" t="s"/>
      <c r="I1186" s="21" t="s">
        <v>179</v>
      </c>
      <c r="J1186" s="19" t="s"/>
    </row>
    <row r="1187" spans="1:10" ht="32.4">
      <c r="A1187" s="17" t="s">
        <v>175</v>
      </c>
      <c r="B1187" s="20">
        <v>95</v>
      </c>
      <c r="C1187" s="22">
        <v>951</v>
      </c>
      <c r="D1187" s="22">
        <v>9510</v>
      </c>
      <c r="E1187" s="18" t="s">
        <v>176</v>
      </c>
      <c r="F1187" s="21" t="s">
        <v>179</v>
      </c>
      <c r="G1187" s="19" t="s">
        <v>3296</v>
      </c>
      <c r="H1187" s="19" t="s">
        <v>3296</v>
      </c>
      <c r="I1187" s="19" t="s">
        <v>3296</v>
      </c>
      <c r="J1187" s="19" t="s"/>
    </row>
    <row r="1188" spans="1:10" ht="32.4">
      <c r="A1188" s="17" t="s">
        <v>175</v>
      </c>
      <c r="B1188" s="20">
        <v>95</v>
      </c>
      <c r="C1188" s="22">
        <v>952</v>
      </c>
      <c r="D1188" s="22">
        <v>9520</v>
      </c>
      <c r="E1188" s="18" t="s">
        <v>176</v>
      </c>
      <c r="F1188" s="21" t="s">
        <v>179</v>
      </c>
      <c r="G1188" s="19" t="s">
        <v>3297</v>
      </c>
      <c r="H1188" s="19" t="s">
        <v>3297</v>
      </c>
      <c r="I1188" s="19" t="s">
        <v>3297</v>
      </c>
      <c r="J1188" s="19" t="s"/>
    </row>
    <row r="1189" spans="1:10" ht="43.2">
      <c r="A1189" s="17" t="s">
        <v>175</v>
      </c>
      <c r="B1189" s="20">
        <v>96</v>
      </c>
      <c r="C1189" s="20" t="s"/>
      <c r="D1189" s="20" t="s"/>
      <c r="E1189" s="18" t="s">
        <v>176</v>
      </c>
      <c r="F1189" s="21" t="s">
        <v>180</v>
      </c>
      <c r="G1189" s="20" t="s"/>
      <c r="H1189" s="29" t="s"/>
      <c r="I1189" s="21" t="s">
        <v>180</v>
      </c>
      <c r="J1189" s="19" t="s"/>
    </row>
    <row r="1190" spans="1:10" ht="43.2">
      <c r="A1190" s="17" t="s">
        <v>175</v>
      </c>
      <c r="B1190" s="20">
        <v>96</v>
      </c>
      <c r="C1190" s="22">
        <v>961</v>
      </c>
      <c r="D1190" s="22" t="s"/>
      <c r="E1190" s="18" t="s">
        <v>176</v>
      </c>
      <c r="F1190" s="21" t="s">
        <v>180</v>
      </c>
      <c r="G1190" s="19" t="s">
        <v>3298</v>
      </c>
      <c r="H1190" s="29" t="s"/>
      <c r="I1190" s="19" t="s">
        <v>3298</v>
      </c>
      <c r="J1190" s="19" t="s">
        <v>3299</v>
      </c>
    </row>
    <row r="1191" spans="1:10" ht="43.2">
      <c r="A1191" s="17" t="s">
        <v>175</v>
      </c>
      <c r="B1191" s="20">
        <v>96</v>
      </c>
      <c r="C1191" s="22">
        <v>961</v>
      </c>
      <c r="D1191" s="22">
        <v>9611</v>
      </c>
      <c r="E1191" s="18" t="s">
        <v>176</v>
      </c>
      <c r="F1191" s="21" t="s">
        <v>180</v>
      </c>
      <c r="G1191" s="19" t="s">
        <v>3298</v>
      </c>
      <c r="H1191" s="19" t="s">
        <v>3300</v>
      </c>
      <c r="I1191" s="19" t="s">
        <v>3300</v>
      </c>
      <c r="J1191" s="19" t="s"/>
    </row>
    <row r="1192" spans="1:10" ht="43.2">
      <c r="A1192" s="17" t="s">
        <v>175</v>
      </c>
      <c r="B1192" s="20">
        <v>96</v>
      </c>
      <c r="C1192" s="22">
        <v>961</v>
      </c>
      <c r="D1192" s="22">
        <v>9612</v>
      </c>
      <c r="E1192" s="18" t="s">
        <v>176</v>
      </c>
      <c r="F1192" s="21" t="s">
        <v>180</v>
      </c>
      <c r="G1192" s="19" t="s">
        <v>3298</v>
      </c>
      <c r="H1192" s="19" t="s">
        <v>3301</v>
      </c>
      <c r="I1192" s="19" t="s">
        <v>3301</v>
      </c>
      <c r="J1192" s="19" t="s"/>
    </row>
    <row r="1193" spans="1:10" ht="43.2">
      <c r="A1193" s="17" t="s">
        <v>175</v>
      </c>
      <c r="B1193" s="20">
        <v>96</v>
      </c>
      <c r="C1193" s="22">
        <v>961</v>
      </c>
      <c r="D1193" s="22">
        <v>9613</v>
      </c>
      <c r="E1193" s="18" t="s">
        <v>176</v>
      </c>
      <c r="F1193" s="21" t="s">
        <v>180</v>
      </c>
      <c r="G1193" s="19" t="s">
        <v>3298</v>
      </c>
      <c r="H1193" s="19" t="s">
        <v>3302</v>
      </c>
      <c r="I1193" s="19" t="s">
        <v>3302</v>
      </c>
      <c r="J1193" s="19" t="s"/>
    </row>
    <row r="1194" spans="1:10" ht="43.2">
      <c r="A1194" s="17" t="s">
        <v>175</v>
      </c>
      <c r="B1194" s="20">
        <v>96</v>
      </c>
      <c r="C1194" s="22">
        <v>961</v>
      </c>
      <c r="D1194" s="22">
        <v>9619</v>
      </c>
      <c r="E1194" s="18" t="s">
        <v>176</v>
      </c>
      <c r="F1194" s="21" t="s">
        <v>180</v>
      </c>
      <c r="G1194" s="19" t="s">
        <v>3298</v>
      </c>
      <c r="H1194" s="19" t="s">
        <v>3303</v>
      </c>
      <c r="I1194" s="19" t="s">
        <v>3303</v>
      </c>
      <c r="J1194" s="19" t="s"/>
    </row>
    <row r="1195" spans="1:10" ht="43.2">
      <c r="A1195" s="17" t="s">
        <v>175</v>
      </c>
      <c r="B1195" s="20">
        <v>96</v>
      </c>
      <c r="C1195" s="22">
        <v>962</v>
      </c>
      <c r="D1195" s="22" t="s"/>
      <c r="E1195" s="18" t="s">
        <v>176</v>
      </c>
      <c r="F1195" s="21" t="s">
        <v>180</v>
      </c>
      <c r="G1195" s="19" t="s">
        <v>3304</v>
      </c>
      <c r="H1195" s="29" t="s"/>
      <c r="I1195" s="19" t="s">
        <v>3304</v>
      </c>
      <c r="J1195" s="19" t="s">
        <v>3305</v>
      </c>
    </row>
    <row r="1196" spans="1:10" ht="43.2">
      <c r="A1196" s="17" t="s">
        <v>175</v>
      </c>
      <c r="B1196" s="20">
        <v>96</v>
      </c>
      <c r="C1196" s="22">
        <v>962</v>
      </c>
      <c r="D1196" s="22">
        <v>9621</v>
      </c>
      <c r="E1196" s="18" t="s">
        <v>176</v>
      </c>
      <c r="F1196" s="21" t="s">
        <v>180</v>
      </c>
      <c r="G1196" s="19" t="s">
        <v>3304</v>
      </c>
      <c r="H1196" s="19" t="s">
        <v>3306</v>
      </c>
      <c r="I1196" s="19" t="s">
        <v>3306</v>
      </c>
      <c r="J1196" s="19" t="s">
        <v>3307</v>
      </c>
    </row>
    <row r="1197" spans="1:10" ht="43.2">
      <c r="A1197" s="17" t="s">
        <v>175</v>
      </c>
      <c r="B1197" s="20">
        <v>96</v>
      </c>
      <c r="C1197" s="22">
        <v>962</v>
      </c>
      <c r="D1197" s="22">
        <v>9622</v>
      </c>
      <c r="E1197" s="18" t="s">
        <v>176</v>
      </c>
      <c r="F1197" s="21" t="s">
        <v>180</v>
      </c>
      <c r="G1197" s="19" t="s">
        <v>3304</v>
      </c>
      <c r="H1197" s="19" t="s">
        <v>3308</v>
      </c>
      <c r="I1197" s="19" t="s">
        <v>3308</v>
      </c>
      <c r="J1197" s="19" t="s">
        <v>3309</v>
      </c>
    </row>
    <row r="1198" spans="1:10" ht="43.2">
      <c r="A1198" s="17" t="s">
        <v>175</v>
      </c>
      <c r="B1198" s="20">
        <v>96</v>
      </c>
      <c r="C1198" s="22">
        <v>962</v>
      </c>
      <c r="D1198" s="22">
        <v>9629</v>
      </c>
      <c r="E1198" s="18" t="s">
        <v>176</v>
      </c>
      <c r="F1198" s="21" t="s">
        <v>180</v>
      </c>
      <c r="G1198" s="19" t="s">
        <v>3304</v>
      </c>
      <c r="H1198" s="19" t="s">
        <v>3310</v>
      </c>
      <c r="I1198" s="19" t="s">
        <v>3310</v>
      </c>
      <c r="J1198" s="19" t="s">
        <v>3311</v>
      </c>
    </row>
    <row r="1199" spans="1:10" ht="43.2">
      <c r="A1199" s="17" t="s">
        <v>175</v>
      </c>
      <c r="B1199" s="20">
        <v>96</v>
      </c>
      <c r="C1199" s="22">
        <v>963</v>
      </c>
      <c r="D1199" s="22">
        <v>9630</v>
      </c>
      <c r="E1199" s="18" t="s">
        <v>176</v>
      </c>
      <c r="F1199" s="21" t="s">
        <v>180</v>
      </c>
      <c r="G1199" s="19" t="s">
        <v>3312</v>
      </c>
      <c r="H1199" s="19" t="s">
        <v>3312</v>
      </c>
      <c r="I1199" s="19" t="s">
        <v>3312</v>
      </c>
      <c r="J1199" s="19" t="s">
        <v>3313</v>
      </c>
    </row>
    <row r="1200" spans="1:10" ht="28.8">
      <c r="A1200" s="17" t="s">
        <v>175</v>
      </c>
      <c r="B1200" s="20">
        <v>97</v>
      </c>
      <c r="C1200" s="22" t="s">
        <v>51</v>
      </c>
      <c r="D1200" s="31" t="s"/>
      <c r="E1200" s="18" t="s">
        <v>176</v>
      </c>
      <c r="F1200" s="21" t="s">
        <v>181</v>
      </c>
      <c r="G1200" s="31" t="s"/>
      <c r="H1200" s="29" t="s"/>
      <c r="I1200" s="21" t="s">
        <v>181</v>
      </c>
      <c r="J1200" s="19" t="s">
        <v>3314</v>
      </c>
    </row>
    <row r="1201" spans="1:10" ht="28.8">
      <c r="A1201" s="17" t="s">
        <v>175</v>
      </c>
      <c r="B1201" s="20">
        <v>97</v>
      </c>
      <c r="C1201" s="22">
        <v>971</v>
      </c>
      <c r="D1201" s="22">
        <v>9710</v>
      </c>
      <c r="E1201" s="18" t="s">
        <v>176</v>
      </c>
      <c r="F1201" s="21" t="s">
        <v>181</v>
      </c>
      <c r="G1201" s="19" t="s">
        <v>3315</v>
      </c>
      <c r="H1201" s="19" t="s">
        <v>3315</v>
      </c>
      <c r="I1201" s="19" t="s">
        <v>3315</v>
      </c>
      <c r="J1201" s="19" t="s">
        <v>3316</v>
      </c>
    </row>
    <row r="1202" spans="1:10" ht="28.8">
      <c r="A1202" s="17" t="s">
        <v>175</v>
      </c>
      <c r="B1202" s="20">
        <v>97</v>
      </c>
      <c r="C1202" s="22">
        <v>972</v>
      </c>
      <c r="D1202" s="22">
        <v>9720</v>
      </c>
      <c r="E1202" s="18" t="s">
        <v>176</v>
      </c>
      <c r="F1202" s="21" t="s">
        <v>181</v>
      </c>
      <c r="G1202" s="19" t="s">
        <v>3317</v>
      </c>
      <c r="H1202" s="19" t="s">
        <v>3317</v>
      </c>
      <c r="I1202" s="19" t="s">
        <v>3317</v>
      </c>
      <c r="J1202" s="19" t="s">
        <v>3318</v>
      </c>
    </row>
    <row r="1203" spans="1:10" ht="15.6">
      <c r="A1203" s="17" t="s">
        <v>182</v>
      </c>
      <c r="B1203" s="17" t="s"/>
      <c r="C1203" s="17" t="s"/>
      <c r="D1203" s="17" t="s"/>
      <c r="E1203" s="18" t="s">
        <v>183</v>
      </c>
      <c r="F1203" s="17" t="s"/>
      <c r="G1203" s="17" t="s"/>
      <c r="H1203" s="29" t="s"/>
      <c r="I1203" s="18" t="s">
        <v>183</v>
      </c>
      <c r="J1203" s="34" t="s"/>
    </row>
    <row r="1204" spans="1:10" ht="15.6">
      <c r="A1204" s="17" t="s">
        <v>182</v>
      </c>
      <c r="B1204" s="20">
        <v>98</v>
      </c>
      <c r="C1204" s="22" t="s">
        <v>51</v>
      </c>
      <c r="D1204" s="22" t="s">
        <v>51</v>
      </c>
      <c r="E1204" s="18" t="s">
        <v>183</v>
      </c>
      <c r="F1204" s="21" t="s">
        <v>183</v>
      </c>
      <c r="G1204" s="22" t="s"/>
      <c r="H1204" s="29" t="s"/>
      <c r="I1204" s="21" t="s">
        <v>183</v>
      </c>
      <c r="J1204" s="19" t="s">
        <v>51</v>
      </c>
    </row>
    <row r="1205" spans="1:10" ht="16.35" thickBot="true">
      <c r="A1205" s="35" t="s">
        <v>182</v>
      </c>
      <c r="B1205" s="36">
        <v>98</v>
      </c>
      <c r="C1205" s="37">
        <v>980</v>
      </c>
      <c r="D1205" s="37">
        <v>9800</v>
      </c>
      <c r="E1205" s="38" t="s">
        <v>183</v>
      </c>
      <c r="F1205" s="39" t="s">
        <v>183</v>
      </c>
      <c r="G1205" s="40" t="s">
        <v>3319</v>
      </c>
      <c r="H1205" s="40" t="s">
        <v>3319</v>
      </c>
      <c r="I1205" s="40" t="s">
        <v>3319</v>
      </c>
      <c r="J1205" s="40" t="s">
        <v>3320</v>
      </c>
    </row>
  </sheetData>
  <sheetProtection/>
  <autoFilter ref="A4:I1205"/>
  <mergeCells count="13">
    <mergeCell ref="A2:D2"/>
    <mergeCell ref="E2:H2"/>
    <mergeCell ref="A103:A105"/>
    <mergeCell ref="B103:B105"/>
    <mergeCell ref="C103:C105"/>
    <mergeCell ref="D103:D105"/>
    <mergeCell ref="E103:E105"/>
    <mergeCell ref="F103:F105"/>
    <mergeCell ref="G103:G105"/>
    <mergeCell ref="H103:H105"/>
    <mergeCell ref="I2:I3"/>
    <mergeCell ref="I103:I105"/>
    <mergeCell ref="J2:J3"/>
  </mergeCells>
  <pageMargins left="0.75" right="0.75" top="1" bottom="1" header="0.5" footer="0.5"/>
  <pageSetup paperSize="9" orientation="portrait"/>
  <headerFooter alignWithMargins="false"/>
</worksheet>
</file>

<file path=xl/worksheets/sheet35.xml><?xml version="1.0" encoding="utf-8"?>
<worksheet xmlns:r="http://schemas.openxmlformats.org/officeDocument/2006/relationships" xmlns="http://schemas.openxmlformats.org/spreadsheetml/2006/main">
  <sheetPr>
    <pageSetUpPr fitToPage="true"/>
  </sheetPr>
  <dimension ref="BA23"/>
  <sheetViews>
    <sheetView showGridLines="false" showZeros="false" topLeftCell="N1" workbookViewId="0"/>
  </sheetViews>
  <sheetFormatPr defaultColWidth="8.66406" defaultRowHeight="15.75"/>
  <cols>
    <col min="1" max="1" width="3" style="715"/>
    <col min="2" max="2" width="4.125"/>
    <col min="3" max="5" width="4.625"/>
    <col min="6" max="7" width="4.875"/>
    <col min="8" max="11" width="4.5"/>
    <col min="12" max="13" width="4.125"/>
    <col min="14" max="14" width="3.875"/>
    <col min="15" max="15" width="4.125"/>
    <col min="16" max="17" width="4"/>
    <col min="18" max="18" width="3.875"/>
    <col min="19" max="19" width="4"/>
    <col min="20" max="28" width="6.125" style="713"/>
    <col min="29" max="29" width="5.875"/>
    <col min="30" max="31" width="6.5"/>
    <col min="32" max="32" width="5.5"/>
    <col min="33" max="33" width="4.875"/>
    <col min="34" max="35" width="4.875" style="710"/>
    <col min="36" max="36" width="5.5" style="710"/>
    <col min="37" max="43" width="6.625"/>
    <col min="44" max="46" width="6.625"/>
    <col min="47" max="47" width="7.125"/>
    <col min="48" max="49" width="4.5" style="710"/>
    <col min="50" max="50" width="4.625" style="710"/>
    <col min="51" max="51" width="5.125" style="710"/>
    <col min="52" max="52" width="6.5" style="710"/>
  </cols>
  <sheetData>
    <row r="1" spans="1:52" ht="32" customHeight="true">
      <c r="A1" s="266" t="s">
        <v>863</v>
      </c>
      <c r="B1" s="266" t="s"/>
      <c r="C1" s="266" t="s"/>
      <c r="D1" s="266" t="s"/>
      <c r="E1" s="266" t="s"/>
      <c r="F1" s="266" t="s"/>
      <c r="G1" s="266" t="s"/>
      <c r="H1" s="266" t="s"/>
      <c r="I1" s="266" t="s"/>
      <c r="J1" s="266" t="s"/>
      <c r="K1" s="266" t="s"/>
      <c r="L1" s="266" t="s"/>
      <c r="M1" s="266" t="s"/>
      <c r="N1" s="266" t="s"/>
      <c r="O1" s="266" t="s"/>
      <c r="P1" s="266" t="s"/>
      <c r="Q1" s="266" t="s"/>
      <c r="R1" s="266" t="s"/>
      <c r="S1" s="266" t="s"/>
      <c r="T1" s="266" t="s"/>
      <c r="U1" s="266" t="s"/>
      <c r="V1" s="266" t="s"/>
      <c r="W1" s="266" t="s"/>
      <c r="X1" s="266" t="s"/>
      <c r="Y1" s="266" t="s"/>
      <c r="Z1" s="266" t="s"/>
      <c r="AA1" s="266" t="s"/>
      <c r="AB1" s="266" t="s"/>
      <c r="AC1" s="266" t="s"/>
      <c r="AD1" s="266" t="s"/>
      <c r="AE1" s="266" t="s"/>
      <c r="AF1" s="266" t="s"/>
      <c r="AG1" s="266" t="s"/>
      <c r="AH1" s="266" t="s"/>
      <c r="AI1" s="266" t="s"/>
      <c r="AJ1" s="266" t="s"/>
      <c r="AK1" s="266" t="s"/>
      <c r="AL1" s="266" t="s"/>
      <c r="AM1" s="266" t="s"/>
      <c r="AN1" s="266" t="s"/>
      <c r="AO1" s="266" t="s"/>
      <c r="AP1" s="266" t="s"/>
      <c r="AQ1" s="266" t="s"/>
      <c r="AR1" s="266" t="s"/>
      <c r="AS1" s="266" t="s"/>
      <c r="AT1" s="266" t="s"/>
      <c r="AU1" s="266" t="s"/>
      <c r="AV1" s="266" t="s"/>
      <c r="AW1" s="266" t="s"/>
      <c r="AX1" s="266" t="s"/>
      <c r="AY1" s="266" t="s"/>
      <c r="AZ1" s="266" t="s"/>
    </row>
    <row r="2" spans="1:52" s="714" customFormat="true" ht="17.4" customHeight="true">
      <c r="A2" s="267" t="s">
        <v>525</v>
      </c>
      <c r="B2" s="268" t="s">
        <v>594</v>
      </c>
      <c r="C2" s="267" t="s">
        <v>595</v>
      </c>
      <c r="D2" s="268" t="s">
        <v>189</v>
      </c>
      <c r="E2" s="268" t="s">
        <v>864</v>
      </c>
      <c r="F2" s="267" t="s">
        <v>188</v>
      </c>
      <c r="G2" s="267" t="s">
        <v>190</v>
      </c>
      <c r="H2" s="267" t="s">
        <v>191</v>
      </c>
      <c r="I2" s="267" t="s">
        <v>192</v>
      </c>
      <c r="J2" s="269" t="s">
        <v>193</v>
      </c>
      <c r="K2" s="270" t="s"/>
      <c r="L2" s="269" t="s"/>
      <c r="M2" s="271" t="s"/>
      <c r="N2" s="272" t="s">
        <v>196</v>
      </c>
      <c r="O2" s="272" t="s"/>
      <c r="P2" s="272" t="s"/>
      <c r="Q2" s="272" t="s"/>
      <c r="R2" s="272" t="s"/>
      <c r="S2" s="273" t="s"/>
      <c r="T2" s="274" t="s">
        <v>200</v>
      </c>
      <c r="U2" s="275" t="s"/>
      <c r="V2" s="276" t="s"/>
      <c r="W2" s="274" t="s">
        <v>200</v>
      </c>
      <c r="X2" s="275" t="s"/>
      <c r="Y2" s="276" t="s"/>
      <c r="Z2" s="274" t="s">
        <v>200</v>
      </c>
      <c r="AA2" s="275" t="s"/>
      <c r="AB2" s="276" t="s"/>
      <c r="AC2" s="277" t="s">
        <v>596</v>
      </c>
      <c r="AD2" s="277" t="s"/>
      <c r="AE2" s="277" t="s"/>
      <c r="AF2" s="277" t="s">
        <v>597</v>
      </c>
      <c r="AG2" s="277" t="s"/>
      <c r="AH2" s="277" t="s"/>
      <c r="AI2" s="277" t="s"/>
      <c r="AJ2" s="277" t="s"/>
      <c r="AK2" s="277" t="s">
        <v>217</v>
      </c>
      <c r="AL2" s="277" t="s"/>
      <c r="AM2" s="277" t="s"/>
      <c r="AN2" s="277" t="s"/>
      <c r="AO2" s="274" t="s"/>
      <c r="AP2" s="274" t="s"/>
      <c r="AQ2" s="274" t="s"/>
      <c r="AR2" s="277" t="s">
        <v>865</v>
      </c>
      <c r="AS2" s="277" t="s"/>
      <c r="AT2" s="274" t="s"/>
      <c r="AU2" s="268" t="s">
        <v>866</v>
      </c>
      <c r="AV2" s="277" t="s">
        <v>867</v>
      </c>
      <c r="AW2" s="277" t="s"/>
      <c r="AX2" s="277" t="s"/>
      <c r="AY2" s="277" t="s"/>
      <c r="AZ2" s="268" t="s">
        <v>243</v>
      </c>
    </row>
    <row r="3" spans="1:52" s="714" customFormat="true" ht="16.5" customHeight="true">
      <c r="A3" s="267" t="s"/>
      <c r="B3" s="279" t="s"/>
      <c r="C3" s="280" t="s"/>
      <c r="D3" s="279" t="s"/>
      <c r="E3" s="279" t="s"/>
      <c r="F3" s="280" t="s"/>
      <c r="G3" s="280" t="s"/>
      <c r="H3" s="280" t="s"/>
      <c r="I3" s="280" t="s"/>
      <c r="J3" s="281" t="s">
        <v>194</v>
      </c>
      <c r="K3" s="281" t="s">
        <v>195</v>
      </c>
      <c r="L3" s="282" t="s">
        <v>43</v>
      </c>
      <c r="M3" s="283" t="s"/>
      <c r="N3" s="282" t="s">
        <v>44</v>
      </c>
      <c r="O3" s="283" t="s"/>
      <c r="P3" s="282" t="s">
        <v>45</v>
      </c>
      <c r="Q3" s="283" t="s"/>
      <c r="R3" s="282" t="s">
        <v>46</v>
      </c>
      <c r="S3" s="283" t="s"/>
      <c r="T3" s="268" t="s">
        <v>204</v>
      </c>
      <c r="U3" s="268" t="s">
        <v>205</v>
      </c>
      <c r="V3" s="268" t="s">
        <v>206</v>
      </c>
      <c r="W3" s="268" t="s">
        <v>204</v>
      </c>
      <c r="X3" s="268" t="s">
        <v>205</v>
      </c>
      <c r="Y3" s="268" t="s">
        <v>206</v>
      </c>
      <c r="Z3" s="268" t="s">
        <v>204</v>
      </c>
      <c r="AA3" s="268" t="s">
        <v>205</v>
      </c>
      <c r="AB3" s="268" t="s">
        <v>206</v>
      </c>
      <c r="AC3" s="268" t="s">
        <v>401</v>
      </c>
      <c r="AD3" s="277" t="s">
        <v>208</v>
      </c>
      <c r="AE3" s="277" t="s"/>
      <c r="AF3" s="268" t="s">
        <v>600</v>
      </c>
      <c r="AG3" s="268" t="s">
        <v>601</v>
      </c>
      <c r="AH3" s="277" t="s">
        <v>208</v>
      </c>
      <c r="AI3" s="277" t="s"/>
      <c r="AJ3" s="281" t="s">
        <v>602</v>
      </c>
      <c r="AK3" s="267" t="s">
        <v>603</v>
      </c>
      <c r="AL3" s="267" t="s">
        <v>604</v>
      </c>
      <c r="AM3" s="267" t="s">
        <v>605</v>
      </c>
      <c r="AN3" s="267" t="s">
        <v>221</v>
      </c>
      <c r="AO3" s="268" t="s">
        <v>222</v>
      </c>
      <c r="AP3" s="269" t="s">
        <v>606</v>
      </c>
      <c r="AQ3" s="269" t="s">
        <v>224</v>
      </c>
      <c r="AR3" s="267" t="s">
        <v>868</v>
      </c>
      <c r="AS3" s="267" t="s">
        <v>869</v>
      </c>
      <c r="AT3" s="269" t="s">
        <v>870</v>
      </c>
      <c r="AU3" s="279" t="s"/>
      <c r="AV3" s="267" t="s">
        <v>238</v>
      </c>
      <c r="AW3" s="267" t="s">
        <v>240</v>
      </c>
      <c r="AX3" s="267" t="s">
        <v>871</v>
      </c>
      <c r="AY3" s="267" t="s">
        <v>872</v>
      </c>
      <c r="AZ3" s="279" t="s"/>
    </row>
    <row r="4" spans="1:52" s="714" customFormat="true" ht="52.5" customHeight="true">
      <c r="A4" s="267" t="s"/>
      <c r="B4" s="282" t="s"/>
      <c r="C4" s="280" t="s"/>
      <c r="D4" s="282" t="s"/>
      <c r="E4" s="282" t="s"/>
      <c r="F4" s="280" t="s"/>
      <c r="G4" s="280" t="s"/>
      <c r="H4" s="280" t="s"/>
      <c r="I4" s="280" t="s"/>
      <c r="J4" s="285" t="s"/>
      <c r="K4" s="285" t="s"/>
      <c r="L4" s="277" t="s">
        <v>198</v>
      </c>
      <c r="M4" s="277" t="s">
        <v>199</v>
      </c>
      <c r="N4" s="277" t="s">
        <v>198</v>
      </c>
      <c r="O4" s="277" t="s">
        <v>199</v>
      </c>
      <c r="P4" s="277" t="s">
        <v>198</v>
      </c>
      <c r="Q4" s="277" t="s">
        <v>199</v>
      </c>
      <c r="R4" s="277" t="s">
        <v>198</v>
      </c>
      <c r="S4" s="277" t="s">
        <v>199</v>
      </c>
      <c r="T4" s="286" t="s"/>
      <c r="U4" s="286" t="s"/>
      <c r="V4" s="286" t="s"/>
      <c r="W4" s="286" t="s"/>
      <c r="X4" s="286" t="s"/>
      <c r="Y4" s="286" t="s"/>
      <c r="Z4" s="286" t="s"/>
      <c r="AA4" s="286" t="s"/>
      <c r="AB4" s="286" t="s"/>
      <c r="AC4" s="282" t="s"/>
      <c r="AD4" s="267" t="s">
        <v>209</v>
      </c>
      <c r="AE4" s="267" t="s">
        <v>210</v>
      </c>
      <c r="AF4" s="282" t="s"/>
      <c r="AG4" s="282" t="s"/>
      <c r="AH4" s="267" t="s">
        <v>613</v>
      </c>
      <c r="AI4" s="267" t="s">
        <v>614</v>
      </c>
      <c r="AJ4" s="285" t="s"/>
      <c r="AK4" s="267" t="s"/>
      <c r="AL4" s="267" t="s"/>
      <c r="AM4" s="267" t="s"/>
      <c r="AN4" s="267" t="s"/>
      <c r="AO4" s="282" t="s"/>
      <c r="AP4" s="269" t="s"/>
      <c r="AQ4" s="269" t="s"/>
      <c r="AR4" s="267" t="s"/>
      <c r="AS4" s="267" t="s"/>
      <c r="AT4" s="269" t="s"/>
      <c r="AU4" s="282" t="s"/>
      <c r="AV4" s="280" t="s"/>
      <c r="AW4" s="280" t="s"/>
      <c r="AX4" s="267" t="s"/>
      <c r="AY4" s="267" t="s"/>
      <c r="AZ4" s="282" t="s"/>
    </row>
    <row r="5" spans="1:52" s="714" customFormat="true" ht="17.15" customHeight="true">
      <c r="A5" s="277">
        <v>1</v>
      </c>
      <c r="B5" s="280">
        <f>=IF(pgtz!$C$2="是",pgtz!C3,0)</f>
        <v>0</v>
      </c>
      <c r="C5" s="280">
        <f>=IF(pgtz!$C$2="是",pgtz!G3,0)</f>
        <v>0</v>
      </c>
      <c r="D5" s="280">
        <f>=IF(pgtz!$C$2="是",pgtz!C4,0)</f>
        <v>0</v>
      </c>
      <c r="E5" s="280">
        <f>=IF(pgtz!$C$2="是",pgtz!G4,0)</f>
        <v>0</v>
      </c>
      <c r="F5" s="280">
        <f>=IF(pgtz!$C$2="是",pgtz!J3,0)</f>
        <v>0</v>
      </c>
      <c r="G5" s="280">
        <f>=IF(pgtz!$C$2="是",pgtz!J4,0)</f>
        <v>0</v>
      </c>
      <c r="H5" s="280">
        <f>=IF(pgtz!$C$2="是",pgtz!C5,0)</f>
        <v>0</v>
      </c>
      <c r="I5" s="280">
        <f>=IF(pgtz!$C$2="是",pgtz!H5,0)</f>
        <v>0</v>
      </c>
      <c r="J5" s="280">
        <f>=IF(pgtz!$C$2="是",pgtz!E6,0)</f>
        <v>0</v>
      </c>
      <c r="K5" s="280">
        <f>=IF(pgtz!$C$2="是",pgtz!I6,0)</f>
        <v>0</v>
      </c>
      <c r="L5" s="280">
        <f>=IF(pgtz!$C$2="是",pgtz!F8,0)</f>
        <v>0</v>
      </c>
      <c r="M5" s="280">
        <f>=IF(pgtz!$C$2="是",pgtz!I8,0)</f>
        <v>0</v>
      </c>
      <c r="N5" s="280">
        <f>=IF(pgtz!$C$2="是",pgtz!F9,0)</f>
        <v>0</v>
      </c>
      <c r="O5" s="280">
        <f>=IF(pgtz!$C$2="是",pgtz!I9,0)</f>
        <v>0</v>
      </c>
      <c r="P5" s="280">
        <f>=IF(pgtz!$C$2="是",pgtz!F10,0)</f>
        <v>0</v>
      </c>
      <c r="Q5" s="280">
        <f>=IF(pgtz!$C$2="是",pgtz!I10,0)</f>
        <v>0</v>
      </c>
      <c r="R5" s="280">
        <f>=IF(pgtz!$C$2="是",pgtz!F11,0)</f>
        <v>0</v>
      </c>
      <c r="S5" s="280">
        <f>=IF(pgtz!$C$2="是",pgtz!I11,0)</f>
        <v>0</v>
      </c>
      <c r="T5" s="280">
        <f>=IF(pgtz!$C$2="是",pgtz!C14,0)</f>
        <v>0</v>
      </c>
      <c r="U5" s="280">
        <f>=IF(pgtz!$C$2="是",pgtz!D14,0)</f>
        <v>0</v>
      </c>
      <c r="V5" s="288">
        <f>=IF(pgtz!$C$2="是",pgtz!E14,0)</f>
        <v>0</v>
      </c>
      <c r="W5" s="280">
        <f>=IF(pgtz!$C$2="是",pgtz!F14,0)</f>
        <v>0</v>
      </c>
      <c r="X5" s="280">
        <f>=IF(pgtz!$C$2="是",pgtz!G14,0)</f>
        <v>0</v>
      </c>
      <c r="Y5" s="288">
        <f>=IF(pgtz!$C$2="是",pgtz!H14,0)</f>
        <v>0</v>
      </c>
      <c r="Z5" s="280">
        <f>=IF(pgtz!$C$2="是",pgtz!I14,0)</f>
        <v>0</v>
      </c>
      <c r="AA5" s="280">
        <f>=IF(pgtz!$C$2="是",pgtz!J14,0)</f>
        <v>0</v>
      </c>
      <c r="AB5" s="288">
        <f>=IF(pgtz!$C$2="是",pgtz!K14,0)</f>
        <v>0</v>
      </c>
      <c r="AC5" s="288">
        <f>=IF(pgtz!$C$2="是",pgtz!C15,0)</f>
        <v>0</v>
      </c>
      <c r="AD5" s="288">
        <f>=IF(pgtz!$C$2="是",pgtz!E16,0)</f>
        <v>0</v>
      </c>
      <c r="AE5" s="288">
        <f>=IF(pgtz!$C$2="是",pgtz!I16,0)</f>
        <v>0</v>
      </c>
      <c r="AF5" s="288">
        <f>=IF(pgtz!$C$2="是",pgtz!C18,0)</f>
        <v>0</v>
      </c>
      <c r="AG5" s="288">
        <f>=IF(pgtz!$C$2="是",pgtz!E18,0)</f>
        <v>0</v>
      </c>
      <c r="AH5" s="288">
        <f>=IF(pgtz!$C$2="是",pgtz!G18,0)</f>
        <v>0</v>
      </c>
      <c r="AI5" s="288">
        <f>=IF(pgtz!$C$2="是",pgtz!I18,0)</f>
        <v>0</v>
      </c>
      <c r="AJ5" s="288">
        <f>=IF(pgtz!$C$2="是",pgtz!K18,0)</f>
        <v>0</v>
      </c>
      <c r="AK5" s="289">
        <f>=IF(pgtz!$C$2="是",pgtz!C20,0)</f>
        <v>0</v>
      </c>
      <c r="AL5" s="289">
        <f>=IF(pgtz!$C$2="是",pgtz!E20,0)</f>
        <v>0</v>
      </c>
      <c r="AM5" s="289">
        <f>=IF(pgtz!$C$2="是",pgtz!G20,0)</f>
        <v>0</v>
      </c>
      <c r="AN5" s="288">
        <f>=IF(pgtz!$C$2="是",pgtz!I20,0)</f>
        <v>0</v>
      </c>
      <c r="AO5" s="289">
        <f>=IF(pgtz!$C$2="是",pgtz!J20,0)</f>
        <v>0</v>
      </c>
      <c r="AP5" s="288">
        <f>=IF(pgtz!$C$2="是",pgtz!K20,0)</f>
        <v>0</v>
      </c>
      <c r="AQ5" s="289">
        <f>=IF(pgtz!$C$2="是",pgtz!K21,0)</f>
        <v>0</v>
      </c>
      <c r="AR5" s="280">
        <f>=IF(pgtz!$C$2="是",pgtz!C22,0)</f>
        <v>0</v>
      </c>
      <c r="AS5" s="280">
        <f>=IF(pgtz!$C$2="是",pgtz!G22,0)</f>
        <v>0</v>
      </c>
      <c r="AT5" s="280">
        <f>=IF(pgtz!$C$2="是",pgtz!K22,0)</f>
        <v>0</v>
      </c>
      <c r="AU5" s="280">
        <f>=IF(pgtz!$C$2="是",pgtz!C21,0)</f>
        <v>0</v>
      </c>
      <c r="AV5" s="280">
        <f>=IF(pgtz!$C$2="是",pgtz!D23,0)</f>
        <v>0</v>
      </c>
      <c r="AW5" s="280">
        <f>=IF(pgtz!$C$2="是",pgtz!D24,0)</f>
        <v>0</v>
      </c>
      <c r="AX5" s="280">
        <f>=IF(pgtz!$C$2="是",pgtz!I23,0)</f>
        <v>0</v>
      </c>
      <c r="AY5" s="280">
        <f>=IF(pgtz!$C$2="是",pgtz!I24,0)</f>
        <v>0</v>
      </c>
      <c r="AZ5" s="280">
        <f>=IF(pgtz!$C$2="是",pgtz!G21,0)</f>
        <v>0</v>
      </c>
    </row>
    <row r="6" spans="1:52" s="714" customFormat="true" ht="17.15" customHeight="true">
      <c r="A6" s="277">
        <f>=A5+1</f>
        <v>2</v>
      </c>
      <c r="B6" s="280" t="s"/>
      <c r="C6" s="280" t="s"/>
      <c r="D6" s="280" t="s"/>
      <c r="E6" s="280" t="s"/>
      <c r="F6" s="280" t="s"/>
      <c r="G6" s="280" t="s"/>
      <c r="H6" s="280" t="s"/>
      <c r="I6" s="280" t="s"/>
      <c r="J6" s="280" t="s"/>
      <c r="K6" s="280" t="s"/>
      <c r="L6" s="280" t="s"/>
      <c r="M6" s="280" t="s"/>
      <c r="N6" s="280" t="s"/>
      <c r="O6" s="280" t="s"/>
      <c r="P6" s="280" t="s"/>
      <c r="Q6" s="280" t="s"/>
      <c r="R6" s="280" t="s"/>
      <c r="S6" s="280" t="s"/>
      <c r="T6" s="277" t="s"/>
      <c r="U6" s="277" t="s"/>
      <c r="V6" s="277" t="s"/>
      <c r="W6" s="277" t="s"/>
      <c r="X6" s="277" t="s"/>
      <c r="Y6" s="277" t="s"/>
      <c r="Z6" s="277" t="s"/>
      <c r="AA6" s="277" t="s"/>
      <c r="AB6" s="277" t="s"/>
      <c r="AC6" s="280" t="s"/>
      <c r="AD6" s="280" t="s"/>
      <c r="AE6" s="280" t="s"/>
      <c r="AF6" s="280" t="s"/>
      <c r="AG6" s="280" t="s"/>
      <c r="AH6" s="280" t="s"/>
      <c r="AI6" s="280" t="s"/>
      <c r="AJ6" s="280" t="s"/>
      <c r="AK6" s="280" t="s"/>
      <c r="AL6" s="280" t="s"/>
      <c r="AM6" s="280" t="s"/>
      <c r="AN6" s="280" t="s"/>
      <c r="AO6" s="280" t="s"/>
      <c r="AP6" s="280" t="s"/>
      <c r="AQ6" s="280" t="s"/>
      <c r="AR6" s="280" t="s"/>
      <c r="AS6" s="280" t="s"/>
      <c r="AT6" s="280" t="s"/>
      <c r="AU6" s="280" t="s"/>
      <c r="AV6" s="280" t="s"/>
      <c r="AW6" s="280" t="s"/>
      <c r="AX6" s="280" t="s"/>
      <c r="AY6" s="280" t="s"/>
      <c r="AZ6" s="280" t="s"/>
    </row>
    <row r="7" spans="1:52" s="714" customFormat="true" ht="17.15" customHeight="true">
      <c r="A7" s="277">
        <f>=A6+1</f>
        <v>3</v>
      </c>
      <c r="B7" s="280" t="s"/>
      <c r="C7" s="280" t="s"/>
      <c r="D7" s="280" t="s"/>
      <c r="E7" s="280" t="s"/>
      <c r="F7" s="280" t="s"/>
      <c r="G7" s="280" t="s"/>
      <c r="H7" s="280" t="s"/>
      <c r="I7" s="280" t="s"/>
      <c r="J7" s="280" t="s"/>
      <c r="K7" s="280" t="s"/>
      <c r="L7" s="280" t="s"/>
      <c r="M7" s="280" t="s"/>
      <c r="N7" s="280" t="s"/>
      <c r="O7" s="280" t="s"/>
      <c r="P7" s="280" t="s"/>
      <c r="Q7" s="280" t="s"/>
      <c r="R7" s="280" t="s"/>
      <c r="S7" s="280" t="s"/>
      <c r="T7" s="277" t="s"/>
      <c r="U7" s="277" t="s"/>
      <c r="V7" s="277" t="s"/>
      <c r="W7" s="277" t="s"/>
      <c r="X7" s="277" t="s"/>
      <c r="Y7" s="277" t="s"/>
      <c r="Z7" s="277" t="s"/>
      <c r="AA7" s="277" t="s"/>
      <c r="AB7" s="277" t="s"/>
      <c r="AC7" s="280" t="s"/>
      <c r="AD7" s="280" t="s"/>
      <c r="AE7" s="280" t="s"/>
      <c r="AF7" s="280" t="s"/>
      <c r="AG7" s="280" t="s"/>
      <c r="AH7" s="280" t="s"/>
      <c r="AI7" s="280" t="s"/>
      <c r="AJ7" s="280" t="s"/>
      <c r="AK7" s="280" t="s"/>
      <c r="AL7" s="280" t="s"/>
      <c r="AM7" s="280" t="s"/>
      <c r="AN7" s="280" t="s"/>
      <c r="AO7" s="280" t="s"/>
      <c r="AP7" s="280" t="s"/>
      <c r="AQ7" s="280" t="s"/>
      <c r="AR7" s="280" t="s"/>
      <c r="AS7" s="280" t="s"/>
      <c r="AT7" s="280" t="s"/>
      <c r="AU7" s="280" t="s"/>
      <c r="AV7" s="280" t="s"/>
      <c r="AW7" s="280" t="s"/>
      <c r="AX7" s="280" t="s"/>
      <c r="AY7" s="280" t="s"/>
      <c r="AZ7" s="280" t="s"/>
    </row>
    <row r="8" spans="1:52" s="714" customFormat="true" ht="17.15" customHeight="true">
      <c r="A8" s="277">
        <f>=A7+1</f>
        <v>4</v>
      </c>
      <c r="B8" s="280" t="s"/>
      <c r="C8" s="280" t="s"/>
      <c r="D8" s="280" t="s"/>
      <c r="E8" s="280" t="s"/>
      <c r="F8" s="280" t="s"/>
      <c r="G8" s="280" t="s"/>
      <c r="H8" s="280" t="s"/>
      <c r="I8" s="280" t="s"/>
      <c r="J8" s="280" t="s"/>
      <c r="K8" s="280" t="s"/>
      <c r="L8" s="280" t="s"/>
      <c r="M8" s="280" t="s"/>
      <c r="N8" s="280" t="s"/>
      <c r="O8" s="280" t="s"/>
      <c r="P8" s="280" t="s"/>
      <c r="Q8" s="280" t="s"/>
      <c r="R8" s="280" t="s"/>
      <c r="S8" s="280" t="s"/>
      <c r="T8" s="277" t="s"/>
      <c r="U8" s="277" t="s"/>
      <c r="V8" s="277" t="s"/>
      <c r="W8" s="277" t="s"/>
      <c r="X8" s="277" t="s"/>
      <c r="Y8" s="277" t="s"/>
      <c r="Z8" s="277" t="s"/>
      <c r="AA8" s="277" t="s"/>
      <c r="AB8" s="277" t="s"/>
      <c r="AC8" s="280" t="s"/>
      <c r="AD8" s="280" t="s"/>
      <c r="AE8" s="280" t="s"/>
      <c r="AF8" s="280" t="s"/>
      <c r="AG8" s="280" t="s"/>
      <c r="AH8" s="280" t="s"/>
      <c r="AI8" s="280" t="s"/>
      <c r="AJ8" s="280" t="s"/>
      <c r="AK8" s="280" t="s"/>
      <c r="AL8" s="280" t="s"/>
      <c r="AM8" s="280" t="s"/>
      <c r="AN8" s="280" t="s"/>
      <c r="AO8" s="280" t="s"/>
      <c r="AP8" s="280" t="s"/>
      <c r="AQ8" s="280" t="s"/>
      <c r="AR8" s="280" t="s"/>
      <c r="AS8" s="280" t="s"/>
      <c r="AT8" s="280" t="s"/>
      <c r="AU8" s="280" t="s"/>
      <c r="AV8" s="280" t="s"/>
      <c r="AW8" s="280" t="s"/>
      <c r="AX8" s="280" t="s"/>
      <c r="AY8" s="280" t="s"/>
      <c r="AZ8" s="280" t="s"/>
    </row>
    <row r="9" spans="1:52" s="714" customFormat="true" ht="17.15" customHeight="true">
      <c r="A9" s="277">
        <f>=A8+1</f>
        <v>5</v>
      </c>
      <c r="B9" s="280" t="s"/>
      <c r="C9" s="280" t="s"/>
      <c r="D9" s="280" t="s"/>
      <c r="E9" s="280" t="s"/>
      <c r="F9" s="280" t="s"/>
      <c r="G9" s="280" t="s"/>
      <c r="H9" s="280" t="s"/>
      <c r="I9" s="280" t="s"/>
      <c r="J9" s="280" t="s"/>
      <c r="K9" s="280" t="s"/>
      <c r="L9" s="280" t="s"/>
      <c r="M9" s="280" t="s"/>
      <c r="N9" s="280" t="s"/>
      <c r="O9" s="280" t="s"/>
      <c r="P9" s="280" t="s"/>
      <c r="Q9" s="280" t="s"/>
      <c r="R9" s="280" t="s"/>
      <c r="S9" s="280" t="s"/>
      <c r="T9" s="277" t="s"/>
      <c r="U9" s="277" t="s"/>
      <c r="V9" s="277" t="s"/>
      <c r="W9" s="277" t="s"/>
      <c r="X9" s="277" t="s"/>
      <c r="Y9" s="277" t="s"/>
      <c r="Z9" s="277" t="s"/>
      <c r="AA9" s="277" t="s"/>
      <c r="AB9" s="277" t="s"/>
      <c r="AC9" s="280" t="s"/>
      <c r="AD9" s="280" t="s"/>
      <c r="AE9" s="280" t="s"/>
      <c r="AF9" s="280" t="s"/>
      <c r="AG9" s="280" t="s"/>
      <c r="AH9" s="280" t="s"/>
      <c r="AI9" s="280" t="s"/>
      <c r="AJ9" s="280" t="s"/>
      <c r="AK9" s="280" t="s"/>
      <c r="AL9" s="280" t="s"/>
      <c r="AM9" s="280" t="s"/>
      <c r="AN9" s="280" t="s"/>
      <c r="AO9" s="280" t="s"/>
      <c r="AP9" s="280" t="s"/>
      <c r="AQ9" s="280" t="s"/>
      <c r="AR9" s="280" t="s"/>
      <c r="AS9" s="280" t="s"/>
      <c r="AT9" s="280" t="s"/>
      <c r="AU9" s="280" t="s"/>
      <c r="AV9" s="280" t="s"/>
      <c r="AW9" s="280" t="s"/>
      <c r="AX9" s="280" t="s"/>
      <c r="AY9" s="280" t="s"/>
      <c r="AZ9" s="280" t="s"/>
    </row>
    <row r="10" spans="1:52" s="714" customFormat="true" ht="17.15" customHeight="true">
      <c r="A10" s="277">
        <f>=A9+1</f>
        <v>6</v>
      </c>
      <c r="B10" s="280" t="s"/>
      <c r="C10" s="280" t="s"/>
      <c r="D10" s="280" t="s"/>
      <c r="E10" s="280" t="s"/>
      <c r="F10" s="280" t="s"/>
      <c r="G10" s="280" t="s"/>
      <c r="H10" s="280" t="s"/>
      <c r="I10" s="280" t="s"/>
      <c r="J10" s="280" t="s"/>
      <c r="K10" s="280" t="s"/>
      <c r="L10" s="280" t="s"/>
      <c r="M10" s="280" t="s"/>
      <c r="N10" s="280" t="s"/>
      <c r="O10" s="280" t="s"/>
      <c r="P10" s="280" t="s"/>
      <c r="Q10" s="280" t="s"/>
      <c r="R10" s="280" t="s"/>
      <c r="S10" s="280" t="s"/>
      <c r="T10" s="277" t="s"/>
      <c r="U10" s="277" t="s"/>
      <c r="V10" s="277" t="s"/>
      <c r="W10" s="277" t="s"/>
      <c r="X10" s="277" t="s"/>
      <c r="Y10" s="277" t="s"/>
      <c r="Z10" s="277" t="s"/>
      <c r="AA10" s="277" t="s"/>
      <c r="AB10" s="277" t="s"/>
      <c r="AC10" s="280" t="s"/>
      <c r="AD10" s="280" t="s"/>
      <c r="AE10" s="280" t="s"/>
      <c r="AF10" s="280" t="s"/>
      <c r="AG10" s="280" t="s"/>
      <c r="AH10" s="280" t="s"/>
      <c r="AI10" s="280" t="s"/>
      <c r="AJ10" s="280" t="s"/>
      <c r="AK10" s="280" t="s"/>
      <c r="AL10" s="280" t="s"/>
      <c r="AM10" s="280" t="s"/>
      <c r="AN10" s="280" t="s"/>
      <c r="AO10" s="280" t="s"/>
      <c r="AP10" s="280" t="s"/>
      <c r="AQ10" s="280" t="s"/>
      <c r="AR10" s="280" t="s"/>
      <c r="AS10" s="280" t="s"/>
      <c r="AT10" s="280" t="s"/>
      <c r="AU10" s="280" t="s"/>
      <c r="AV10" s="280" t="s"/>
      <c r="AW10" s="280" t="s"/>
      <c r="AX10" s="280" t="s"/>
      <c r="AY10" s="280" t="s"/>
      <c r="AZ10" s="280" t="s"/>
    </row>
    <row r="11" spans="1:52" s="714" customFormat="true" ht="17.15" customHeight="true">
      <c r="A11" s="277">
        <f>=A10+1</f>
        <v>7</v>
      </c>
      <c r="B11" s="280" t="s"/>
      <c r="C11" s="280" t="s"/>
      <c r="D11" s="280" t="s"/>
      <c r="E11" s="280" t="s"/>
      <c r="F11" s="280" t="s"/>
      <c r="G11" s="280" t="s"/>
      <c r="H11" s="280" t="s"/>
      <c r="I11" s="280" t="s"/>
      <c r="J11" s="280" t="s"/>
      <c r="K11" s="280" t="s"/>
      <c r="L11" s="280" t="s"/>
      <c r="M11" s="280" t="s"/>
      <c r="N11" s="280" t="s"/>
      <c r="O11" s="280" t="s"/>
      <c r="P11" s="280" t="s"/>
      <c r="Q11" s="280" t="s"/>
      <c r="R11" s="280" t="s"/>
      <c r="S11" s="280" t="s"/>
      <c r="T11" s="277" t="s"/>
      <c r="U11" s="277" t="s"/>
      <c r="V11" s="277" t="s"/>
      <c r="W11" s="277" t="s"/>
      <c r="X11" s="277" t="s"/>
      <c r="Y11" s="277" t="s"/>
      <c r="Z11" s="277" t="s"/>
      <c r="AA11" s="277" t="s"/>
      <c r="AB11" s="277" t="s"/>
      <c r="AC11" s="280" t="s"/>
      <c r="AD11" s="280" t="s"/>
      <c r="AE11" s="280" t="s"/>
      <c r="AF11" s="280" t="s"/>
      <c r="AG11" s="280" t="s"/>
      <c r="AH11" s="280" t="s"/>
      <c r="AI11" s="280" t="s"/>
      <c r="AJ11" s="280" t="s"/>
      <c r="AK11" s="280" t="s"/>
      <c r="AL11" s="280" t="s"/>
      <c r="AM11" s="280" t="s"/>
      <c r="AN11" s="280" t="s"/>
      <c r="AO11" s="280" t="s"/>
      <c r="AP11" s="280" t="s"/>
      <c r="AQ11" s="280" t="s"/>
      <c r="AR11" s="280" t="s"/>
      <c r="AS11" s="280" t="s"/>
      <c r="AT11" s="280" t="s"/>
      <c r="AU11" s="280" t="s"/>
      <c r="AV11" s="280" t="s"/>
      <c r="AW11" s="280" t="s"/>
      <c r="AX11" s="280" t="s"/>
      <c r="AY11" s="280" t="s"/>
      <c r="AZ11" s="280" t="s"/>
    </row>
    <row r="12" spans="1:52" s="714" customFormat="true" ht="17.15" customHeight="true">
      <c r="A12" s="277">
        <f>=A11+1</f>
        <v>8</v>
      </c>
      <c r="B12" s="280" t="s"/>
      <c r="C12" s="280" t="s"/>
      <c r="D12" s="280" t="s"/>
      <c r="E12" s="280" t="s"/>
      <c r="F12" s="280" t="s"/>
      <c r="G12" s="280" t="s"/>
      <c r="H12" s="280" t="s"/>
      <c r="I12" s="280" t="s"/>
      <c r="J12" s="280" t="s"/>
      <c r="K12" s="280" t="s"/>
      <c r="L12" s="280" t="s"/>
      <c r="M12" s="280" t="s"/>
      <c r="N12" s="280" t="s"/>
      <c r="O12" s="280" t="s"/>
      <c r="P12" s="280" t="s"/>
      <c r="Q12" s="280" t="s"/>
      <c r="R12" s="280" t="s"/>
      <c r="S12" s="280" t="s"/>
      <c r="T12" s="277" t="s"/>
      <c r="U12" s="277" t="s"/>
      <c r="V12" s="277" t="s"/>
      <c r="W12" s="277" t="s"/>
      <c r="X12" s="277" t="s"/>
      <c r="Y12" s="277" t="s"/>
      <c r="Z12" s="277" t="s"/>
      <c r="AA12" s="277" t="s"/>
      <c r="AB12" s="277" t="s"/>
      <c r="AC12" s="280" t="s"/>
      <c r="AD12" s="280" t="s"/>
      <c r="AE12" s="280" t="s"/>
      <c r="AF12" s="280" t="s"/>
      <c r="AG12" s="280" t="s"/>
      <c r="AH12" s="280" t="s"/>
      <c r="AI12" s="280" t="s"/>
      <c r="AJ12" s="280" t="s"/>
      <c r="AK12" s="280" t="s"/>
      <c r="AL12" s="280" t="s"/>
      <c r="AM12" s="280" t="s"/>
      <c r="AN12" s="280" t="s"/>
      <c r="AO12" s="280" t="s"/>
      <c r="AP12" s="280" t="s"/>
      <c r="AQ12" s="280" t="s"/>
      <c r="AR12" s="280" t="s"/>
      <c r="AS12" s="280" t="s"/>
      <c r="AT12" s="280" t="s"/>
      <c r="AU12" s="280" t="s"/>
      <c r="AV12" s="280" t="s"/>
      <c r="AW12" s="280" t="s"/>
      <c r="AX12" s="280" t="s"/>
      <c r="AY12" s="280" t="s"/>
      <c r="AZ12" s="280" t="s"/>
    </row>
    <row r="13" spans="1:52" s="714" customFormat="true" ht="17.15" customHeight="true">
      <c r="A13" s="277">
        <f>=A12+1</f>
        <v>9</v>
      </c>
      <c r="B13" s="280" t="s"/>
      <c r="C13" s="280" t="s"/>
      <c r="D13" s="280" t="s"/>
      <c r="E13" s="280" t="s"/>
      <c r="F13" s="280" t="s"/>
      <c r="G13" s="280" t="s"/>
      <c r="H13" s="280" t="s"/>
      <c r="I13" s="280" t="s"/>
      <c r="J13" s="280" t="s"/>
      <c r="K13" s="280" t="s"/>
      <c r="L13" s="280" t="s"/>
      <c r="M13" s="280" t="s"/>
      <c r="N13" s="280" t="s"/>
      <c r="O13" s="280" t="s"/>
      <c r="P13" s="280" t="s"/>
      <c r="Q13" s="280" t="s"/>
      <c r="R13" s="280" t="s"/>
      <c r="S13" s="280" t="s"/>
      <c r="T13" s="277" t="s"/>
      <c r="U13" s="277" t="s"/>
      <c r="V13" s="277" t="s"/>
      <c r="W13" s="277" t="s"/>
      <c r="X13" s="277" t="s"/>
      <c r="Y13" s="277" t="s"/>
      <c r="Z13" s="277" t="s"/>
      <c r="AA13" s="277" t="s"/>
      <c r="AB13" s="277" t="s"/>
      <c r="AC13" s="280" t="s"/>
      <c r="AD13" s="280" t="s"/>
      <c r="AE13" s="280" t="s"/>
      <c r="AF13" s="280" t="s"/>
      <c r="AG13" s="280" t="s"/>
      <c r="AH13" s="280" t="s"/>
      <c r="AI13" s="280" t="s"/>
      <c r="AJ13" s="280" t="s"/>
      <c r="AK13" s="280" t="s"/>
      <c r="AL13" s="280" t="s"/>
      <c r="AM13" s="280" t="s"/>
      <c r="AN13" s="280" t="s"/>
      <c r="AO13" s="280" t="s"/>
      <c r="AP13" s="280" t="s"/>
      <c r="AQ13" s="280" t="s"/>
      <c r="AR13" s="280" t="s"/>
      <c r="AS13" s="280" t="s"/>
      <c r="AT13" s="280" t="s"/>
      <c r="AU13" s="280" t="s"/>
      <c r="AV13" s="280" t="s"/>
      <c r="AW13" s="280" t="s"/>
      <c r="AX13" s="280" t="s"/>
      <c r="AY13" s="280" t="s"/>
      <c r="AZ13" s="280" t="s"/>
    </row>
    <row r="14" spans="1:52" s="714" customFormat="true" ht="17.15" customHeight="true">
      <c r="A14" s="277">
        <f>=A13+1</f>
        <v>10</v>
      </c>
      <c r="B14" s="280" t="s"/>
      <c r="C14" s="280" t="s"/>
      <c r="D14" s="280" t="s"/>
      <c r="E14" s="280" t="s"/>
      <c r="F14" s="280" t="s"/>
      <c r="G14" s="280" t="s"/>
      <c r="H14" s="280" t="s"/>
      <c r="I14" s="280" t="s"/>
      <c r="J14" s="280" t="s"/>
      <c r="K14" s="280" t="s"/>
      <c r="L14" s="280" t="s"/>
      <c r="M14" s="280" t="s"/>
      <c r="N14" s="280" t="s"/>
      <c r="O14" s="280" t="s"/>
      <c r="P14" s="280" t="s"/>
      <c r="Q14" s="280" t="s"/>
      <c r="R14" s="280" t="s"/>
      <c r="S14" s="280" t="s"/>
      <c r="T14" s="277" t="s"/>
      <c r="U14" s="277" t="s"/>
      <c r="V14" s="277" t="s"/>
      <c r="W14" s="277" t="s"/>
      <c r="X14" s="277" t="s"/>
      <c r="Y14" s="277" t="s"/>
      <c r="Z14" s="277" t="s"/>
      <c r="AA14" s="277" t="s"/>
      <c r="AB14" s="277" t="s"/>
      <c r="AC14" s="280" t="s"/>
      <c r="AD14" s="280" t="s"/>
      <c r="AE14" s="280" t="s"/>
      <c r="AF14" s="280" t="s"/>
      <c r="AG14" s="280" t="s"/>
      <c r="AH14" s="280" t="s"/>
      <c r="AI14" s="280" t="s"/>
      <c r="AJ14" s="280" t="s"/>
      <c r="AK14" s="280" t="s"/>
      <c r="AL14" s="280" t="s"/>
      <c r="AM14" s="280" t="s"/>
      <c r="AN14" s="280" t="s"/>
      <c r="AO14" s="280" t="s"/>
      <c r="AP14" s="280" t="s"/>
      <c r="AQ14" s="280" t="s"/>
      <c r="AR14" s="280" t="s"/>
      <c r="AS14" s="280" t="s"/>
      <c r="AT14" s="280" t="s"/>
      <c r="AU14" s="280" t="s"/>
      <c r="AV14" s="280" t="s"/>
      <c r="AW14" s="280" t="s"/>
      <c r="AX14" s="280" t="s"/>
      <c r="AY14" s="280" t="s"/>
      <c r="AZ14" s="280" t="s"/>
    </row>
    <row r="15" spans="1:52" s="714" customFormat="true" ht="17.15" customHeight="true">
      <c r="A15" s="277">
        <f>=A14+1</f>
        <v>11</v>
      </c>
      <c r="B15" s="280" t="s"/>
      <c r="C15" s="280" t="s"/>
      <c r="D15" s="280" t="s"/>
      <c r="E15" s="280" t="s"/>
      <c r="F15" s="280" t="s"/>
      <c r="G15" s="280" t="s"/>
      <c r="H15" s="280" t="s"/>
      <c r="I15" s="280" t="s"/>
      <c r="J15" s="280" t="s"/>
      <c r="K15" s="280" t="s"/>
      <c r="L15" s="280" t="s"/>
      <c r="M15" s="280" t="s"/>
      <c r="N15" s="280" t="s"/>
      <c r="O15" s="280" t="s"/>
      <c r="P15" s="280" t="s"/>
      <c r="Q15" s="280" t="s"/>
      <c r="R15" s="280" t="s"/>
      <c r="S15" s="280" t="s"/>
      <c r="T15" s="277" t="s"/>
      <c r="U15" s="277" t="s"/>
      <c r="V15" s="277" t="s"/>
      <c r="W15" s="277" t="s"/>
      <c r="X15" s="277" t="s"/>
      <c r="Y15" s="277" t="s"/>
      <c r="Z15" s="277" t="s"/>
      <c r="AA15" s="277" t="s"/>
      <c r="AB15" s="277" t="s"/>
      <c r="AC15" s="280" t="s"/>
      <c r="AD15" s="280" t="s"/>
      <c r="AE15" s="280" t="s"/>
      <c r="AF15" s="280" t="s"/>
      <c r="AG15" s="280" t="s"/>
      <c r="AH15" s="280" t="s"/>
      <c r="AI15" s="280" t="s"/>
      <c r="AJ15" s="280" t="s"/>
      <c r="AK15" s="280" t="s"/>
      <c r="AL15" s="280" t="s"/>
      <c r="AM15" s="280" t="s"/>
      <c r="AN15" s="280" t="s"/>
      <c r="AO15" s="280" t="s"/>
      <c r="AP15" s="280" t="s"/>
      <c r="AQ15" s="280" t="s"/>
      <c r="AR15" s="280" t="s"/>
      <c r="AS15" s="280" t="s"/>
      <c r="AT15" s="280" t="s"/>
      <c r="AU15" s="280" t="s"/>
      <c r="AV15" s="280" t="s"/>
      <c r="AW15" s="280" t="s"/>
      <c r="AX15" s="280" t="s"/>
      <c r="AY15" s="280" t="s"/>
      <c r="AZ15" s="280" t="s"/>
    </row>
    <row r="16" spans="1:52" s="714" customFormat="true" ht="17.15" customHeight="true">
      <c r="A16" s="277">
        <f>=A15+1</f>
        <v>12</v>
      </c>
      <c r="B16" s="280" t="s"/>
      <c r="C16" s="280" t="s"/>
      <c r="D16" s="280" t="s"/>
      <c r="E16" s="280" t="s"/>
      <c r="F16" s="280" t="s"/>
      <c r="G16" s="280" t="s"/>
      <c r="H16" s="280" t="s"/>
      <c r="I16" s="280" t="s"/>
      <c r="J16" s="280" t="s"/>
      <c r="K16" s="280" t="s"/>
      <c r="L16" s="280" t="s"/>
      <c r="M16" s="280" t="s"/>
      <c r="N16" s="280" t="s"/>
      <c r="O16" s="280" t="s"/>
      <c r="P16" s="280" t="s"/>
      <c r="Q16" s="280" t="s"/>
      <c r="R16" s="280" t="s"/>
      <c r="S16" s="280" t="s"/>
      <c r="T16" s="277" t="s"/>
      <c r="U16" s="277" t="s"/>
      <c r="V16" s="277" t="s"/>
      <c r="W16" s="277" t="s"/>
      <c r="X16" s="277" t="s"/>
      <c r="Y16" s="277" t="s"/>
      <c r="Z16" s="277" t="s"/>
      <c r="AA16" s="277" t="s"/>
      <c r="AB16" s="277" t="s"/>
      <c r="AC16" s="280" t="s"/>
      <c r="AD16" s="280" t="s"/>
      <c r="AE16" s="280" t="s"/>
      <c r="AF16" s="280" t="s"/>
      <c r="AG16" s="280" t="s"/>
      <c r="AH16" s="280" t="s"/>
      <c r="AI16" s="280" t="s"/>
      <c r="AJ16" s="280" t="s"/>
      <c r="AK16" s="280" t="s"/>
      <c r="AL16" s="280" t="s"/>
      <c r="AM16" s="280" t="s"/>
      <c r="AN16" s="280" t="s"/>
      <c r="AO16" s="280" t="s"/>
      <c r="AP16" s="280" t="s"/>
      <c r="AQ16" s="280" t="s"/>
      <c r="AR16" s="280" t="s"/>
      <c r="AS16" s="280" t="s"/>
      <c r="AT16" s="280" t="s"/>
      <c r="AU16" s="280" t="s"/>
      <c r="AV16" s="280" t="s"/>
      <c r="AW16" s="280" t="s"/>
      <c r="AX16" s="280" t="s"/>
      <c r="AY16" s="280" t="s"/>
      <c r="AZ16" s="280" t="s"/>
    </row>
    <row r="17" spans="1:52" s="714" customFormat="true" ht="17.15" customHeight="true">
      <c r="A17" s="277" t="s">
        <v>615</v>
      </c>
      <c r="B17" s="280" t="s"/>
      <c r="C17" s="280" t="s"/>
      <c r="D17" s="280" t="s"/>
      <c r="E17" s="280" t="s"/>
      <c r="F17" s="280" t="s"/>
      <c r="G17" s="280" t="s"/>
      <c r="H17" s="280" t="s"/>
      <c r="I17" s="280" t="s"/>
      <c r="J17" s="280" t="s"/>
      <c r="K17" s="280" t="s"/>
      <c r="L17" s="280" t="s"/>
      <c r="M17" s="280" t="s"/>
      <c r="N17" s="280" t="s"/>
      <c r="O17" s="280" t="s"/>
      <c r="P17" s="280" t="s"/>
      <c r="Q17" s="280" t="s"/>
      <c r="R17" s="280" t="s"/>
      <c r="S17" s="280" t="s"/>
      <c r="T17" s="277" t="s"/>
      <c r="U17" s="277" t="s"/>
      <c r="V17" s="277" t="s"/>
      <c r="W17" s="277" t="s"/>
      <c r="X17" s="277" t="s"/>
      <c r="Y17" s="277" t="s"/>
      <c r="Z17" s="277" t="s"/>
      <c r="AA17" s="277" t="s"/>
      <c r="AB17" s="277" t="s"/>
      <c r="AC17" s="280" t="s"/>
      <c r="AD17" s="280" t="s"/>
      <c r="AE17" s="280" t="s"/>
      <c r="AF17" s="280" t="s"/>
      <c r="AG17" s="280" t="s"/>
      <c r="AH17" s="280" t="s"/>
      <c r="AI17" s="280" t="s"/>
      <c r="AJ17" s="280" t="s"/>
      <c r="AK17" s="280" t="s"/>
      <c r="AL17" s="280" t="s"/>
      <c r="AM17" s="280" t="s"/>
      <c r="AN17" s="280" t="s"/>
      <c r="AO17" s="280" t="s"/>
      <c r="AP17" s="280" t="s"/>
      <c r="AQ17" s="280" t="s"/>
      <c r="AR17" s="280" t="s"/>
      <c r="AS17" s="280" t="s"/>
      <c r="AT17" s="280" t="s"/>
      <c r="AU17" s="280" t="s"/>
      <c r="AV17" s="280" t="s"/>
      <c r="AW17" s="280" t="s"/>
      <c r="AX17" s="280" t="s"/>
      <c r="AY17" s="280" t="s"/>
      <c r="AZ17" s="280" t="s"/>
    </row>
    <row r="18" spans="1:52" s="714" customFormat="true" ht="12">
      <c r="A18" s="290" t="s"/>
      <c r="T18" s="290" t="s"/>
      <c r="U18" s="290" t="s"/>
      <c r="V18" s="290" t="s"/>
      <c r="W18" s="290" t="s"/>
      <c r="X18" s="290" t="s"/>
      <c r="Y18" s="290" t="s"/>
      <c r="Z18" s="290" t="s"/>
      <c r="AA18" s="290" t="s"/>
      <c r="AB18" s="290" t="s"/>
      <c r="AZ18" s="475" t="s"/>
    </row>
    <row r="19" spans="2:2" ht="15.6">
      <c r="B19" s="291" t="s"/>
    </row>
    <row r="20" spans="2:2" ht="15.6">
      <c r="B20" s="292" t="s"/>
    </row>
    <row r="21" spans="2:2" ht="15.6">
      <c r="B21" s="292" t="s"/>
    </row>
    <row r="22" spans="2:2" ht="15.6">
      <c r="B22" s="292" t="s"/>
    </row>
    <row r="23" spans="2:2" ht="15.6">
      <c r="B23" s="292" t="s"/>
    </row>
  </sheetData>
  <sheetProtection/>
  <mergeCells count="57">
    <mergeCell ref="A1:AZ1"/>
    <mergeCell ref="J2:K2"/>
    <mergeCell ref="N2:S2"/>
    <mergeCell ref="T2:V2"/>
    <mergeCell ref="W2:Y2"/>
    <mergeCell ref="Z2:AB2"/>
    <mergeCell ref="AC2:AE2"/>
    <mergeCell ref="AF2:AJ2"/>
    <mergeCell ref="AK2:AQ2"/>
    <mergeCell ref="AR2:AT2"/>
    <mergeCell ref="AV2:AY2"/>
    <mergeCell ref="L3:M3"/>
    <mergeCell ref="N3:O3"/>
    <mergeCell ref="P3:Q3"/>
    <mergeCell ref="R3:S3"/>
    <mergeCell ref="AD3:AE3"/>
    <mergeCell ref="AH3:AI3"/>
    <mergeCell ref="A2:A4"/>
    <mergeCell ref="B2:B4"/>
    <mergeCell ref="C2:C4"/>
    <mergeCell ref="D2:D4"/>
    <mergeCell ref="E2:E4"/>
    <mergeCell ref="F2:F4"/>
    <mergeCell ref="G2:G4"/>
    <mergeCell ref="H2:H4"/>
    <mergeCell ref="I2:I4"/>
    <mergeCell ref="J3:J4"/>
    <mergeCell ref="K3:K4"/>
    <mergeCell ref="T3:T4"/>
    <mergeCell ref="U3:U4"/>
    <mergeCell ref="V3:V4"/>
    <mergeCell ref="W3:W4"/>
    <mergeCell ref="X3:X4"/>
    <mergeCell ref="Y3:Y4"/>
    <mergeCell ref="Z3:Z4"/>
    <mergeCell ref="AA3:AA4"/>
    <mergeCell ref="AB3:AB4"/>
    <mergeCell ref="AC3:AC4"/>
    <mergeCell ref="AF3:AF4"/>
    <mergeCell ref="AG3:AG4"/>
    <mergeCell ref="AJ3:AJ4"/>
    <mergeCell ref="AK3:AK4"/>
    <mergeCell ref="AL3:AL4"/>
    <mergeCell ref="AM3:AM4"/>
    <mergeCell ref="AN3:AN4"/>
    <mergeCell ref="AO3:AO4"/>
    <mergeCell ref="AP3:AP4"/>
    <mergeCell ref="AQ3:AQ4"/>
    <mergeCell ref="AR3:AR4"/>
    <mergeCell ref="AS3:AS4"/>
    <mergeCell ref="AT3:AT4"/>
    <mergeCell ref="AU2:AU4"/>
    <mergeCell ref="AV3:AV4"/>
    <mergeCell ref="AW3:AW4"/>
    <mergeCell ref="AX3:AX4"/>
    <mergeCell ref="AY3:AY4"/>
    <mergeCell ref="AZ2:AZ4"/>
  </mergeCells>
  <printOptions horizontalCentered="true"/>
  <pageMargins left="0" right="0" top="0.984252" bottom="0.984252" header="0.511811" footer="0.511811"/>
  <pageSetup paperSize="9" scale="58" orientation="landscape"/>
  <headerFooter alignWithMargins="false"/>
  <legacyDrawing r:id="rId0"/>
</worksheet>
</file>

<file path=xl/worksheets/sheet36.xml><?xml version="1.0" encoding="utf-8"?>
<worksheet xmlns:r="http://schemas.openxmlformats.org/officeDocument/2006/relationships" xmlns="http://schemas.openxmlformats.org/spreadsheetml/2006/main">
  <sheetPr>
    <pageSetUpPr fitToPage="true"/>
  </sheetPr>
  <dimension ref="BI23"/>
  <sheetViews>
    <sheetView showGridLines="false" showZeros="false" topLeftCell="F1" workbookViewId="0"/>
  </sheetViews>
  <sheetFormatPr defaultColWidth="8.66406" defaultRowHeight="15.75"/>
  <cols>
    <col min="1" max="1" width="3" style="715"/>
    <col min="2" max="2" width="4.125"/>
    <col min="3" max="4" width="4.625"/>
    <col min="5" max="6" width="4.875"/>
    <col min="7" max="10" width="4.5"/>
    <col min="11" max="12" width="4.125"/>
    <col min="13" max="13" width="3.875"/>
    <col min="14" max="14" width="4.125"/>
    <col min="15" max="16" width="4"/>
    <col min="17" max="17" width="3.875"/>
    <col min="18" max="18" width="4"/>
    <col min="19" max="27" width="6.125" style="713"/>
    <col min="28" max="28" width="5.875"/>
    <col min="29" max="30" width="6.5"/>
    <col min="31" max="31" width="5.5"/>
    <col min="32" max="34" width="4.875"/>
    <col min="35" max="35" width="5.5"/>
    <col min="36" max="42" width="6.625"/>
    <col min="43" max="47" width="6.625"/>
    <col min="48" max="53" width="7.125"/>
    <col min="54" max="54" width="7.375"/>
    <col min="55" max="56" width="4.5"/>
    <col min="57" max="57" width="4.625"/>
    <col min="58" max="58" width="5.125"/>
    <col min="59" max="59" width="5.375"/>
    <col min="60" max="60" width="6.5"/>
  </cols>
  <sheetData>
    <row r="1" spans="1:60" ht="32" customHeight="true">
      <c r="A1" s="266" t="s">
        <v>593</v>
      </c>
      <c r="B1" s="266" t="s"/>
      <c r="C1" s="266" t="s"/>
      <c r="D1" s="266" t="s"/>
      <c r="E1" s="266" t="s"/>
      <c r="F1" s="266" t="s"/>
      <c r="G1" s="266" t="s"/>
      <c r="H1" s="266" t="s"/>
      <c r="I1" s="266" t="s"/>
      <c r="J1" s="266" t="s"/>
      <c r="K1" s="266" t="s"/>
      <c r="L1" s="266" t="s"/>
      <c r="M1" s="266" t="s"/>
      <c r="N1" s="266" t="s"/>
      <c r="O1" s="266" t="s"/>
      <c r="P1" s="266" t="s"/>
      <c r="Q1" s="266" t="s"/>
      <c r="R1" s="266" t="s"/>
      <c r="S1" s="266" t="s"/>
      <c r="T1" s="266" t="s"/>
      <c r="U1" s="266" t="s"/>
      <c r="V1" s="266" t="s"/>
      <c r="W1" s="266" t="s"/>
      <c r="X1" s="266" t="s"/>
      <c r="Y1" s="266" t="s"/>
      <c r="Z1" s="266" t="s"/>
      <c r="AA1" s="266" t="s"/>
      <c r="AB1" s="266" t="s"/>
      <c r="AC1" s="266" t="s"/>
      <c r="AD1" s="266" t="s"/>
      <c r="AE1" s="266" t="s"/>
      <c r="AF1" s="266" t="s"/>
      <c r="AG1" s="266" t="s"/>
      <c r="AH1" s="266" t="s"/>
      <c r="AI1" s="266" t="s"/>
      <c r="AJ1" s="266" t="s"/>
      <c r="AK1" s="266" t="s"/>
      <c r="AL1" s="266" t="s"/>
      <c r="AM1" s="266" t="s"/>
      <c r="AN1" s="266" t="s"/>
      <c r="AO1" s="266" t="s"/>
      <c r="AP1" s="266" t="s"/>
      <c r="AQ1" s="266" t="s"/>
      <c r="AR1" s="266" t="s"/>
      <c r="AS1" s="266" t="s"/>
      <c r="AT1" s="266" t="s"/>
      <c r="AU1" s="266" t="s"/>
      <c r="AV1" s="266" t="s"/>
      <c r="AW1" s="266" t="s"/>
      <c r="AX1" s="266" t="s"/>
      <c r="AY1" s="266" t="s"/>
      <c r="AZ1" s="266" t="s"/>
      <c r="BA1" s="266" t="s"/>
      <c r="BB1" s="266" t="s"/>
      <c r="BC1" s="266" t="s"/>
      <c r="BD1" s="266" t="s"/>
      <c r="BE1" s="266" t="s"/>
      <c r="BF1" s="266" t="s"/>
      <c r="BG1" s="266" t="s"/>
      <c r="BH1" s="266" t="s"/>
    </row>
    <row r="2" spans="1:60" s="714" customFormat="true" ht="17.4" customHeight="true">
      <c r="A2" s="267" t="s">
        <v>525</v>
      </c>
      <c r="B2" s="268" t="s">
        <v>594</v>
      </c>
      <c r="C2" s="267" t="s">
        <v>595</v>
      </c>
      <c r="D2" s="268" t="s">
        <v>189</v>
      </c>
      <c r="E2" s="267" t="s">
        <v>188</v>
      </c>
      <c r="F2" s="267" t="s">
        <v>190</v>
      </c>
      <c r="G2" s="267" t="s">
        <v>191</v>
      </c>
      <c r="H2" s="267" t="s">
        <v>192</v>
      </c>
      <c r="I2" s="269" t="s">
        <v>193</v>
      </c>
      <c r="J2" s="270" t="s"/>
      <c r="K2" s="269" t="s"/>
      <c r="L2" s="271" t="s"/>
      <c r="M2" s="272" t="s">
        <v>196</v>
      </c>
      <c r="N2" s="272" t="s"/>
      <c r="O2" s="272" t="s"/>
      <c r="P2" s="272" t="s"/>
      <c r="Q2" s="272" t="s"/>
      <c r="R2" s="273" t="s"/>
      <c r="S2" s="274" t="s">
        <v>200</v>
      </c>
      <c r="T2" s="275" t="s"/>
      <c r="U2" s="276" t="s"/>
      <c r="V2" s="274" t="s">
        <v>200</v>
      </c>
      <c r="W2" s="275" t="s"/>
      <c r="X2" s="276" t="s"/>
      <c r="Y2" s="274" t="s">
        <v>200</v>
      </c>
      <c r="Z2" s="275" t="s"/>
      <c r="AA2" s="276" t="s"/>
      <c r="AB2" s="277" t="s">
        <v>596</v>
      </c>
      <c r="AC2" s="277" t="s"/>
      <c r="AD2" s="277" t="s"/>
      <c r="AE2" s="277" t="s">
        <v>597</v>
      </c>
      <c r="AF2" s="277" t="s"/>
      <c r="AG2" s="277" t="s"/>
      <c r="AH2" s="277" t="s"/>
      <c r="AI2" s="277" t="s"/>
      <c r="AJ2" s="277" t="s">
        <v>217</v>
      </c>
      <c r="AK2" s="277" t="s"/>
      <c r="AL2" s="277" t="s"/>
      <c r="AM2" s="277" t="s"/>
      <c r="AN2" s="274" t="s"/>
      <c r="AO2" s="274" t="s"/>
      <c r="AP2" s="274" t="s"/>
      <c r="AQ2" s="277" t="s">
        <v>598</v>
      </c>
      <c r="AR2" s="277" t="s"/>
      <c r="AS2" s="274" t="s"/>
      <c r="AT2" s="274" t="s"/>
      <c r="AU2" s="274" t="s"/>
      <c r="AV2" s="277" t="s">
        <v>599</v>
      </c>
      <c r="AW2" s="277" t="s"/>
      <c r="AX2" s="277" t="s"/>
      <c r="AY2" s="277" t="s"/>
      <c r="AZ2" s="277" t="s"/>
      <c r="BA2" s="277" t="s"/>
      <c r="BB2" s="277" t="s"/>
      <c r="BC2" s="277" t="s">
        <v>237</v>
      </c>
      <c r="BD2" s="277" t="s"/>
      <c r="BE2" s="277" t="s"/>
      <c r="BF2" s="277" t="s"/>
      <c r="BG2" s="277" t="s"/>
      <c r="BH2" s="278" t="s">
        <v>243</v>
      </c>
    </row>
    <row r="3" spans="1:60" s="714" customFormat="true" ht="16.5" customHeight="true">
      <c r="A3" s="267" t="s"/>
      <c r="B3" s="279" t="s"/>
      <c r="C3" s="280" t="s"/>
      <c r="D3" s="279" t="s"/>
      <c r="E3" s="280" t="s"/>
      <c r="F3" s="280" t="s"/>
      <c r="G3" s="280" t="s"/>
      <c r="H3" s="280" t="s"/>
      <c r="I3" s="281" t="s">
        <v>194</v>
      </c>
      <c r="J3" s="281" t="s">
        <v>195</v>
      </c>
      <c r="K3" s="282" t="s">
        <v>43</v>
      </c>
      <c r="L3" s="283" t="s"/>
      <c r="M3" s="282" t="s">
        <v>44</v>
      </c>
      <c r="N3" s="283" t="s"/>
      <c r="O3" s="282" t="s">
        <v>45</v>
      </c>
      <c r="P3" s="283" t="s"/>
      <c r="Q3" s="282" t="s">
        <v>46</v>
      </c>
      <c r="R3" s="283" t="s"/>
      <c r="S3" s="268" t="s">
        <v>204</v>
      </c>
      <c r="T3" s="268" t="s">
        <v>205</v>
      </c>
      <c r="U3" s="268" t="s">
        <v>206</v>
      </c>
      <c r="V3" s="268" t="s">
        <v>204</v>
      </c>
      <c r="W3" s="268" t="s">
        <v>205</v>
      </c>
      <c r="X3" s="268" t="s">
        <v>206</v>
      </c>
      <c r="Y3" s="268" t="s">
        <v>204</v>
      </c>
      <c r="Z3" s="268" t="s">
        <v>205</v>
      </c>
      <c r="AA3" s="268" t="s">
        <v>206</v>
      </c>
      <c r="AB3" s="268" t="s">
        <v>401</v>
      </c>
      <c r="AC3" s="277" t="s">
        <v>208</v>
      </c>
      <c r="AD3" s="277" t="s"/>
      <c r="AE3" s="268" t="s">
        <v>600</v>
      </c>
      <c r="AF3" s="268" t="s">
        <v>601</v>
      </c>
      <c r="AG3" s="277" t="s">
        <v>208</v>
      </c>
      <c r="AH3" s="277" t="s"/>
      <c r="AI3" s="281" t="s">
        <v>602</v>
      </c>
      <c r="AJ3" s="267" t="s">
        <v>603</v>
      </c>
      <c r="AK3" s="267" t="s">
        <v>604</v>
      </c>
      <c r="AL3" s="267" t="s">
        <v>605</v>
      </c>
      <c r="AM3" s="267" t="s">
        <v>221</v>
      </c>
      <c r="AN3" s="268" t="s">
        <v>222</v>
      </c>
      <c r="AO3" s="269" t="s">
        <v>606</v>
      </c>
      <c r="AP3" s="269" t="s">
        <v>224</v>
      </c>
      <c r="AQ3" s="267" t="s">
        <v>607</v>
      </c>
      <c r="AR3" s="267" t="s">
        <v>608</v>
      </c>
      <c r="AS3" s="269" t="s">
        <v>609</v>
      </c>
      <c r="AT3" s="269" t="s">
        <v>610</v>
      </c>
      <c r="AU3" s="269" t="s">
        <v>611</v>
      </c>
      <c r="AV3" s="267" t="s">
        <v>230</v>
      </c>
      <c r="AW3" s="269" t="s">
        <v>612</v>
      </c>
      <c r="AX3" s="271" t="s"/>
      <c r="AY3" s="271" t="s"/>
      <c r="AZ3" s="271" t="s"/>
      <c r="BA3" s="271" t="s"/>
      <c r="BB3" s="270" t="s"/>
      <c r="BC3" s="267" t="s">
        <v>238</v>
      </c>
      <c r="BD3" s="267" t="s">
        <v>240</v>
      </c>
      <c r="BE3" s="267" t="s">
        <v>239</v>
      </c>
      <c r="BF3" s="267" t="s">
        <v>241</v>
      </c>
      <c r="BG3" s="267" t="s">
        <v>242</v>
      </c>
      <c r="BH3" s="284" t="s"/>
    </row>
    <row r="4" spans="1:60" s="714" customFormat="true" ht="52.5" customHeight="true">
      <c r="A4" s="267" t="s"/>
      <c r="B4" s="282" t="s"/>
      <c r="C4" s="280" t="s"/>
      <c r="D4" s="282" t="s"/>
      <c r="E4" s="280" t="s"/>
      <c r="F4" s="280" t="s"/>
      <c r="G4" s="280" t="s"/>
      <c r="H4" s="280" t="s"/>
      <c r="I4" s="285" t="s"/>
      <c r="J4" s="285" t="s"/>
      <c r="K4" s="277" t="s">
        <v>198</v>
      </c>
      <c r="L4" s="277" t="s">
        <v>199</v>
      </c>
      <c r="M4" s="277" t="s">
        <v>198</v>
      </c>
      <c r="N4" s="277" t="s">
        <v>199</v>
      </c>
      <c r="O4" s="277" t="s">
        <v>198</v>
      </c>
      <c r="P4" s="277" t="s">
        <v>199</v>
      </c>
      <c r="Q4" s="277" t="s">
        <v>198</v>
      </c>
      <c r="R4" s="277" t="s">
        <v>199</v>
      </c>
      <c r="S4" s="286" t="s"/>
      <c r="T4" s="286" t="s"/>
      <c r="U4" s="286" t="s"/>
      <c r="V4" s="286" t="s"/>
      <c r="W4" s="286" t="s"/>
      <c r="X4" s="286" t="s"/>
      <c r="Y4" s="286" t="s"/>
      <c r="Z4" s="286" t="s"/>
      <c r="AA4" s="286" t="s"/>
      <c r="AB4" s="282" t="s"/>
      <c r="AC4" s="267" t="s">
        <v>209</v>
      </c>
      <c r="AD4" s="267" t="s">
        <v>210</v>
      </c>
      <c r="AE4" s="282" t="s"/>
      <c r="AF4" s="282" t="s"/>
      <c r="AG4" s="267" t="s">
        <v>613</v>
      </c>
      <c r="AH4" s="267" t="s">
        <v>614</v>
      </c>
      <c r="AI4" s="285" t="s"/>
      <c r="AJ4" s="267" t="s"/>
      <c r="AK4" s="267" t="s"/>
      <c r="AL4" s="267" t="s"/>
      <c r="AM4" s="267" t="s"/>
      <c r="AN4" s="282" t="s"/>
      <c r="AO4" s="269" t="s"/>
      <c r="AP4" s="269" t="s"/>
      <c r="AQ4" s="267" t="s"/>
      <c r="AR4" s="267" t="s"/>
      <c r="AS4" s="269" t="s"/>
      <c r="AT4" s="269" t="s"/>
      <c r="AU4" s="269" t="s"/>
      <c r="AV4" s="267" t="s"/>
      <c r="AW4" s="267" t="s">
        <v>3339</v>
      </c>
      <c r="AX4" s="267" t="s">
        <v>3340</v>
      </c>
      <c r="AY4" s="267" t="s">
        <v>233</v>
      </c>
      <c r="AZ4" s="267" t="s">
        <v>234</v>
      </c>
      <c r="BA4" s="267" t="s">
        <v>235</v>
      </c>
      <c r="BB4" s="267" t="s">
        <v>236</v>
      </c>
      <c r="BC4" s="280" t="s"/>
      <c r="BD4" s="280" t="s"/>
      <c r="BE4" s="267" t="s"/>
      <c r="BF4" s="267" t="s"/>
      <c r="BG4" s="267" t="s"/>
      <c r="BH4" s="287" t="s"/>
    </row>
    <row r="5" spans="1:60" s="714" customFormat="true" ht="17.15" customHeight="true">
      <c r="A5" s="277">
        <v>1</v>
      </c>
      <c r="B5" s="280">
        <f>=IF(pgpjtz!$C$2="是",pgpjtz!C3,0)</f>
        <v>0</v>
      </c>
      <c r="C5" s="280">
        <f>=IF(pgpjtz!$C$2="是",pgpjtz!G3,0)</f>
        <v>0</v>
      </c>
      <c r="D5" s="280">
        <f>=IF(pgpjtz!$C$2="是",pgpjtz!C4,0)</f>
        <v>0</v>
      </c>
      <c r="E5" s="280">
        <f>=IF(pgpjtz!$C$2="是",pgpjtz!J3,0)</f>
        <v>0</v>
      </c>
      <c r="F5" s="280">
        <f>=IF(pgpjtz!$C$2="是",pgpjtz!J4,0)</f>
        <v>0</v>
      </c>
      <c r="G5" s="280">
        <f>=IF(pgpjtz!$C$2="是",pgpjtz!C5,0)</f>
        <v>0</v>
      </c>
      <c r="H5" s="280">
        <f>=IF(pgpjtz!$C$2="是",pgpjtz!H5,0)</f>
        <v>0</v>
      </c>
      <c r="I5" s="280">
        <f>=IF(pgpjtz!$C$2="是",pgpjtz!E6,0)</f>
        <v>0</v>
      </c>
      <c r="J5" s="280">
        <f>=IF(pgpjtz!$C$2="是",pgpjtz!I6,0)</f>
        <v>0</v>
      </c>
      <c r="K5" s="280">
        <f>=IF(pgpjtz!$C$2="是",pgpjtz!F8,0)</f>
        <v>0</v>
      </c>
      <c r="L5" s="280">
        <f>=IF(pgpjtz!$C$2="是",pgpjtz!I8,0)</f>
        <v>0</v>
      </c>
      <c r="M5" s="280">
        <f>=IF(pgpjtz!$C$2="是",pgpjtz!F9,0)</f>
        <v>0</v>
      </c>
      <c r="N5" s="280">
        <f>=IF(pgpjtz!$C$2="是",pgpjtz!I9,0)</f>
        <v>0</v>
      </c>
      <c r="O5" s="280">
        <f>=IF(pgpjtz!$C$2="是",pgpjtz!F10,0)</f>
        <v>0</v>
      </c>
      <c r="P5" s="280">
        <f>=IF(pgpjtz!$C$2="是",pgpjtz!I10,0)</f>
        <v>0</v>
      </c>
      <c r="Q5" s="280">
        <f>=IF(pgpjtz!$C$2="是",pgpjtz!F11,0)</f>
        <v>0</v>
      </c>
      <c r="R5" s="280">
        <f>=IF(pgpjtz!$C$2="是",pgpjtz!I11,0)</f>
        <v>0</v>
      </c>
      <c r="S5" s="280">
        <f>=IF(pgpjtz!$C$2="是",pgpjtz!C14,0)</f>
        <v>0</v>
      </c>
      <c r="T5" s="280">
        <f>=IF(pgpjtz!$C$2="是",pgpjtz!D14,0)</f>
        <v>0</v>
      </c>
      <c r="U5" s="288">
        <f>=IF(pgpjtz!$C$2="是",pgpjtz!E14,0)</f>
        <v>0</v>
      </c>
      <c r="V5" s="280">
        <f>=IF(pgpjtz!$C$2="是",pgpjtz!F14,0)</f>
        <v>0</v>
      </c>
      <c r="W5" s="280">
        <f>=IF(pgpjtz!$C$2="是",pgpjtz!G14,0)</f>
        <v>0</v>
      </c>
      <c r="X5" s="288">
        <f>=IF(pgpjtz!$C$2="是",pgpjtz!H14,0)</f>
        <v>0</v>
      </c>
      <c r="Y5" s="280">
        <f>=IF(pgpjtz!$C$2="是",pgpjtz!I14,0)</f>
        <v>0</v>
      </c>
      <c r="Z5" s="280">
        <f>=IF(pgpjtz!$C$2="是",pgpjtz!J14,0)</f>
        <v>0</v>
      </c>
      <c r="AA5" s="288">
        <f>=IF(pgpjtz!$C$2="是",pgpjtz!K14,0)</f>
        <v>0</v>
      </c>
      <c r="AB5" s="288">
        <f>=IF(pgpjtz!$C$2="是",pgpjtz!C15,0)</f>
        <v>0</v>
      </c>
      <c r="AC5" s="288">
        <f>=IF(pgpjtz!$C$2="是",pgpjtz!E16,0)</f>
        <v>0</v>
      </c>
      <c r="AD5" s="288">
        <f>=IF(pgpjtz!$C$2="是",pgpjtz!I16,0)</f>
        <v>0</v>
      </c>
      <c r="AE5" s="288">
        <f>=IF(pgpjtz!$C$2="是",pgpjtz!C18,0)</f>
        <v>0</v>
      </c>
      <c r="AF5" s="288">
        <f>=IF(pgpjtz!$C$2="是",pgpjtz!E18,0)</f>
        <v>0</v>
      </c>
      <c r="AG5" s="288">
        <f>=IF(pgpjtz!$C$2="是",pgpjtz!G18,0)</f>
        <v>0</v>
      </c>
      <c r="AH5" s="288">
        <f>=IF(pgpjtz!$C$2="是",pgpjtz!I18,0)</f>
        <v>0</v>
      </c>
      <c r="AI5" s="288">
        <f>=IF(pgpjtz!$C$2="是",pgpjtz!K18,0)</f>
        <v>0</v>
      </c>
      <c r="AJ5" s="289">
        <f>=IF(pgpjtz!$C$2="是",pgpjtz!C20,0)</f>
        <v>0</v>
      </c>
      <c r="AK5" s="289">
        <f>=IF(pgpjtz!$C$2="是",pgpjtz!E20,0)</f>
        <v>0</v>
      </c>
      <c r="AL5" s="289">
        <f>=IF(pgpjtz!$C$2="是",pgpjtz!G20,0)</f>
        <v>0</v>
      </c>
      <c r="AM5" s="288">
        <f>=IF(pgpjtz!$C$2="是",pgpjtz!I20,0)</f>
        <v>0</v>
      </c>
      <c r="AN5" s="289">
        <f>=IF(pgpjtz!$C$2="是",pgpjtz!J20,0)</f>
        <v>0</v>
      </c>
      <c r="AO5" s="288">
        <f>=IF(pgpjtz!$C$2="是",pgpjtz!K20,0)</f>
        <v>0</v>
      </c>
      <c r="AP5" s="289">
        <f>=IF(pgpjtz!$C$2="是",pgpjtz!K21,0)</f>
        <v>0</v>
      </c>
      <c r="AQ5" s="280">
        <f>=IF(pgpjtz!$C$2="是",pgpjtz!C22,0)</f>
        <v>0</v>
      </c>
      <c r="AR5" s="280">
        <f>=IF(pgpjtz!$C$2="是",pgpjtz!G22,0)</f>
        <v>0</v>
      </c>
      <c r="AS5" s="280">
        <f>=IF(pgpjtz!$C$2="是",pgpjtz!K22,0)</f>
        <v>0</v>
      </c>
      <c r="AT5" s="280">
        <f>=IF(pgpjtz!$C$2="是",pgpjtz!C23,0)</f>
        <v>0</v>
      </c>
      <c r="AU5" s="280">
        <f>=IF(pgpjtz!$C$2="是",pgpjtz!G23,0)</f>
        <v>0</v>
      </c>
      <c r="AV5" s="280">
        <f>=IF(pgpjtz!$C$2="是",pgpjtz!K23,0)</f>
        <v>0</v>
      </c>
      <c r="AW5" s="280">
        <f>=IF(pgpjtz!$C$2="是",pgpjtz!C24,0)</f>
        <v>0</v>
      </c>
      <c r="AX5" s="280">
        <f>=IF(pgpjtz!$C$2="是",pgpjtz!G24,0)</f>
        <v>0</v>
      </c>
      <c r="AY5" s="280">
        <f>=IF(pgpjtz!$C$2="是",pgpjtz!K24,0)</f>
        <v>0</v>
      </c>
      <c r="AZ5" s="280">
        <f>=IF(pgpjtz!$C$2="是",pgpjtz!C25,0)</f>
        <v>0</v>
      </c>
      <c r="BA5" s="280">
        <f>=IF(pgpjtz!$C$2="是",pgpjtz!G25,0)</f>
        <v>0</v>
      </c>
      <c r="BB5" s="280">
        <f>=IF(pgpjtz!$C$2="是",pgpjtz!K25,0)</f>
        <v>0</v>
      </c>
      <c r="BC5" s="280">
        <f>=IF(pgpjtz!$C$2="是",pgpjtz!D26,0)</f>
        <v>0</v>
      </c>
      <c r="BD5" s="280">
        <f>=IF(pgpjtz!$C$2="是",pgpjtz!D27,0)</f>
        <v>0</v>
      </c>
      <c r="BE5" s="280">
        <f>=IF(pgpjtz!$C$2="是",pgpjtz!I26,0)</f>
        <v>0</v>
      </c>
      <c r="BF5" s="280">
        <f>=IF(pgpjtz!$C$2="是",pgpjtz!I27,0)</f>
        <v>0</v>
      </c>
      <c r="BG5" s="280">
        <f>=IF(pgpjtz!$C$2="是",pgpjtz!I28,0)</f>
        <v>0</v>
      </c>
      <c r="BH5" s="280">
        <f>=IF(pgpjtz!$C$2="是",pgpjtz!C29,0)</f>
        <v>0</v>
      </c>
    </row>
    <row r="6" spans="1:60" s="714" customFormat="true" ht="17.15" customHeight="true">
      <c r="A6" s="277">
        <f>=A5+1</f>
        <v>2</v>
      </c>
      <c r="B6" s="280" t="s"/>
      <c r="C6" s="280" t="s"/>
      <c r="D6" s="280" t="s"/>
      <c r="E6" s="280" t="s"/>
      <c r="F6" s="280" t="s"/>
      <c r="G6" s="280" t="s"/>
      <c r="H6" s="280" t="s"/>
      <c r="I6" s="280" t="s"/>
      <c r="J6" s="280" t="s"/>
      <c r="K6" s="280" t="s"/>
      <c r="L6" s="280" t="s"/>
      <c r="M6" s="280" t="s"/>
      <c r="N6" s="280" t="s"/>
      <c r="O6" s="280" t="s"/>
      <c r="P6" s="280" t="s"/>
      <c r="Q6" s="280" t="s"/>
      <c r="R6" s="280" t="s"/>
      <c r="S6" s="277" t="s"/>
      <c r="T6" s="277" t="s"/>
      <c r="U6" s="277" t="s"/>
      <c r="V6" s="277" t="s"/>
      <c r="W6" s="277" t="s"/>
      <c r="X6" s="277" t="s"/>
      <c r="Y6" s="277" t="s"/>
      <c r="Z6" s="277" t="s"/>
      <c r="AA6" s="277" t="s"/>
      <c r="AB6" s="280" t="s"/>
      <c r="AC6" s="280" t="s"/>
      <c r="AD6" s="280" t="s"/>
      <c r="AE6" s="280" t="s"/>
      <c r="AF6" s="280" t="s"/>
      <c r="AG6" s="280" t="s"/>
      <c r="AH6" s="280" t="s"/>
      <c r="AI6" s="280" t="s"/>
      <c r="AJ6" s="280" t="s"/>
      <c r="AK6" s="280" t="s"/>
      <c r="AL6" s="280" t="s"/>
      <c r="AM6" s="280" t="s"/>
      <c r="AN6" s="280" t="s"/>
      <c r="AO6" s="280" t="s"/>
      <c r="AP6" s="280" t="s"/>
      <c r="AQ6" s="280" t="s"/>
      <c r="AR6" s="280" t="s"/>
      <c r="AS6" s="280" t="s"/>
      <c r="AT6" s="280" t="s"/>
      <c r="AU6" s="280" t="s"/>
      <c r="AV6" s="280" t="s"/>
      <c r="AW6" s="280" t="s"/>
      <c r="AX6" s="280" t="s"/>
      <c r="AY6" s="280" t="s"/>
      <c r="AZ6" s="280" t="s"/>
      <c r="BA6" s="280" t="s"/>
      <c r="BB6" s="280" t="s"/>
      <c r="BC6" s="280" t="s"/>
      <c r="BD6" s="280" t="s"/>
      <c r="BE6" s="280" t="s"/>
      <c r="BF6" s="280" t="s"/>
      <c r="BG6" s="280" t="s"/>
      <c r="BH6" s="280" t="s"/>
    </row>
    <row r="7" spans="1:60" s="714" customFormat="true" ht="17.15" customHeight="true">
      <c r="A7" s="277">
        <f>=A6+1</f>
        <v>3</v>
      </c>
      <c r="B7" s="280" t="s"/>
      <c r="C7" s="280" t="s"/>
      <c r="D7" s="280" t="s"/>
      <c r="E7" s="280" t="s"/>
      <c r="F7" s="280" t="s"/>
      <c r="G7" s="280" t="s"/>
      <c r="H7" s="280" t="s"/>
      <c r="I7" s="280" t="s"/>
      <c r="J7" s="280" t="s"/>
      <c r="K7" s="280" t="s"/>
      <c r="L7" s="280" t="s"/>
      <c r="M7" s="280" t="s"/>
      <c r="N7" s="280" t="s"/>
      <c r="O7" s="280" t="s"/>
      <c r="P7" s="280" t="s"/>
      <c r="Q7" s="280" t="s"/>
      <c r="R7" s="280" t="s"/>
      <c r="S7" s="277" t="s"/>
      <c r="T7" s="277" t="s"/>
      <c r="U7" s="277" t="s"/>
      <c r="V7" s="277" t="s"/>
      <c r="W7" s="277" t="s"/>
      <c r="X7" s="277" t="s"/>
      <c r="Y7" s="277" t="s"/>
      <c r="Z7" s="277" t="s"/>
      <c r="AA7" s="277" t="s"/>
      <c r="AB7" s="280" t="s"/>
      <c r="AC7" s="280" t="s"/>
      <c r="AD7" s="280" t="s"/>
      <c r="AE7" s="280" t="s"/>
      <c r="AF7" s="280" t="s"/>
      <c r="AG7" s="280" t="s"/>
      <c r="AH7" s="280" t="s"/>
      <c r="AI7" s="280" t="s"/>
      <c r="AJ7" s="280" t="s"/>
      <c r="AK7" s="280" t="s"/>
      <c r="AL7" s="280" t="s"/>
      <c r="AM7" s="280" t="s"/>
      <c r="AN7" s="280" t="s"/>
      <c r="AO7" s="280" t="s"/>
      <c r="AP7" s="280" t="s"/>
      <c r="AQ7" s="280" t="s"/>
      <c r="AR7" s="280" t="s"/>
      <c r="AS7" s="280" t="s"/>
      <c r="AT7" s="280" t="s"/>
      <c r="AU7" s="280" t="s"/>
      <c r="AV7" s="280" t="s"/>
      <c r="AW7" s="280" t="s"/>
      <c r="AX7" s="280" t="s"/>
      <c r="AY7" s="280" t="s"/>
      <c r="AZ7" s="280" t="s"/>
      <c r="BA7" s="280" t="s"/>
      <c r="BB7" s="280" t="s"/>
      <c r="BC7" s="280" t="s"/>
      <c r="BD7" s="280" t="s"/>
      <c r="BE7" s="280" t="s"/>
      <c r="BF7" s="280" t="s"/>
      <c r="BG7" s="280" t="s"/>
      <c r="BH7" s="280" t="s"/>
    </row>
    <row r="8" spans="1:60" s="714" customFormat="true" ht="17.15" customHeight="true">
      <c r="A8" s="277">
        <f>=A7+1</f>
        <v>4</v>
      </c>
      <c r="B8" s="280" t="s"/>
      <c r="C8" s="280" t="s"/>
      <c r="D8" s="280" t="s"/>
      <c r="E8" s="280" t="s"/>
      <c r="F8" s="280" t="s"/>
      <c r="G8" s="280" t="s"/>
      <c r="H8" s="280" t="s"/>
      <c r="I8" s="280" t="s"/>
      <c r="J8" s="280" t="s"/>
      <c r="K8" s="280" t="s"/>
      <c r="L8" s="280" t="s"/>
      <c r="M8" s="280" t="s"/>
      <c r="N8" s="280" t="s"/>
      <c r="O8" s="280" t="s"/>
      <c r="P8" s="280" t="s"/>
      <c r="Q8" s="280" t="s"/>
      <c r="R8" s="280" t="s"/>
      <c r="S8" s="277" t="s"/>
      <c r="T8" s="277" t="s"/>
      <c r="U8" s="277" t="s"/>
      <c r="V8" s="277" t="s"/>
      <c r="W8" s="277" t="s"/>
      <c r="X8" s="277" t="s"/>
      <c r="Y8" s="277" t="s"/>
      <c r="Z8" s="277" t="s"/>
      <c r="AA8" s="277" t="s"/>
      <c r="AB8" s="280" t="s"/>
      <c r="AC8" s="280" t="s"/>
      <c r="AD8" s="280" t="s"/>
      <c r="AE8" s="280" t="s"/>
      <c r="AF8" s="280" t="s"/>
      <c r="AG8" s="280" t="s"/>
      <c r="AH8" s="280" t="s"/>
      <c r="AI8" s="280" t="s"/>
      <c r="AJ8" s="280" t="s"/>
      <c r="AK8" s="280" t="s"/>
      <c r="AL8" s="280" t="s"/>
      <c r="AM8" s="280" t="s"/>
      <c r="AN8" s="280" t="s"/>
      <c r="AO8" s="280" t="s"/>
      <c r="AP8" s="280" t="s"/>
      <c r="AQ8" s="280" t="s"/>
      <c r="AR8" s="280" t="s"/>
      <c r="AS8" s="280" t="s"/>
      <c r="AT8" s="280" t="s"/>
      <c r="AU8" s="280" t="s"/>
      <c r="AV8" s="280" t="s"/>
      <c r="AW8" s="280" t="s"/>
      <c r="AX8" s="280" t="s"/>
      <c r="AY8" s="280" t="s"/>
      <c r="AZ8" s="280" t="s"/>
      <c r="BA8" s="280" t="s"/>
      <c r="BB8" s="280" t="s"/>
      <c r="BC8" s="280" t="s"/>
      <c r="BD8" s="280" t="s"/>
      <c r="BE8" s="280" t="s"/>
      <c r="BF8" s="280" t="s"/>
      <c r="BG8" s="280" t="s"/>
      <c r="BH8" s="280" t="s"/>
    </row>
    <row r="9" spans="1:60" s="714" customFormat="true" ht="17.15" customHeight="true">
      <c r="A9" s="277">
        <f>=A8+1</f>
        <v>5</v>
      </c>
      <c r="B9" s="280" t="s"/>
      <c r="C9" s="280" t="s"/>
      <c r="D9" s="280" t="s"/>
      <c r="E9" s="280" t="s"/>
      <c r="F9" s="280" t="s"/>
      <c r="G9" s="280" t="s"/>
      <c r="H9" s="280" t="s"/>
      <c r="I9" s="280" t="s"/>
      <c r="J9" s="280" t="s"/>
      <c r="K9" s="280" t="s"/>
      <c r="L9" s="280" t="s"/>
      <c r="M9" s="280" t="s"/>
      <c r="N9" s="280" t="s"/>
      <c r="O9" s="280" t="s"/>
      <c r="P9" s="280" t="s"/>
      <c r="Q9" s="280" t="s"/>
      <c r="R9" s="280" t="s"/>
      <c r="S9" s="277" t="s"/>
      <c r="T9" s="277" t="s"/>
      <c r="U9" s="277" t="s"/>
      <c r="V9" s="277" t="s"/>
      <c r="W9" s="277" t="s"/>
      <c r="X9" s="277" t="s"/>
      <c r="Y9" s="277" t="s"/>
      <c r="Z9" s="277" t="s"/>
      <c r="AA9" s="277" t="s"/>
      <c r="AB9" s="280" t="s"/>
      <c r="AC9" s="280" t="s"/>
      <c r="AD9" s="280" t="s"/>
      <c r="AE9" s="280" t="s"/>
      <c r="AF9" s="280" t="s"/>
      <c r="AG9" s="280" t="s"/>
      <c r="AH9" s="280" t="s"/>
      <c r="AI9" s="280" t="s"/>
      <c r="AJ9" s="280" t="s"/>
      <c r="AK9" s="280" t="s"/>
      <c r="AL9" s="280" t="s"/>
      <c r="AM9" s="280" t="s"/>
      <c r="AN9" s="280" t="s"/>
      <c r="AO9" s="280" t="s"/>
      <c r="AP9" s="280" t="s"/>
      <c r="AQ9" s="280" t="s"/>
      <c r="AR9" s="280" t="s"/>
      <c r="AS9" s="280" t="s"/>
      <c r="AT9" s="280" t="s"/>
      <c r="AU9" s="280" t="s"/>
      <c r="AV9" s="280" t="s"/>
      <c r="AW9" s="280" t="s"/>
      <c r="AX9" s="280" t="s"/>
      <c r="AY9" s="280" t="s"/>
      <c r="AZ9" s="280" t="s"/>
      <c r="BA9" s="280" t="s"/>
      <c r="BB9" s="280" t="s"/>
      <c r="BC9" s="280" t="s"/>
      <c r="BD9" s="280" t="s"/>
      <c r="BE9" s="280" t="s"/>
      <c r="BF9" s="280" t="s"/>
      <c r="BG9" s="280" t="s"/>
      <c r="BH9" s="280" t="s"/>
    </row>
    <row r="10" spans="1:60" s="714" customFormat="true" ht="17.15" customHeight="true">
      <c r="A10" s="277">
        <f>=A9+1</f>
        <v>6</v>
      </c>
      <c r="B10" s="280" t="s"/>
      <c r="C10" s="280" t="s"/>
      <c r="D10" s="280" t="s"/>
      <c r="E10" s="280" t="s"/>
      <c r="F10" s="280" t="s"/>
      <c r="G10" s="280" t="s"/>
      <c r="H10" s="280" t="s"/>
      <c r="I10" s="280" t="s"/>
      <c r="J10" s="280" t="s"/>
      <c r="K10" s="280" t="s"/>
      <c r="L10" s="280" t="s"/>
      <c r="M10" s="280" t="s"/>
      <c r="N10" s="280" t="s"/>
      <c r="O10" s="280" t="s"/>
      <c r="P10" s="280" t="s"/>
      <c r="Q10" s="280" t="s"/>
      <c r="R10" s="280" t="s"/>
      <c r="S10" s="277" t="s"/>
      <c r="T10" s="277" t="s"/>
      <c r="U10" s="277" t="s"/>
      <c r="V10" s="277" t="s"/>
      <c r="W10" s="277" t="s"/>
      <c r="X10" s="277" t="s"/>
      <c r="Y10" s="277" t="s"/>
      <c r="Z10" s="277" t="s"/>
      <c r="AA10" s="277" t="s"/>
      <c r="AB10" s="280" t="s"/>
      <c r="AC10" s="280" t="s"/>
      <c r="AD10" s="280" t="s"/>
      <c r="AE10" s="280" t="s"/>
      <c r="AF10" s="280" t="s"/>
      <c r="AG10" s="280" t="s"/>
      <c r="AH10" s="280" t="s"/>
      <c r="AI10" s="280" t="s"/>
      <c r="AJ10" s="280" t="s"/>
      <c r="AK10" s="280" t="s"/>
      <c r="AL10" s="280" t="s"/>
      <c r="AM10" s="280" t="s"/>
      <c r="AN10" s="280" t="s"/>
      <c r="AO10" s="280" t="s"/>
      <c r="AP10" s="280" t="s"/>
      <c r="AQ10" s="280" t="s"/>
      <c r="AR10" s="280" t="s"/>
      <c r="AS10" s="280" t="s"/>
      <c r="AT10" s="280" t="s"/>
      <c r="AU10" s="280" t="s"/>
      <c r="AV10" s="280" t="s"/>
      <c r="AW10" s="280" t="s"/>
      <c r="AX10" s="280" t="s"/>
      <c r="AY10" s="280" t="s"/>
      <c r="AZ10" s="280" t="s"/>
      <c r="BA10" s="280" t="s"/>
      <c r="BB10" s="280" t="s"/>
      <c r="BC10" s="280" t="s"/>
      <c r="BD10" s="280" t="s"/>
      <c r="BE10" s="280" t="s"/>
      <c r="BF10" s="280" t="s"/>
      <c r="BG10" s="280" t="s"/>
      <c r="BH10" s="280" t="s"/>
    </row>
    <row r="11" spans="1:60" s="714" customFormat="true" ht="17.15" customHeight="true">
      <c r="A11" s="277">
        <f>=A10+1</f>
        <v>7</v>
      </c>
      <c r="B11" s="280" t="s"/>
      <c r="C11" s="280" t="s"/>
      <c r="D11" s="280" t="s"/>
      <c r="E11" s="280" t="s"/>
      <c r="F11" s="280" t="s"/>
      <c r="G11" s="280" t="s"/>
      <c r="H11" s="280" t="s"/>
      <c r="I11" s="280" t="s"/>
      <c r="J11" s="280" t="s"/>
      <c r="K11" s="280" t="s"/>
      <c r="L11" s="280" t="s"/>
      <c r="M11" s="280" t="s"/>
      <c r="N11" s="280" t="s"/>
      <c r="O11" s="280" t="s"/>
      <c r="P11" s="280" t="s"/>
      <c r="Q11" s="280" t="s"/>
      <c r="R11" s="280" t="s"/>
      <c r="S11" s="277" t="s"/>
      <c r="T11" s="277" t="s"/>
      <c r="U11" s="277" t="s"/>
      <c r="V11" s="277" t="s"/>
      <c r="W11" s="277" t="s"/>
      <c r="X11" s="277" t="s"/>
      <c r="Y11" s="277" t="s"/>
      <c r="Z11" s="277" t="s"/>
      <c r="AA11" s="277" t="s"/>
      <c r="AB11" s="280" t="s"/>
      <c r="AC11" s="280" t="s"/>
      <c r="AD11" s="280" t="s"/>
      <c r="AE11" s="280" t="s"/>
      <c r="AF11" s="280" t="s"/>
      <c r="AG11" s="280" t="s"/>
      <c r="AH11" s="280" t="s"/>
      <c r="AI11" s="280" t="s"/>
      <c r="AJ11" s="280" t="s"/>
      <c r="AK11" s="280" t="s"/>
      <c r="AL11" s="280" t="s"/>
      <c r="AM11" s="280" t="s"/>
      <c r="AN11" s="280" t="s"/>
      <c r="AO11" s="280" t="s"/>
      <c r="AP11" s="280" t="s"/>
      <c r="AQ11" s="280" t="s"/>
      <c r="AR11" s="280" t="s"/>
      <c r="AS11" s="280" t="s"/>
      <c r="AT11" s="280" t="s"/>
      <c r="AU11" s="280" t="s"/>
      <c r="AV11" s="280" t="s"/>
      <c r="AW11" s="280" t="s"/>
      <c r="AX11" s="280" t="s"/>
      <c r="AY11" s="280" t="s"/>
      <c r="AZ11" s="280" t="s"/>
      <c r="BA11" s="280" t="s"/>
      <c r="BB11" s="280" t="s"/>
      <c r="BC11" s="280" t="s"/>
      <c r="BD11" s="280" t="s"/>
      <c r="BE11" s="280" t="s"/>
      <c r="BF11" s="280" t="s"/>
      <c r="BG11" s="280" t="s"/>
      <c r="BH11" s="280" t="s"/>
    </row>
    <row r="12" spans="1:60" s="714" customFormat="true" ht="17.15" customHeight="true">
      <c r="A12" s="277">
        <f>=A11+1</f>
        <v>8</v>
      </c>
      <c r="B12" s="280" t="s"/>
      <c r="C12" s="280" t="s"/>
      <c r="D12" s="280" t="s"/>
      <c r="E12" s="280" t="s"/>
      <c r="F12" s="280" t="s"/>
      <c r="G12" s="280" t="s"/>
      <c r="H12" s="280" t="s"/>
      <c r="I12" s="280" t="s"/>
      <c r="J12" s="280" t="s"/>
      <c r="K12" s="280" t="s"/>
      <c r="L12" s="280" t="s"/>
      <c r="M12" s="280" t="s"/>
      <c r="N12" s="280" t="s"/>
      <c r="O12" s="280" t="s"/>
      <c r="P12" s="280" t="s"/>
      <c r="Q12" s="280" t="s"/>
      <c r="R12" s="280" t="s"/>
      <c r="S12" s="277" t="s"/>
      <c r="T12" s="277" t="s"/>
      <c r="U12" s="277" t="s"/>
      <c r="V12" s="277" t="s"/>
      <c r="W12" s="277" t="s"/>
      <c r="X12" s="277" t="s"/>
      <c r="Y12" s="277" t="s"/>
      <c r="Z12" s="277" t="s"/>
      <c r="AA12" s="277" t="s"/>
      <c r="AB12" s="280" t="s"/>
      <c r="AC12" s="280" t="s"/>
      <c r="AD12" s="280" t="s"/>
      <c r="AE12" s="280" t="s"/>
      <c r="AF12" s="280" t="s"/>
      <c r="AG12" s="280" t="s"/>
      <c r="AH12" s="280" t="s"/>
      <c r="AI12" s="280" t="s"/>
      <c r="AJ12" s="280" t="s"/>
      <c r="AK12" s="280" t="s"/>
      <c r="AL12" s="280" t="s"/>
      <c r="AM12" s="280" t="s"/>
      <c r="AN12" s="280" t="s"/>
      <c r="AO12" s="280" t="s"/>
      <c r="AP12" s="280" t="s"/>
      <c r="AQ12" s="280" t="s"/>
      <c r="AR12" s="280" t="s"/>
      <c r="AS12" s="280" t="s"/>
      <c r="AT12" s="280" t="s"/>
      <c r="AU12" s="280" t="s"/>
      <c r="AV12" s="280" t="s"/>
      <c r="AW12" s="280" t="s"/>
      <c r="AX12" s="280" t="s"/>
      <c r="AY12" s="280" t="s"/>
      <c r="AZ12" s="280" t="s"/>
      <c r="BA12" s="280" t="s"/>
      <c r="BB12" s="280" t="s"/>
      <c r="BC12" s="280" t="s"/>
      <c r="BD12" s="280" t="s"/>
      <c r="BE12" s="280" t="s"/>
      <c r="BF12" s="280" t="s"/>
      <c r="BG12" s="280" t="s"/>
      <c r="BH12" s="280" t="s"/>
    </row>
    <row r="13" spans="1:60" s="714" customFormat="true" ht="17.15" customHeight="true">
      <c r="A13" s="277">
        <f>=A12+1</f>
        <v>9</v>
      </c>
      <c r="B13" s="280" t="s"/>
      <c r="C13" s="280" t="s"/>
      <c r="D13" s="280" t="s"/>
      <c r="E13" s="280" t="s"/>
      <c r="F13" s="280" t="s"/>
      <c r="G13" s="280" t="s"/>
      <c r="H13" s="280" t="s"/>
      <c r="I13" s="280" t="s"/>
      <c r="J13" s="280" t="s"/>
      <c r="K13" s="280" t="s"/>
      <c r="L13" s="280" t="s"/>
      <c r="M13" s="280" t="s"/>
      <c r="N13" s="280" t="s"/>
      <c r="O13" s="280" t="s"/>
      <c r="P13" s="280" t="s"/>
      <c r="Q13" s="280" t="s"/>
      <c r="R13" s="280" t="s"/>
      <c r="S13" s="277" t="s"/>
      <c r="T13" s="277" t="s"/>
      <c r="U13" s="277" t="s"/>
      <c r="V13" s="277" t="s"/>
      <c r="W13" s="277" t="s"/>
      <c r="X13" s="277" t="s"/>
      <c r="Y13" s="277" t="s"/>
      <c r="Z13" s="277" t="s"/>
      <c r="AA13" s="277" t="s"/>
      <c r="AB13" s="280" t="s"/>
      <c r="AC13" s="280" t="s"/>
      <c r="AD13" s="280" t="s"/>
      <c r="AE13" s="280" t="s"/>
      <c r="AF13" s="280" t="s"/>
      <c r="AG13" s="280" t="s"/>
      <c r="AH13" s="280" t="s"/>
      <c r="AI13" s="280" t="s"/>
      <c r="AJ13" s="280" t="s"/>
      <c r="AK13" s="280" t="s"/>
      <c r="AL13" s="280" t="s"/>
      <c r="AM13" s="280" t="s"/>
      <c r="AN13" s="280" t="s"/>
      <c r="AO13" s="280" t="s"/>
      <c r="AP13" s="280" t="s"/>
      <c r="AQ13" s="280" t="s"/>
      <c r="AR13" s="280" t="s"/>
      <c r="AS13" s="280" t="s"/>
      <c r="AT13" s="280" t="s"/>
      <c r="AU13" s="280" t="s"/>
      <c r="AV13" s="280" t="s"/>
      <c r="AW13" s="280" t="s"/>
      <c r="AX13" s="280" t="s"/>
      <c r="AY13" s="280" t="s"/>
      <c r="AZ13" s="280" t="s"/>
      <c r="BA13" s="280" t="s"/>
      <c r="BB13" s="280" t="s"/>
      <c r="BC13" s="280" t="s"/>
      <c r="BD13" s="280" t="s"/>
      <c r="BE13" s="280" t="s"/>
      <c r="BF13" s="280" t="s"/>
      <c r="BG13" s="280" t="s"/>
      <c r="BH13" s="280" t="s"/>
    </row>
    <row r="14" spans="1:60" s="714" customFormat="true" ht="17.15" customHeight="true">
      <c r="A14" s="277">
        <f>=A13+1</f>
        <v>10</v>
      </c>
      <c r="B14" s="280" t="s"/>
      <c r="C14" s="280" t="s"/>
      <c r="D14" s="280" t="s"/>
      <c r="E14" s="280" t="s"/>
      <c r="F14" s="280" t="s"/>
      <c r="G14" s="280" t="s"/>
      <c r="H14" s="280" t="s"/>
      <c r="I14" s="280" t="s"/>
      <c r="J14" s="280" t="s"/>
      <c r="K14" s="280" t="s"/>
      <c r="L14" s="280" t="s"/>
      <c r="M14" s="280" t="s"/>
      <c r="N14" s="280" t="s"/>
      <c r="O14" s="280" t="s"/>
      <c r="P14" s="280" t="s"/>
      <c r="Q14" s="280" t="s"/>
      <c r="R14" s="280" t="s"/>
      <c r="S14" s="277" t="s"/>
      <c r="T14" s="277" t="s"/>
      <c r="U14" s="277" t="s"/>
      <c r="V14" s="277" t="s"/>
      <c r="W14" s="277" t="s"/>
      <c r="X14" s="277" t="s"/>
      <c r="Y14" s="277" t="s"/>
      <c r="Z14" s="277" t="s"/>
      <c r="AA14" s="277" t="s"/>
      <c r="AB14" s="280" t="s"/>
      <c r="AC14" s="280" t="s"/>
      <c r="AD14" s="280" t="s"/>
      <c r="AE14" s="280" t="s"/>
      <c r="AF14" s="280" t="s"/>
      <c r="AG14" s="280" t="s"/>
      <c r="AH14" s="280" t="s"/>
      <c r="AI14" s="280" t="s"/>
      <c r="AJ14" s="280" t="s"/>
      <c r="AK14" s="280" t="s"/>
      <c r="AL14" s="280" t="s"/>
      <c r="AM14" s="280" t="s"/>
      <c r="AN14" s="280" t="s"/>
      <c r="AO14" s="280" t="s"/>
      <c r="AP14" s="280" t="s"/>
      <c r="AQ14" s="280" t="s"/>
      <c r="AR14" s="280" t="s"/>
      <c r="AS14" s="280" t="s"/>
      <c r="AT14" s="280" t="s"/>
      <c r="AU14" s="280" t="s"/>
      <c r="AV14" s="280" t="s"/>
      <c r="AW14" s="280" t="s"/>
      <c r="AX14" s="280" t="s"/>
      <c r="AY14" s="280" t="s"/>
      <c r="AZ14" s="280" t="s"/>
      <c r="BA14" s="280" t="s"/>
      <c r="BB14" s="280" t="s"/>
      <c r="BC14" s="280" t="s"/>
      <c r="BD14" s="280" t="s"/>
      <c r="BE14" s="280" t="s"/>
      <c r="BF14" s="280" t="s"/>
      <c r="BG14" s="280" t="s"/>
      <c r="BH14" s="280" t="s"/>
    </row>
    <row r="15" spans="1:60" s="714" customFormat="true" ht="17.15" customHeight="true">
      <c r="A15" s="277">
        <f>=A14+1</f>
        <v>11</v>
      </c>
      <c r="B15" s="280" t="s"/>
      <c r="C15" s="280" t="s"/>
      <c r="D15" s="280" t="s"/>
      <c r="E15" s="280" t="s"/>
      <c r="F15" s="280" t="s"/>
      <c r="G15" s="280" t="s"/>
      <c r="H15" s="280" t="s"/>
      <c r="I15" s="280" t="s"/>
      <c r="J15" s="280" t="s"/>
      <c r="K15" s="280" t="s"/>
      <c r="L15" s="280" t="s"/>
      <c r="M15" s="280" t="s"/>
      <c r="N15" s="280" t="s"/>
      <c r="O15" s="280" t="s"/>
      <c r="P15" s="280" t="s"/>
      <c r="Q15" s="280" t="s"/>
      <c r="R15" s="280" t="s"/>
      <c r="S15" s="277" t="s"/>
      <c r="T15" s="277" t="s"/>
      <c r="U15" s="277" t="s"/>
      <c r="V15" s="277" t="s"/>
      <c r="W15" s="277" t="s"/>
      <c r="X15" s="277" t="s"/>
      <c r="Y15" s="277" t="s"/>
      <c r="Z15" s="277" t="s"/>
      <c r="AA15" s="277" t="s"/>
      <c r="AB15" s="280" t="s"/>
      <c r="AC15" s="280" t="s"/>
      <c r="AD15" s="280" t="s"/>
      <c r="AE15" s="280" t="s"/>
      <c r="AF15" s="280" t="s"/>
      <c r="AG15" s="280" t="s"/>
      <c r="AH15" s="280" t="s"/>
      <c r="AI15" s="280" t="s"/>
      <c r="AJ15" s="280" t="s"/>
      <c r="AK15" s="280" t="s"/>
      <c r="AL15" s="280" t="s"/>
      <c r="AM15" s="280" t="s"/>
      <c r="AN15" s="280" t="s"/>
      <c r="AO15" s="280" t="s"/>
      <c r="AP15" s="280" t="s"/>
      <c r="AQ15" s="280" t="s"/>
      <c r="AR15" s="280" t="s"/>
      <c r="AS15" s="280" t="s"/>
      <c r="AT15" s="280" t="s"/>
      <c r="AU15" s="280" t="s"/>
      <c r="AV15" s="280" t="s"/>
      <c r="AW15" s="280" t="s"/>
      <c r="AX15" s="280" t="s"/>
      <c r="AY15" s="280" t="s"/>
      <c r="AZ15" s="280" t="s"/>
      <c r="BA15" s="280" t="s"/>
      <c r="BB15" s="280" t="s"/>
      <c r="BC15" s="280" t="s"/>
      <c r="BD15" s="280" t="s"/>
      <c r="BE15" s="280" t="s"/>
      <c r="BF15" s="280" t="s"/>
      <c r="BG15" s="280" t="s"/>
      <c r="BH15" s="280" t="s"/>
    </row>
    <row r="16" spans="1:60" s="714" customFormat="true" ht="17.15" customHeight="true">
      <c r="A16" s="277">
        <f>=A15+1</f>
        <v>12</v>
      </c>
      <c r="B16" s="280" t="s"/>
      <c r="C16" s="280" t="s"/>
      <c r="D16" s="280" t="s"/>
      <c r="E16" s="280" t="s"/>
      <c r="F16" s="280" t="s"/>
      <c r="G16" s="280" t="s"/>
      <c r="H16" s="280" t="s"/>
      <c r="I16" s="280" t="s"/>
      <c r="J16" s="280" t="s"/>
      <c r="K16" s="280" t="s"/>
      <c r="L16" s="280" t="s"/>
      <c r="M16" s="280" t="s"/>
      <c r="N16" s="280" t="s"/>
      <c r="O16" s="280" t="s"/>
      <c r="P16" s="280" t="s"/>
      <c r="Q16" s="280" t="s"/>
      <c r="R16" s="280" t="s"/>
      <c r="S16" s="277" t="s"/>
      <c r="T16" s="277" t="s"/>
      <c r="U16" s="277" t="s"/>
      <c r="V16" s="277" t="s"/>
      <c r="W16" s="277" t="s"/>
      <c r="X16" s="277" t="s"/>
      <c r="Y16" s="277" t="s"/>
      <c r="Z16" s="277" t="s"/>
      <c r="AA16" s="277" t="s"/>
      <c r="AB16" s="280" t="s"/>
      <c r="AC16" s="280" t="s"/>
      <c r="AD16" s="280" t="s"/>
      <c r="AE16" s="280" t="s"/>
      <c r="AF16" s="280" t="s"/>
      <c r="AG16" s="280" t="s"/>
      <c r="AH16" s="280" t="s"/>
      <c r="AI16" s="280" t="s"/>
      <c r="AJ16" s="280" t="s"/>
      <c r="AK16" s="280" t="s"/>
      <c r="AL16" s="280" t="s"/>
      <c r="AM16" s="280" t="s"/>
      <c r="AN16" s="280" t="s"/>
      <c r="AO16" s="280" t="s"/>
      <c r="AP16" s="280" t="s"/>
      <c r="AQ16" s="280" t="s"/>
      <c r="AR16" s="280" t="s"/>
      <c r="AS16" s="280" t="s"/>
      <c r="AT16" s="280" t="s"/>
      <c r="AU16" s="280" t="s"/>
      <c r="AV16" s="280" t="s"/>
      <c r="AW16" s="280" t="s"/>
      <c r="AX16" s="280" t="s"/>
      <c r="AY16" s="280" t="s"/>
      <c r="AZ16" s="280" t="s"/>
      <c r="BA16" s="280" t="s"/>
      <c r="BB16" s="280" t="s"/>
      <c r="BC16" s="280" t="s"/>
      <c r="BD16" s="280" t="s"/>
      <c r="BE16" s="280" t="s"/>
      <c r="BF16" s="280" t="s"/>
      <c r="BG16" s="280" t="s"/>
      <c r="BH16" s="280" t="s"/>
    </row>
    <row r="17" spans="1:60" s="714" customFormat="true" ht="17.15" customHeight="true">
      <c r="A17" s="277" t="s">
        <v>615</v>
      </c>
      <c r="B17" s="280" t="s"/>
      <c r="C17" s="280" t="s"/>
      <c r="D17" s="280" t="s"/>
      <c r="E17" s="280" t="s"/>
      <c r="F17" s="280" t="s"/>
      <c r="G17" s="280" t="s"/>
      <c r="H17" s="280" t="s"/>
      <c r="I17" s="280" t="s"/>
      <c r="J17" s="280" t="s"/>
      <c r="K17" s="280" t="s"/>
      <c r="L17" s="280" t="s"/>
      <c r="M17" s="280" t="s"/>
      <c r="N17" s="280" t="s"/>
      <c r="O17" s="280" t="s"/>
      <c r="P17" s="280" t="s"/>
      <c r="Q17" s="280" t="s"/>
      <c r="R17" s="280" t="s"/>
      <c r="S17" s="277" t="s"/>
      <c r="T17" s="277" t="s"/>
      <c r="U17" s="277" t="s"/>
      <c r="V17" s="277" t="s"/>
      <c r="W17" s="277" t="s"/>
      <c r="X17" s="277" t="s"/>
      <c r="Y17" s="277" t="s"/>
      <c r="Z17" s="277" t="s"/>
      <c r="AA17" s="277" t="s"/>
      <c r="AB17" s="280" t="s"/>
      <c r="AC17" s="280" t="s"/>
      <c r="AD17" s="280" t="s"/>
      <c r="AE17" s="280" t="s"/>
      <c r="AF17" s="280" t="s"/>
      <c r="AG17" s="280" t="s"/>
      <c r="AH17" s="280" t="s"/>
      <c r="AI17" s="280" t="s"/>
      <c r="AJ17" s="280" t="s"/>
      <c r="AK17" s="280" t="s"/>
      <c r="AL17" s="280" t="s"/>
      <c r="AM17" s="280" t="s"/>
      <c r="AN17" s="280" t="s"/>
      <c r="AO17" s="280" t="s"/>
      <c r="AP17" s="280" t="s"/>
      <c r="AQ17" s="280" t="s"/>
      <c r="AR17" s="280" t="s"/>
      <c r="AS17" s="280" t="s"/>
      <c r="AT17" s="280" t="s"/>
      <c r="AU17" s="280" t="s"/>
      <c r="AV17" s="280" t="s"/>
      <c r="AW17" s="280" t="s"/>
      <c r="AX17" s="280" t="s"/>
      <c r="AY17" s="280" t="s"/>
      <c r="AZ17" s="280" t="s"/>
      <c r="BA17" s="280" t="s"/>
      <c r="BB17" s="280" t="s"/>
      <c r="BC17" s="280" t="s"/>
      <c r="BD17" s="280" t="s"/>
      <c r="BE17" s="280" t="s"/>
      <c r="BF17" s="280" t="s"/>
      <c r="BG17" s="280" t="s"/>
      <c r="BH17" s="280" t="s"/>
    </row>
    <row r="18" spans="1:27" s="714" customFormat="true" ht="12">
      <c r="A18" s="290" t="s"/>
      <c r="S18" s="290" t="s"/>
      <c r="T18" s="290" t="s"/>
      <c r="U18" s="290" t="s"/>
      <c r="V18" s="290" t="s"/>
      <c r="W18" s="290" t="s"/>
      <c r="X18" s="290" t="s"/>
      <c r="Y18" s="290" t="s"/>
      <c r="Z18" s="290" t="s"/>
      <c r="AA18" s="290" t="s"/>
    </row>
    <row r="19" spans="2:2" ht="15.6">
      <c r="B19" s="291" t="s"/>
    </row>
    <row r="20" spans="2:2" ht="15.6">
      <c r="B20" s="292" t="s"/>
    </row>
    <row r="21" spans="2:2" ht="15.6">
      <c r="B21" s="292" t="s"/>
    </row>
    <row r="22" spans="2:2" ht="15.6">
      <c r="B22" s="292" t="s"/>
    </row>
    <row r="23" spans="2:2" ht="15.6">
      <c r="B23" s="292" t="s"/>
    </row>
  </sheetData>
  <sheetProtection/>
  <mergeCells count="61">
    <mergeCell ref="A1:BH1"/>
    <mergeCell ref="I2:J2"/>
    <mergeCell ref="M2:R2"/>
    <mergeCell ref="S2:U2"/>
    <mergeCell ref="V2:X2"/>
    <mergeCell ref="Y2:AA2"/>
    <mergeCell ref="AB2:AD2"/>
    <mergeCell ref="AE2:AI2"/>
    <mergeCell ref="AJ2:AP2"/>
    <mergeCell ref="AQ2:AU2"/>
    <mergeCell ref="AV2:BB2"/>
    <mergeCell ref="BC2:BG2"/>
    <mergeCell ref="K3:L3"/>
    <mergeCell ref="M3:N3"/>
    <mergeCell ref="O3:P3"/>
    <mergeCell ref="Q3:R3"/>
    <mergeCell ref="AC3:AD3"/>
    <mergeCell ref="AG3:AH3"/>
    <mergeCell ref="AW3:BB3"/>
    <mergeCell ref="A2:A4"/>
    <mergeCell ref="B2:B4"/>
    <mergeCell ref="C2:C4"/>
    <mergeCell ref="D2:D4"/>
    <mergeCell ref="E2:E4"/>
    <mergeCell ref="F2:F4"/>
    <mergeCell ref="G2:G4"/>
    <mergeCell ref="H2:H4"/>
    <mergeCell ref="I3:I4"/>
    <mergeCell ref="J3:J4"/>
    <mergeCell ref="S3:S4"/>
    <mergeCell ref="T3:T4"/>
    <mergeCell ref="U3:U4"/>
    <mergeCell ref="V3:V4"/>
    <mergeCell ref="W3:W4"/>
    <mergeCell ref="X3:X4"/>
    <mergeCell ref="Y3:Y4"/>
    <mergeCell ref="Z3:Z4"/>
    <mergeCell ref="AA3:AA4"/>
    <mergeCell ref="AB3:AB4"/>
    <mergeCell ref="AE3:AE4"/>
    <mergeCell ref="AF3:AF4"/>
    <mergeCell ref="AI3:AI4"/>
    <mergeCell ref="AJ3:AJ4"/>
    <mergeCell ref="AK3:AK4"/>
    <mergeCell ref="AL3:AL4"/>
    <mergeCell ref="AM3:AM4"/>
    <mergeCell ref="AN3:AN4"/>
    <mergeCell ref="AO3:AO4"/>
    <mergeCell ref="AP3:AP4"/>
    <mergeCell ref="AQ3:AQ4"/>
    <mergeCell ref="AR3:AR4"/>
    <mergeCell ref="AS3:AS4"/>
    <mergeCell ref="AT3:AT4"/>
    <mergeCell ref="AU3:AU4"/>
    <mergeCell ref="AV3:AV4"/>
    <mergeCell ref="BC3:BC4"/>
    <mergeCell ref="BD3:BD4"/>
    <mergeCell ref="BE3:BE4"/>
    <mergeCell ref="BF3:BF4"/>
    <mergeCell ref="BG3:BG4"/>
    <mergeCell ref="BH2:BH4"/>
  </mergeCells>
  <printOptions horizontalCentered="true"/>
  <pageMargins left="0" right="0" top="0.984252" bottom="0.984252" header="0.511811" footer="0.511811"/>
  <pageSetup paperSize="9" scale="58" orientation="landscape"/>
  <headerFooter alignWithMargins="false"/>
  <legacyDrawing r:id="rId0"/>
</worksheet>
</file>

<file path=xl/worksheets/sheet37.xml><?xml version="1.0" encoding="utf-8"?>
<worksheet xmlns:r="http://schemas.openxmlformats.org/officeDocument/2006/relationships" xmlns="http://schemas.openxmlformats.org/spreadsheetml/2006/main">
  <sheetPr>
    <tabColor indexed="13"/>
  </sheetPr>
  <dimension ref="AA2"/>
  <sheetViews>
    <sheetView showGridLines="true" topLeftCell="A1" workbookViewId="0"/>
  </sheetViews>
  <sheetFormatPr defaultColWidth="9" defaultRowHeight="15.75"/>
  <cols>
    <col min="1" max="26" width="9" style="717"/>
  </cols>
  <sheetData>
    <row r="1" spans="1:1" ht="15.6">
      <c r="A1" s="408" t="s"/>
    </row>
    <row r="2" spans="1:26" s="716" customFormat="true" ht="15.6"/>
  </sheetData>
  <sheetProtection/>
  <pageMargins left="0.75" right="0.75" top="1" bottom="1" header="0.5" footer="0.5"/>
  <pageSetup orientation="portrait"/>
  <headerFooter alignWithMargins="false"/>
  <legacyDrawing r:id="rId0"/>
</worksheet>
</file>

<file path=xl/worksheets/sheet38.xml><?xml version="1.0" encoding="utf-8"?>
<worksheet xmlns:r="http://schemas.openxmlformats.org/officeDocument/2006/relationships" xmlns="http://schemas.openxmlformats.org/spreadsheetml/2006/main">
  <sheetPr>
    <tabColor indexed="13"/>
  </sheetPr>
  <dimension ref="G12"/>
  <sheetViews>
    <sheetView showGridLines="true" topLeftCell="A1" workbookViewId="0"/>
  </sheetViews>
  <sheetFormatPr defaultColWidth="8.66406" defaultRowHeight="15.75"/>
  <cols>
    <col min="1" max="1" width="5.5" bestFit="true"/>
    <col min="2" max="2" width="7.5" bestFit="true"/>
    <col min="3" max="3" width="11.625" bestFit="true"/>
    <col min="4" max="4" width="13.875" bestFit="true"/>
    <col min="5" max="5" width="11.625" bestFit="true"/>
    <col min="6" max="6" width="13.875" bestFit="true"/>
  </cols>
  <sheetData>
    <row r="1" spans="1:6" ht="15.6">
      <c r="A1" s="4" t="s">
        <v>2</v>
      </c>
      <c r="B1" s="4" t="s">
        <v>3</v>
      </c>
      <c r="C1" s="4" t="s">
        <v>483</v>
      </c>
      <c r="D1" s="4" t="s">
        <v>484</v>
      </c>
      <c r="E1" s="4" t="s">
        <v>485</v>
      </c>
      <c r="F1" s="4" t="s">
        <v>486</v>
      </c>
    </row>
    <row r="2" spans="1:6" ht="15.6">
      <c r="A2" s="165" t="s">
        <v>487</v>
      </c>
      <c r="B2" s="165" t="s">
        <v>9</v>
      </c>
      <c r="C2" s="165" t="s">
        <v>488</v>
      </c>
      <c r="D2" s="165" t="s">
        <v>110</v>
      </c>
      <c r="E2" s="165">
        <v>6</v>
      </c>
      <c r="F2" s="165" t="s">
        <v>168</v>
      </c>
    </row>
    <row r="3" spans="1:6" ht="15.6">
      <c r="A3" s="165" t="s">
        <v>487</v>
      </c>
      <c r="B3" s="165" t="s">
        <v>275</v>
      </c>
      <c r="C3" s="165" t="s">
        <v>488</v>
      </c>
      <c r="D3" s="165" t="s">
        <v>99</v>
      </c>
      <c r="E3" s="165">
        <v>50</v>
      </c>
      <c r="F3" s="165" t="s">
        <v>161</v>
      </c>
    </row>
    <row r="4" spans="1:6" ht="15.6">
      <c r="A4" s="165" t="s">
        <v>487</v>
      </c>
      <c r="B4" s="165" t="s">
        <v>256</v>
      </c>
      <c r="C4" s="165" t="s">
        <v>488</v>
      </c>
      <c r="D4" s="165" t="s">
        <v>99</v>
      </c>
      <c r="E4" s="165">
        <v>50</v>
      </c>
      <c r="F4" s="165" t="s">
        <v>161</v>
      </c>
    </row>
    <row r="5" spans="1:6" ht="15.6">
      <c r="A5" s="165" t="s">
        <v>487</v>
      </c>
      <c r="B5" s="165" t="s">
        <v>257</v>
      </c>
      <c r="C5" s="165" t="s">
        <v>488</v>
      </c>
      <c r="D5" s="165" t="s">
        <v>104</v>
      </c>
      <c r="E5" s="165">
        <v>50</v>
      </c>
      <c r="F5" s="165" t="s">
        <v>163</v>
      </c>
    </row>
    <row r="6" spans="1:6" ht="15.6">
      <c r="A6" s="165" t="s">
        <v>487</v>
      </c>
      <c r="B6" s="165" t="s">
        <v>258</v>
      </c>
      <c r="C6" s="165" t="s">
        <v>488</v>
      </c>
      <c r="D6" s="165" t="s">
        <v>66</v>
      </c>
      <c r="E6" s="165">
        <v>50</v>
      </c>
      <c r="F6" s="165" t="s">
        <v>157</v>
      </c>
    </row>
    <row r="7" spans="1:6" ht="15.6">
      <c r="A7" s="165" t="s">
        <v>487</v>
      </c>
      <c r="B7" s="165" t="s">
        <v>489</v>
      </c>
      <c r="C7" s="165" t="s">
        <v>488</v>
      </c>
      <c r="D7" s="165" t="s">
        <v>99</v>
      </c>
      <c r="E7" s="165">
        <v>50</v>
      </c>
      <c r="F7" s="165" t="s">
        <v>161</v>
      </c>
    </row>
    <row r="8" spans="1:6" ht="15.6">
      <c r="A8" s="165" t="s">
        <v>487</v>
      </c>
      <c r="B8" s="165" t="s">
        <v>490</v>
      </c>
      <c r="C8" s="165" t="s">
        <v>488</v>
      </c>
      <c r="D8" s="165" t="s">
        <v>99</v>
      </c>
      <c r="E8" s="165">
        <v>50</v>
      </c>
      <c r="F8" s="165" t="s">
        <v>161</v>
      </c>
    </row>
    <row r="9" spans="1:6" ht="15.6">
      <c r="A9" s="165" t="s">
        <v>487</v>
      </c>
      <c r="B9" s="165" t="s">
        <v>491</v>
      </c>
      <c r="C9" s="165" t="s">
        <v>488</v>
      </c>
      <c r="D9" s="165" t="s">
        <v>99</v>
      </c>
      <c r="E9" s="165">
        <v>50</v>
      </c>
      <c r="F9" s="165" t="s">
        <v>161</v>
      </c>
    </row>
    <row r="10" spans="1:6" ht="15.6">
      <c r="A10" s="165" t="s">
        <v>487</v>
      </c>
      <c r="B10" s="165" t="s">
        <v>297</v>
      </c>
      <c r="C10" s="165" t="s">
        <v>488</v>
      </c>
      <c r="D10" s="165" t="s">
        <v>104</v>
      </c>
      <c r="E10" s="165">
        <v>50</v>
      </c>
      <c r="F10" s="165" t="s">
        <v>163</v>
      </c>
    </row>
    <row r="11" spans="1:6" ht="15.6">
      <c r="A11" s="165" t="s">
        <v>487</v>
      </c>
      <c r="B11" s="165" t="s">
        <v>259</v>
      </c>
      <c r="C11" s="165" t="s">
        <v>488</v>
      </c>
      <c r="D11" s="165" t="s">
        <v>140</v>
      </c>
      <c r="E11" s="165">
        <v>50</v>
      </c>
      <c r="F11" s="165" t="s">
        <v>260</v>
      </c>
    </row>
    <row r="12" spans="1:6" ht="15.6">
      <c r="A12" s="165" t="s">
        <v>487</v>
      </c>
      <c r="B12" s="165" t="s">
        <v>261</v>
      </c>
      <c r="C12" s="165" t="s">
        <v>488</v>
      </c>
      <c r="D12" s="165" t="s">
        <v>104</v>
      </c>
      <c r="E12" s="165">
        <v>50</v>
      </c>
      <c r="F12" s="165" t="s">
        <v>163</v>
      </c>
    </row>
  </sheetData>
  <sheetProtection/>
  <pageMargins left="0.75" right="0.75" top="1" bottom="1" header="0.5" footer="0.5"/>
  <pageSetup paperSize="9" orientation="portrait"/>
  <headerFooter alignWithMargins="false"/>
  <legacyDrawing r:id="rId0"/>
</worksheet>
</file>

<file path=xl/worksheets/sheet39.xml><?xml version="1.0" encoding="utf-8"?>
<worksheet xmlns:r="http://schemas.openxmlformats.org/officeDocument/2006/relationships" xmlns="http://schemas.openxmlformats.org/spreadsheetml/2006/main">
  <sheetPr>
    <tabColor indexed="13"/>
  </sheetPr>
  <dimension ref="H107"/>
  <sheetViews>
    <sheetView showGridLines="true" topLeftCell="A1" workbookViewId="0"/>
  </sheetViews>
  <sheetFormatPr defaultColWidth="8.66406" defaultRowHeight="15.75"/>
  <cols>
    <col min="1" max="1" width="27.125" bestFit="true"/>
    <col min="2" max="2" width="5.5" bestFit="true"/>
    <col min="3" max="3" width="7.5" bestFit="true"/>
    <col min="4" max="4" width="11.625" bestFit="true"/>
    <col min="5" max="5" width="34.125"/>
    <col min="6" max="6" width="35.875"/>
    <col min="7" max="7" width="18.5"/>
  </cols>
  <sheetData>
    <row r="1" spans="1:7" ht="15.6">
      <c r="A1" s="4" t="s">
        <v>1</v>
      </c>
      <c r="B1" s="4" t="s">
        <v>2</v>
      </c>
      <c r="C1" s="4" t="s">
        <v>3</v>
      </c>
      <c r="D1" s="4" t="s">
        <v>6</v>
      </c>
      <c r="E1" s="165" t="s">
        <v>4</v>
      </c>
      <c r="F1" s="4" t="s">
        <v>1043</v>
      </c>
      <c r="G1" s="558" t="s">
        <v>1044</v>
      </c>
    </row>
    <row r="2" spans="1:5" ht="15.6">
      <c r="A2" s="559" t="s">
        <v>1045</v>
      </c>
      <c r="B2" s="4" t="s">
        <v>185</v>
      </c>
      <c r="C2" s="4" t="s">
        <v>9</v>
      </c>
      <c r="E2" s="165" t="s">
        <v>1046</v>
      </c>
    </row>
    <row r="3" spans="1:5" ht="15.6">
      <c r="A3" s="559" t="s">
        <v>1045</v>
      </c>
      <c r="B3" s="4" t="s">
        <v>185</v>
      </c>
      <c r="C3" s="4" t="s">
        <v>257</v>
      </c>
      <c r="E3" s="4" t="s">
        <v>1047</v>
      </c>
    </row>
    <row r="4" spans="1:5" ht="15.6">
      <c r="A4" s="559" t="s">
        <v>1048</v>
      </c>
      <c r="B4" s="4" t="s">
        <v>185</v>
      </c>
      <c r="C4" s="4" t="s">
        <v>9</v>
      </c>
      <c r="E4" s="165" t="s">
        <v>1049</v>
      </c>
    </row>
    <row r="5" spans="1:5" ht="15.6">
      <c r="A5" s="559" t="s">
        <v>1048</v>
      </c>
      <c r="B5" s="4" t="s">
        <v>185</v>
      </c>
      <c r="C5" s="4" t="s">
        <v>257</v>
      </c>
      <c r="E5" s="4" t="s">
        <v>1050</v>
      </c>
    </row>
    <row r="6" spans="1:5" ht="15.6">
      <c r="A6" s="559" t="s">
        <v>1051</v>
      </c>
      <c r="B6" s="4" t="s">
        <v>185</v>
      </c>
      <c r="C6" s="4" t="s">
        <v>9</v>
      </c>
      <c r="E6" s="165" t="s">
        <v>1052</v>
      </c>
    </row>
    <row r="7" spans="1:5" ht="15.6">
      <c r="A7" s="559" t="s">
        <v>1051</v>
      </c>
      <c r="B7" s="4" t="s">
        <v>185</v>
      </c>
      <c r="C7" s="4" t="s">
        <v>257</v>
      </c>
      <c r="E7" s="4" t="s">
        <v>1053</v>
      </c>
    </row>
    <row r="8" spans="1:5" ht="15.6">
      <c r="A8" s="559" t="s">
        <v>1054</v>
      </c>
      <c r="B8" s="4" t="s">
        <v>185</v>
      </c>
      <c r="C8" s="4" t="s">
        <v>9</v>
      </c>
      <c r="E8" s="165" t="s">
        <v>1055</v>
      </c>
    </row>
    <row r="9" spans="1:5" ht="15.6">
      <c r="A9" s="559" t="s">
        <v>1054</v>
      </c>
      <c r="B9" s="4" t="s">
        <v>185</v>
      </c>
      <c r="C9" s="4" t="s">
        <v>257</v>
      </c>
      <c r="E9" s="4" t="s">
        <v>1056</v>
      </c>
    </row>
    <row r="10" spans="1:5" ht="15.6">
      <c r="A10" s="559" t="s">
        <v>1009</v>
      </c>
      <c r="B10" s="4" t="s">
        <v>185</v>
      </c>
      <c r="C10" s="4" t="s">
        <v>9</v>
      </c>
      <c r="E10" s="165" t="s">
        <v>1057</v>
      </c>
    </row>
    <row r="11" spans="1:5" ht="15.6">
      <c r="A11" s="559" t="s">
        <v>1009</v>
      </c>
      <c r="B11" s="4" t="s">
        <v>185</v>
      </c>
      <c r="C11" s="4" t="s">
        <v>257</v>
      </c>
      <c r="E11" s="165" t="s">
        <v>1058</v>
      </c>
    </row>
    <row r="12" spans="1:5" ht="15.6">
      <c r="A12" s="559" t="s">
        <v>1010</v>
      </c>
      <c r="B12" s="4" t="s">
        <v>185</v>
      </c>
      <c r="C12" s="4" t="s">
        <v>9</v>
      </c>
      <c r="E12" s="165" t="s">
        <v>1059</v>
      </c>
    </row>
    <row r="13" spans="1:5" ht="15.6">
      <c r="A13" s="559" t="s">
        <v>1010</v>
      </c>
      <c r="B13" s="4" t="s">
        <v>185</v>
      </c>
      <c r="C13" s="4" t="s">
        <v>257</v>
      </c>
      <c r="E13" s="165" t="s">
        <v>1060</v>
      </c>
    </row>
    <row r="14" spans="1:5" ht="15.6">
      <c r="A14" s="559" t="s">
        <v>1011</v>
      </c>
      <c r="B14" s="4" t="s">
        <v>185</v>
      </c>
      <c r="C14" s="4" t="s">
        <v>9</v>
      </c>
      <c r="E14" s="165" t="s">
        <v>1061</v>
      </c>
    </row>
    <row r="15" spans="1:5" ht="15.6">
      <c r="A15" s="559" t="s">
        <v>1011</v>
      </c>
      <c r="B15" s="4" t="s">
        <v>185</v>
      </c>
      <c r="C15" s="4" t="s">
        <v>257</v>
      </c>
      <c r="E15" s="165" t="s">
        <v>1062</v>
      </c>
    </row>
    <row r="16" spans="1:5" ht="15.6">
      <c r="A16" s="559" t="s">
        <v>1012</v>
      </c>
      <c r="B16" s="4" t="s">
        <v>185</v>
      </c>
      <c r="C16" s="4" t="s">
        <v>9</v>
      </c>
      <c r="E16" s="165" t="s">
        <v>1063</v>
      </c>
    </row>
    <row r="17" spans="1:5" ht="15.6">
      <c r="A17" s="559" t="s">
        <v>1012</v>
      </c>
      <c r="B17" s="4" t="s">
        <v>185</v>
      </c>
      <c r="C17" s="4" t="s">
        <v>257</v>
      </c>
      <c r="E17" s="165" t="s">
        <v>1064</v>
      </c>
    </row>
    <row r="18" spans="1:5" ht="15.6">
      <c r="A18" s="560" t="s">
        <v>1065</v>
      </c>
      <c r="B18" s="4" t="s">
        <v>185</v>
      </c>
      <c r="C18" s="4" t="s">
        <v>9</v>
      </c>
      <c r="E18" s="165" t="s">
        <v>1066</v>
      </c>
    </row>
    <row r="19" spans="1:5" ht="15.6">
      <c r="A19" s="560" t="s">
        <v>1065</v>
      </c>
      <c r="B19" s="4" t="s">
        <v>185</v>
      </c>
      <c r="C19" s="4" t="s">
        <v>257</v>
      </c>
      <c r="E19" s="165" t="s">
        <v>1067</v>
      </c>
    </row>
    <row r="20" spans="1:5" ht="15.6">
      <c r="A20" s="560" t="s">
        <v>1016</v>
      </c>
      <c r="B20" s="4" t="s">
        <v>185</v>
      </c>
      <c r="C20" s="4" t="s">
        <v>9</v>
      </c>
      <c r="E20" s="165" t="s">
        <v>1068</v>
      </c>
    </row>
    <row r="21" spans="1:5" ht="15.6">
      <c r="A21" s="560" t="s">
        <v>1016</v>
      </c>
      <c r="B21" s="4" t="s">
        <v>185</v>
      </c>
      <c r="C21" s="4" t="s">
        <v>257</v>
      </c>
      <c r="E21" s="165" t="s">
        <v>1069</v>
      </c>
    </row>
    <row r="22" spans="1:5" ht="15.6">
      <c r="A22" s="560" t="s">
        <v>1018</v>
      </c>
      <c r="B22" s="4" t="s">
        <v>185</v>
      </c>
      <c r="C22" s="4" t="s">
        <v>9</v>
      </c>
      <c r="E22" s="165" t="s">
        <v>1070</v>
      </c>
    </row>
    <row r="23" spans="1:5" ht="15.6">
      <c r="A23" s="560" t="s">
        <v>1018</v>
      </c>
      <c r="B23" s="4" t="s">
        <v>185</v>
      </c>
      <c r="C23" s="4" t="s">
        <v>257</v>
      </c>
      <c r="E23" s="165" t="s">
        <v>1071</v>
      </c>
    </row>
    <row r="24" spans="1:5" ht="15.6">
      <c r="A24" s="4" t="s">
        <v>1072</v>
      </c>
      <c r="B24" s="4" t="s">
        <v>185</v>
      </c>
      <c r="C24" s="4" t="s">
        <v>259</v>
      </c>
      <c r="E24" s="165" t="s">
        <v>1073</v>
      </c>
    </row>
    <row r="25" spans="1:5" ht="15.6">
      <c r="A25" s="4" t="s">
        <v>1072</v>
      </c>
      <c r="B25" s="4" t="s">
        <v>185</v>
      </c>
      <c r="C25" s="4" t="s">
        <v>259</v>
      </c>
      <c r="E25" s="165" t="s">
        <v>1074</v>
      </c>
    </row>
    <row r="26" spans="1:5" ht="15.6">
      <c r="A26" s="560" t="s">
        <v>1075</v>
      </c>
      <c r="B26" s="4" t="s">
        <v>185</v>
      </c>
      <c r="C26" s="4" t="s">
        <v>259</v>
      </c>
      <c r="E26" s="165" t="s">
        <v>1076</v>
      </c>
    </row>
    <row r="27" spans="1:5" ht="15.6">
      <c r="A27" s="560" t="s">
        <v>1075</v>
      </c>
      <c r="B27" s="4" t="s">
        <v>185</v>
      </c>
      <c r="C27" s="4" t="s">
        <v>259</v>
      </c>
      <c r="E27" s="165" t="s">
        <v>1077</v>
      </c>
    </row>
    <row r="28" spans="1:5" ht="15.6">
      <c r="A28" s="560" t="s">
        <v>1075</v>
      </c>
      <c r="B28" s="4" t="s">
        <v>185</v>
      </c>
      <c r="C28" s="4" t="s">
        <v>259</v>
      </c>
      <c r="E28" s="165" t="s">
        <v>1078</v>
      </c>
    </row>
    <row r="29" spans="1:5" ht="15.6">
      <c r="A29" s="4" t="s">
        <v>1079</v>
      </c>
      <c r="B29" s="4" t="s">
        <v>185</v>
      </c>
      <c r="C29" s="4" t="s">
        <v>275</v>
      </c>
      <c r="E29" s="165" t="s">
        <v>1080</v>
      </c>
    </row>
    <row r="30" spans="1:5" ht="15.6">
      <c r="A30" s="4" t="s">
        <v>1079</v>
      </c>
      <c r="B30" s="4" t="s">
        <v>185</v>
      </c>
      <c r="C30" s="4" t="s">
        <v>256</v>
      </c>
      <c r="E30" s="165" t="s">
        <v>1080</v>
      </c>
    </row>
    <row r="31" spans="1:5" ht="15.6">
      <c r="A31" s="4" t="s">
        <v>1079</v>
      </c>
      <c r="B31" s="4" t="s">
        <v>185</v>
      </c>
      <c r="C31" s="4" t="s">
        <v>257</v>
      </c>
      <c r="E31" s="165" t="s">
        <v>1081</v>
      </c>
    </row>
    <row r="32" spans="1:5" ht="15.6">
      <c r="A32" s="4" t="s">
        <v>1079</v>
      </c>
      <c r="B32" s="4" t="s">
        <v>185</v>
      </c>
      <c r="C32" s="4" t="s">
        <v>489</v>
      </c>
      <c r="E32" s="165" t="s">
        <v>1080</v>
      </c>
    </row>
    <row r="33" spans="1:5" ht="15.6">
      <c r="A33" s="4" t="s">
        <v>1079</v>
      </c>
      <c r="B33" s="4" t="s">
        <v>185</v>
      </c>
      <c r="C33" s="4" t="s">
        <v>490</v>
      </c>
      <c r="E33" s="165" t="s">
        <v>1080</v>
      </c>
    </row>
    <row r="34" spans="1:5" ht="15.6">
      <c r="A34" s="4" t="s">
        <v>1079</v>
      </c>
      <c r="B34" s="4" t="s">
        <v>185</v>
      </c>
      <c r="C34" s="4" t="s">
        <v>297</v>
      </c>
      <c r="E34" s="165" t="s">
        <v>1082</v>
      </c>
    </row>
    <row r="35" spans="1:5" ht="15.6">
      <c r="A35" s="4" t="s">
        <v>1079</v>
      </c>
      <c r="B35" s="4" t="s">
        <v>185</v>
      </c>
      <c r="C35" s="4" t="s">
        <v>259</v>
      </c>
      <c r="E35" s="165" t="s">
        <v>1083</v>
      </c>
    </row>
    <row r="36" spans="1:6" ht="15.6">
      <c r="A36" s="4" t="s">
        <v>696</v>
      </c>
      <c r="B36" s="4" t="s">
        <v>713</v>
      </c>
      <c r="C36" s="4" t="s">
        <v>259</v>
      </c>
      <c r="E36" s="165" t="s"/>
      <c r="F36" s="4" t="s">
        <v>1084</v>
      </c>
    </row>
    <row r="37" spans="1:6" ht="15.6">
      <c r="A37" s="4" t="s">
        <v>696</v>
      </c>
      <c r="B37" s="4" t="s">
        <v>185</v>
      </c>
      <c r="C37" s="4" t="s">
        <v>259</v>
      </c>
      <c r="E37" s="165" t="s">
        <v>1085</v>
      </c>
      <c r="F37" s="4" t="s">
        <v>1084</v>
      </c>
    </row>
    <row r="38" spans="1:5" ht="15.6">
      <c r="A38" s="4" t="s">
        <v>696</v>
      </c>
      <c r="B38" s="4" t="s">
        <v>185</v>
      </c>
      <c r="C38" s="4" t="s">
        <v>259</v>
      </c>
      <c r="E38" s="165" t="s">
        <v>1086</v>
      </c>
    </row>
    <row r="39" spans="1:6" ht="15.6">
      <c r="A39" s="4" t="s">
        <v>701</v>
      </c>
      <c r="B39" s="4" t="s">
        <v>713</v>
      </c>
      <c r="C39" s="4" t="s">
        <v>259</v>
      </c>
      <c r="E39" s="165" t="s"/>
      <c r="F39" s="4" t="s">
        <v>1087</v>
      </c>
    </row>
    <row r="40" spans="1:6" ht="15.6">
      <c r="A40" s="4" t="s">
        <v>701</v>
      </c>
      <c r="B40" s="4" t="s">
        <v>185</v>
      </c>
      <c r="C40" s="4" t="s">
        <v>259</v>
      </c>
      <c r="E40" s="165" t="s">
        <v>1088</v>
      </c>
      <c r="F40" s="4" t="s">
        <v>1087</v>
      </c>
    </row>
    <row r="41" spans="1:5" ht="15.6">
      <c r="A41" s="4" t="s">
        <v>1079</v>
      </c>
      <c r="B41" s="4" t="s">
        <v>185</v>
      </c>
      <c r="C41" s="4" t="s">
        <v>261</v>
      </c>
      <c r="E41" s="165" t="s">
        <v>1082</v>
      </c>
    </row>
    <row r="42" spans="1:5" ht="15.6">
      <c r="A42" s="4" t="s">
        <v>1089</v>
      </c>
      <c r="B42" s="4" t="s">
        <v>713</v>
      </c>
      <c r="C42" s="4" t="s">
        <v>263</v>
      </c>
      <c r="D42" s="4" t="s">
        <v>1090</v>
      </c>
      <c r="E42" s="165" t="s"/>
    </row>
    <row r="43" spans="1:5" ht="15.6">
      <c r="A43" s="4" t="s">
        <v>1089</v>
      </c>
      <c r="B43" s="4" t="s">
        <v>713</v>
      </c>
      <c r="C43" s="4" t="s">
        <v>275</v>
      </c>
      <c r="D43" s="4" t="s">
        <v>1091</v>
      </c>
      <c r="E43" s="165" t="s"/>
    </row>
    <row r="44" spans="1:5" ht="15.6">
      <c r="A44" s="4" t="s">
        <v>1089</v>
      </c>
      <c r="B44" s="4" t="s">
        <v>713</v>
      </c>
      <c r="C44" s="4" t="s">
        <v>297</v>
      </c>
      <c r="D44" s="561" t="s">
        <v>1092</v>
      </c>
      <c r="E44" s="165" t="s">
        <v>1093</v>
      </c>
    </row>
    <row r="45" spans="1:5" ht="15.6">
      <c r="A45" s="4" t="s">
        <v>1089</v>
      </c>
      <c r="B45" s="4" t="s">
        <v>713</v>
      </c>
      <c r="C45" s="4" t="s">
        <v>297</v>
      </c>
      <c r="D45" s="4" t="s">
        <v>1094</v>
      </c>
      <c r="E45" s="165" t="s">
        <v>1095</v>
      </c>
    </row>
    <row r="46" spans="1:5" ht="15.6">
      <c r="A46" s="4" t="s">
        <v>1089</v>
      </c>
      <c r="B46" s="4" t="s">
        <v>713</v>
      </c>
      <c r="C46" s="4" t="s">
        <v>297</v>
      </c>
      <c r="D46" s="4" t="s">
        <v>1096</v>
      </c>
      <c r="E46" s="165" t="s">
        <v>1097</v>
      </c>
    </row>
    <row r="47" spans="1:5" ht="15.6">
      <c r="A47" s="4" t="s">
        <v>1089</v>
      </c>
      <c r="B47" s="4" t="s">
        <v>713</v>
      </c>
      <c r="C47" s="4" t="s">
        <v>297</v>
      </c>
      <c r="D47" s="4" t="s">
        <v>1098</v>
      </c>
      <c r="E47" s="165" t="s">
        <v>1099</v>
      </c>
    </row>
    <row r="48" spans="1:5" ht="15.6">
      <c r="A48" s="4" t="s">
        <v>1089</v>
      </c>
      <c r="B48" s="4" t="s">
        <v>713</v>
      </c>
      <c r="C48" s="4" t="s">
        <v>297</v>
      </c>
      <c r="D48" s="4" t="s">
        <v>1100</v>
      </c>
      <c r="E48" s="165" t="s">
        <v>1101</v>
      </c>
    </row>
    <row r="49" spans="1:5" ht="15.6">
      <c r="A49" s="4" t="s">
        <v>1089</v>
      </c>
      <c r="B49" s="4" t="s">
        <v>713</v>
      </c>
      <c r="C49" s="4" t="s">
        <v>297</v>
      </c>
      <c r="D49" s="4" t="s">
        <v>1102</v>
      </c>
      <c r="E49" s="165" t="s">
        <v>1103</v>
      </c>
    </row>
    <row r="50" spans="1:5" ht="15.6">
      <c r="A50" s="4" t="s">
        <v>1089</v>
      </c>
      <c r="B50" s="4" t="s">
        <v>713</v>
      </c>
      <c r="C50" s="4" t="s">
        <v>297</v>
      </c>
      <c r="D50" s="4" t="s">
        <v>1104</v>
      </c>
      <c r="E50" s="165" t="s">
        <v>1105</v>
      </c>
    </row>
    <row r="51" spans="1:5" ht="15.6">
      <c r="A51" s="4" t="s">
        <v>1089</v>
      </c>
      <c r="B51" s="4" t="s">
        <v>713</v>
      </c>
      <c r="C51" s="4" t="s">
        <v>297</v>
      </c>
      <c r="D51" s="4" t="s">
        <v>1106</v>
      </c>
      <c r="E51" s="165" t="s">
        <v>1107</v>
      </c>
    </row>
    <row r="52" spans="1:5" ht="15.6">
      <c r="A52" s="4" t="s">
        <v>1089</v>
      </c>
      <c r="B52" s="4" t="s">
        <v>713</v>
      </c>
      <c r="C52" s="4" t="s">
        <v>297</v>
      </c>
      <c r="D52" s="4" t="s">
        <v>1108</v>
      </c>
      <c r="E52" s="165" t="s">
        <v>1109</v>
      </c>
    </row>
    <row r="53" spans="1:5" ht="15.6">
      <c r="A53" s="4" t="s">
        <v>1089</v>
      </c>
      <c r="B53" s="4" t="s">
        <v>713</v>
      </c>
      <c r="C53" s="4" t="s">
        <v>297</v>
      </c>
      <c r="D53" s="4" t="s">
        <v>1110</v>
      </c>
      <c r="E53" s="165" t="s">
        <v>1111</v>
      </c>
    </row>
    <row r="54" spans="1:5" ht="15.6">
      <c r="A54" s="4" t="s">
        <v>1089</v>
      </c>
      <c r="B54" s="4" t="s">
        <v>713</v>
      </c>
      <c r="C54" s="4" t="s">
        <v>297</v>
      </c>
      <c r="D54" s="4" t="s">
        <v>1112</v>
      </c>
      <c r="E54" s="165" t="s">
        <v>1113</v>
      </c>
    </row>
    <row r="55" spans="1:5" ht="15.6">
      <c r="A55" s="4" t="s">
        <v>1089</v>
      </c>
      <c r="B55" s="4" t="s">
        <v>713</v>
      </c>
      <c r="C55" s="4" t="s">
        <v>297</v>
      </c>
      <c r="D55" s="4" t="s">
        <v>1114</v>
      </c>
      <c r="E55" s="165" t="s">
        <v>1115</v>
      </c>
    </row>
    <row r="56" spans="1:5" ht="15.6">
      <c r="A56" s="4" t="s">
        <v>1089</v>
      </c>
      <c r="B56" s="4" t="s">
        <v>713</v>
      </c>
      <c r="C56" s="4" t="s">
        <v>297</v>
      </c>
      <c r="D56" s="4" t="s">
        <v>1116</v>
      </c>
      <c r="E56" s="165" t="s">
        <v>1117</v>
      </c>
    </row>
    <row r="57" spans="1:5" ht="15.6">
      <c r="A57" s="4" t="s">
        <v>1089</v>
      </c>
      <c r="B57" s="4" t="s">
        <v>713</v>
      </c>
      <c r="C57" s="4" t="s">
        <v>297</v>
      </c>
      <c r="D57" s="4" t="s">
        <v>1118</v>
      </c>
      <c r="E57" s="165" t="s">
        <v>1119</v>
      </c>
    </row>
    <row r="58" spans="1:5" ht="15.6">
      <c r="A58" s="4" t="s">
        <v>1089</v>
      </c>
      <c r="B58" s="4" t="s">
        <v>713</v>
      </c>
      <c r="C58" s="4" t="s">
        <v>297</v>
      </c>
      <c r="D58" s="4" t="s">
        <v>1120</v>
      </c>
      <c r="E58" s="165" t="s">
        <v>1121</v>
      </c>
    </row>
    <row r="59" spans="1:5" ht="15.6">
      <c r="A59" s="4" t="s">
        <v>1089</v>
      </c>
      <c r="B59" s="4" t="s">
        <v>713</v>
      </c>
      <c r="C59" s="4" t="s">
        <v>297</v>
      </c>
      <c r="D59" s="4" t="s">
        <v>1122</v>
      </c>
      <c r="E59" s="165" t="s">
        <v>1123</v>
      </c>
    </row>
    <row r="60" spans="1:5" ht="15.6">
      <c r="A60" s="4" t="s">
        <v>1089</v>
      </c>
      <c r="B60" s="4" t="s">
        <v>713</v>
      </c>
      <c r="C60" s="4" t="s">
        <v>297</v>
      </c>
      <c r="D60" s="4" t="s">
        <v>1124</v>
      </c>
      <c r="E60" s="165" t="s">
        <v>1125</v>
      </c>
    </row>
    <row r="61" spans="1:5" ht="15.6">
      <c r="A61" s="4" t="s">
        <v>1089</v>
      </c>
      <c r="B61" s="4" t="s">
        <v>713</v>
      </c>
      <c r="C61" s="4" t="s">
        <v>297</v>
      </c>
      <c r="D61" s="4" t="s">
        <v>1126</v>
      </c>
      <c r="E61" s="165" t="s">
        <v>1127</v>
      </c>
    </row>
    <row r="62" spans="1:5" ht="15.6">
      <c r="A62" s="4" t="s">
        <v>1089</v>
      </c>
      <c r="B62" s="4" t="s">
        <v>713</v>
      </c>
      <c r="C62" s="4" t="s">
        <v>297</v>
      </c>
      <c r="D62" s="4" t="s">
        <v>1128</v>
      </c>
      <c r="E62" s="165" t="s">
        <v>1129</v>
      </c>
    </row>
    <row r="63" spans="1:5" ht="15.6">
      <c r="A63" s="4" t="s">
        <v>1089</v>
      </c>
      <c r="B63" s="4" t="s">
        <v>713</v>
      </c>
      <c r="C63" s="4" t="s">
        <v>297</v>
      </c>
      <c r="D63" s="4" t="s">
        <v>1130</v>
      </c>
      <c r="E63" s="165" t="s">
        <v>1131</v>
      </c>
    </row>
    <row r="64" spans="1:5" ht="15.6">
      <c r="A64" s="4" t="s">
        <v>1089</v>
      </c>
      <c r="B64" s="4" t="s">
        <v>713</v>
      </c>
      <c r="C64" s="4" t="s">
        <v>297</v>
      </c>
      <c r="D64" s="4" t="s">
        <v>1132</v>
      </c>
      <c r="E64" s="165" t="s">
        <v>1133</v>
      </c>
    </row>
    <row r="65" spans="1:5" ht="15.6">
      <c r="A65" s="4" t="s">
        <v>1089</v>
      </c>
      <c r="B65" s="4" t="s">
        <v>713</v>
      </c>
      <c r="C65" s="4" t="s">
        <v>297</v>
      </c>
      <c r="D65" s="4" t="s">
        <v>1134</v>
      </c>
      <c r="E65" s="165" t="s">
        <v>1135</v>
      </c>
    </row>
    <row r="66" spans="1:5" ht="15.6">
      <c r="A66" s="4" t="s">
        <v>1089</v>
      </c>
      <c r="B66" s="4" t="s">
        <v>713</v>
      </c>
      <c r="C66" s="4" t="s">
        <v>297</v>
      </c>
      <c r="D66" s="4" t="s">
        <v>1136</v>
      </c>
      <c r="E66" s="165" t="s">
        <v>1137</v>
      </c>
    </row>
    <row r="67" spans="1:5" ht="15.6">
      <c r="A67" s="4" t="s">
        <v>1089</v>
      </c>
      <c r="B67" s="4" t="s">
        <v>713</v>
      </c>
      <c r="C67" s="4" t="s">
        <v>297</v>
      </c>
      <c r="D67" s="4" t="s">
        <v>1138</v>
      </c>
      <c r="E67" s="165" t="s">
        <v>1139</v>
      </c>
    </row>
    <row r="68" spans="1:5" ht="15.6">
      <c r="A68" s="4" t="s">
        <v>1089</v>
      </c>
      <c r="B68" s="4" t="s">
        <v>713</v>
      </c>
      <c r="C68" s="4" t="s">
        <v>297</v>
      </c>
      <c r="D68" s="4" t="s">
        <v>1140</v>
      </c>
      <c r="E68" s="165" t="s">
        <v>1141</v>
      </c>
    </row>
    <row r="69" spans="1:5" ht="15.6">
      <c r="A69" s="4" t="s">
        <v>1089</v>
      </c>
      <c r="B69" s="4" t="s">
        <v>713</v>
      </c>
      <c r="C69" s="4" t="s">
        <v>259</v>
      </c>
      <c r="D69" s="4" t="s">
        <v>1142</v>
      </c>
      <c r="E69" s="165" t="s">
        <v>1143</v>
      </c>
    </row>
    <row r="70" spans="1:5" ht="15.6">
      <c r="A70" s="4" t="s">
        <v>1089</v>
      </c>
      <c r="B70" s="4" t="s">
        <v>713</v>
      </c>
      <c r="C70" s="4" t="s">
        <v>259</v>
      </c>
      <c r="D70" s="4" t="s">
        <v>1144</v>
      </c>
      <c r="E70" s="165" t="s">
        <v>1145</v>
      </c>
    </row>
    <row r="71" spans="1:5" ht="15.6">
      <c r="A71" s="4" t="s">
        <v>1089</v>
      </c>
      <c r="B71" s="4" t="s">
        <v>713</v>
      </c>
      <c r="C71" s="4" t="s">
        <v>259</v>
      </c>
      <c r="D71" s="4" t="s">
        <v>1146</v>
      </c>
      <c r="E71" s="165" t="s">
        <v>1147</v>
      </c>
    </row>
    <row r="72" spans="1:5" ht="15.6">
      <c r="A72" s="4" t="s">
        <v>1089</v>
      </c>
      <c r="B72" s="4" t="s">
        <v>713</v>
      </c>
      <c r="C72" s="4" t="s">
        <v>259</v>
      </c>
      <c r="D72" s="4" t="s">
        <v>1148</v>
      </c>
      <c r="E72" s="165" t="s">
        <v>1149</v>
      </c>
    </row>
    <row r="73" spans="1:5" ht="15.6">
      <c r="A73" s="4" t="s">
        <v>1089</v>
      </c>
      <c r="B73" s="4" t="s">
        <v>713</v>
      </c>
      <c r="C73" s="4" t="s">
        <v>259</v>
      </c>
      <c r="D73" s="4" t="s">
        <v>1150</v>
      </c>
      <c r="E73" s="165" t="s">
        <v>1151</v>
      </c>
    </row>
    <row r="74" spans="1:5" ht="15.6">
      <c r="A74" s="4" t="s">
        <v>1089</v>
      </c>
      <c r="B74" s="4" t="s">
        <v>713</v>
      </c>
      <c r="C74" s="4" t="s">
        <v>259</v>
      </c>
      <c r="D74" s="4" t="s">
        <v>1152</v>
      </c>
      <c r="E74" s="165" t="s">
        <v>1153</v>
      </c>
    </row>
    <row r="75" spans="1:5" ht="15.6">
      <c r="A75" s="4" t="s">
        <v>1089</v>
      </c>
      <c r="B75" s="4" t="s">
        <v>713</v>
      </c>
      <c r="C75" s="4" t="s">
        <v>259</v>
      </c>
      <c r="D75" s="4" t="s">
        <v>1154</v>
      </c>
      <c r="E75" s="165" t="s">
        <v>1155</v>
      </c>
    </row>
    <row r="76" spans="1:5" ht="15.6">
      <c r="A76" s="4" t="s">
        <v>1089</v>
      </c>
      <c r="B76" s="4" t="s">
        <v>713</v>
      </c>
      <c r="C76" s="4" t="s">
        <v>259</v>
      </c>
      <c r="D76" s="4" t="s">
        <v>1156</v>
      </c>
      <c r="E76" s="165" t="s">
        <v>1157</v>
      </c>
    </row>
    <row r="77" spans="1:5" ht="15.6">
      <c r="A77" s="4" t="s">
        <v>1089</v>
      </c>
      <c r="B77" s="4" t="s">
        <v>713</v>
      </c>
      <c r="C77" s="4" t="s">
        <v>259</v>
      </c>
      <c r="D77" s="4" t="s">
        <v>1158</v>
      </c>
      <c r="E77" s="165" t="s">
        <v>1159</v>
      </c>
    </row>
    <row r="78" spans="1:5" ht="15.6">
      <c r="A78" s="4" t="s">
        <v>1089</v>
      </c>
      <c r="B78" s="4" t="s">
        <v>713</v>
      </c>
      <c r="C78" s="4" t="s">
        <v>259</v>
      </c>
      <c r="D78" s="4" t="s">
        <v>1160</v>
      </c>
      <c r="E78" s="165" t="s">
        <v>1161</v>
      </c>
    </row>
    <row r="79" spans="1:5" ht="15.6">
      <c r="A79" s="4" t="s">
        <v>1089</v>
      </c>
      <c r="B79" s="4" t="s">
        <v>713</v>
      </c>
      <c r="C79" s="4" t="s">
        <v>259</v>
      </c>
      <c r="D79" s="4" t="s">
        <v>1162</v>
      </c>
      <c r="E79" s="165" t="s">
        <v>1163</v>
      </c>
    </row>
    <row r="80" spans="1:5" ht="15.6">
      <c r="A80" s="4" t="s">
        <v>1089</v>
      </c>
      <c r="B80" s="4" t="s">
        <v>713</v>
      </c>
      <c r="C80" s="4" t="s">
        <v>259</v>
      </c>
      <c r="D80" s="4" t="s">
        <v>1164</v>
      </c>
      <c r="E80" s="165" t="s">
        <v>1165</v>
      </c>
    </row>
    <row r="81" spans="1:5" ht="15.6">
      <c r="A81" s="4" t="s">
        <v>1089</v>
      </c>
      <c r="B81" s="4" t="s">
        <v>713</v>
      </c>
      <c r="C81" s="4" t="s">
        <v>259</v>
      </c>
      <c r="D81" s="4" t="s">
        <v>1166</v>
      </c>
      <c r="E81" s="165" t="s">
        <v>1167</v>
      </c>
    </row>
    <row r="82" spans="1:5" ht="15.6">
      <c r="A82" s="4" t="s">
        <v>1089</v>
      </c>
      <c r="B82" s="4" t="s">
        <v>713</v>
      </c>
      <c r="C82" s="4" t="s">
        <v>259</v>
      </c>
      <c r="D82" s="4" t="s">
        <v>1168</v>
      </c>
      <c r="E82" s="165" t="s">
        <v>1169</v>
      </c>
    </row>
    <row r="83" spans="1:5" ht="15.6">
      <c r="A83" s="4" t="s">
        <v>1089</v>
      </c>
      <c r="B83" s="4" t="s">
        <v>713</v>
      </c>
      <c r="C83" s="4" t="s">
        <v>259</v>
      </c>
      <c r="D83" s="4" t="s">
        <v>1170</v>
      </c>
      <c r="E83" s="165" t="s">
        <v>1171</v>
      </c>
    </row>
    <row r="84" spans="1:5" ht="15.6">
      <c r="A84" s="4" t="s">
        <v>1089</v>
      </c>
      <c r="B84" s="4" t="s">
        <v>713</v>
      </c>
      <c r="C84" s="4" t="s">
        <v>259</v>
      </c>
      <c r="D84" s="4" t="s">
        <v>1172</v>
      </c>
      <c r="E84" s="165" t="s">
        <v>1076</v>
      </c>
    </row>
    <row r="85" spans="1:5" ht="15.6">
      <c r="A85" s="4" t="s">
        <v>1089</v>
      </c>
      <c r="B85" s="4" t="s">
        <v>713</v>
      </c>
      <c r="C85" s="4" t="s">
        <v>259</v>
      </c>
      <c r="D85" s="4" t="s">
        <v>1173</v>
      </c>
      <c r="E85" s="165" t="s">
        <v>1174</v>
      </c>
    </row>
    <row r="86" spans="1:5" ht="15.6">
      <c r="A86" s="4" t="s">
        <v>1089</v>
      </c>
      <c r="B86" s="4" t="s">
        <v>713</v>
      </c>
      <c r="C86" s="4" t="s">
        <v>259</v>
      </c>
      <c r="D86" s="4" t="s">
        <v>1175</v>
      </c>
      <c r="E86" s="165" t="s">
        <v>1176</v>
      </c>
    </row>
    <row r="87" spans="1:5" ht="15.6">
      <c r="A87" s="4" t="s">
        <v>1089</v>
      </c>
      <c r="B87" s="4" t="s">
        <v>713</v>
      </c>
      <c r="C87" s="4" t="s">
        <v>259</v>
      </c>
      <c r="D87" s="4" t="s">
        <v>1177</v>
      </c>
      <c r="E87" s="165" t="s">
        <v>1178</v>
      </c>
    </row>
    <row r="88" spans="1:5" ht="15.6">
      <c r="A88" s="4" t="s">
        <v>1089</v>
      </c>
      <c r="B88" s="4" t="s">
        <v>713</v>
      </c>
      <c r="C88" s="4" t="s">
        <v>259</v>
      </c>
      <c r="D88" s="4" t="s">
        <v>1179</v>
      </c>
      <c r="E88" s="165" t="s">
        <v>1077</v>
      </c>
    </row>
    <row r="89" spans="1:5" ht="15.6">
      <c r="A89" s="4" t="s">
        <v>1089</v>
      </c>
      <c r="B89" s="4" t="s">
        <v>713</v>
      </c>
      <c r="C89" s="4" t="s">
        <v>259</v>
      </c>
      <c r="D89" s="4" t="s">
        <v>1180</v>
      </c>
      <c r="E89" s="165" t="s">
        <v>1181</v>
      </c>
    </row>
    <row r="90" spans="1:5" ht="15.6">
      <c r="A90" s="4" t="s">
        <v>1089</v>
      </c>
      <c r="B90" s="4" t="s">
        <v>713</v>
      </c>
      <c r="C90" s="4" t="s">
        <v>259</v>
      </c>
      <c r="D90" s="4" t="s">
        <v>1182</v>
      </c>
      <c r="E90" s="165" t="s">
        <v>1183</v>
      </c>
    </row>
    <row r="91" spans="1:5" ht="15.6">
      <c r="A91" s="4" t="s">
        <v>1089</v>
      </c>
      <c r="B91" s="4" t="s">
        <v>713</v>
      </c>
      <c r="C91" s="4" t="s">
        <v>259</v>
      </c>
      <c r="D91" s="4" t="s">
        <v>1184</v>
      </c>
      <c r="E91" s="165" t="s">
        <v>1185</v>
      </c>
    </row>
    <row r="92" spans="1:5" ht="15.6">
      <c r="A92" s="4" t="s">
        <v>1089</v>
      </c>
      <c r="B92" s="4" t="s">
        <v>713</v>
      </c>
      <c r="C92" s="4" t="s">
        <v>259</v>
      </c>
      <c r="D92" s="4" t="s">
        <v>1186</v>
      </c>
      <c r="E92" s="165" t="s">
        <v>1078</v>
      </c>
    </row>
    <row r="93" spans="1:5" ht="15.6">
      <c r="A93" s="4" t="s">
        <v>1089</v>
      </c>
      <c r="B93" s="4" t="s">
        <v>713</v>
      </c>
      <c r="C93" s="4" t="s">
        <v>261</v>
      </c>
      <c r="D93" s="4" t="s">
        <v>1187</v>
      </c>
      <c r="E93" s="165" t="s">
        <v>1188</v>
      </c>
    </row>
    <row r="94" spans="1:5" ht="15.6">
      <c r="A94" s="4" t="s">
        <v>1089</v>
      </c>
      <c r="B94" s="4" t="s">
        <v>713</v>
      </c>
      <c r="C94" s="4" t="s">
        <v>261</v>
      </c>
      <c r="D94" s="4" t="s">
        <v>1189</v>
      </c>
      <c r="E94" s="165" t="s">
        <v>1190</v>
      </c>
    </row>
    <row r="95" spans="1:5" ht="15.6">
      <c r="A95" s="4" t="s">
        <v>1089</v>
      </c>
      <c r="B95" s="4" t="s">
        <v>713</v>
      </c>
      <c r="C95" s="4" t="s">
        <v>261</v>
      </c>
      <c r="D95" s="4" t="s">
        <v>1191</v>
      </c>
      <c r="E95" s="165" t="s">
        <v>1192</v>
      </c>
    </row>
    <row r="96" spans="1:5" ht="15.6">
      <c r="A96" s="4" t="s">
        <v>1089</v>
      </c>
      <c r="B96" s="4" t="s">
        <v>713</v>
      </c>
      <c r="C96" s="4" t="s">
        <v>261</v>
      </c>
      <c r="D96" s="4" t="s">
        <v>1193</v>
      </c>
      <c r="E96" s="165" t="s">
        <v>1194</v>
      </c>
    </row>
    <row r="97" spans="1:5" ht="15.6">
      <c r="A97" s="4" t="s">
        <v>1089</v>
      </c>
      <c r="B97" s="4" t="s">
        <v>713</v>
      </c>
      <c r="C97" s="4" t="s">
        <v>261</v>
      </c>
      <c r="D97" s="4" t="s">
        <v>1195</v>
      </c>
      <c r="E97" s="165" t="s">
        <v>1196</v>
      </c>
    </row>
    <row r="98" spans="1:5" ht="15.6">
      <c r="A98" s="4" t="s">
        <v>1089</v>
      </c>
      <c r="B98" s="4" t="s">
        <v>713</v>
      </c>
      <c r="C98" s="4" t="s">
        <v>261</v>
      </c>
      <c r="D98" s="4" t="s">
        <v>1197</v>
      </c>
      <c r="E98" s="165" t="s">
        <v>1198</v>
      </c>
    </row>
    <row r="99" spans="1:5" ht="15.6">
      <c r="A99" s="4" t="s">
        <v>1089</v>
      </c>
      <c r="B99" s="4" t="s">
        <v>713</v>
      </c>
      <c r="C99" s="4" t="s">
        <v>261</v>
      </c>
      <c r="D99" s="4" t="s">
        <v>1199</v>
      </c>
      <c r="E99" s="165" t="s">
        <v>1200</v>
      </c>
    </row>
    <row r="100" spans="1:5" ht="15.6">
      <c r="A100" s="4" t="s">
        <v>1089</v>
      </c>
      <c r="B100" s="4" t="s">
        <v>713</v>
      </c>
      <c r="C100" s="4" t="s">
        <v>261</v>
      </c>
      <c r="D100" s="4" t="s">
        <v>1201</v>
      </c>
      <c r="E100" s="165" t="s">
        <v>1202</v>
      </c>
    </row>
    <row r="101" spans="1:5" ht="15.6">
      <c r="A101" s="4" t="s">
        <v>1089</v>
      </c>
      <c r="B101" s="4" t="s">
        <v>713</v>
      </c>
      <c r="C101" s="4" t="s">
        <v>261</v>
      </c>
      <c r="D101" s="4" t="s">
        <v>1108</v>
      </c>
      <c r="E101" s="165" t="s">
        <v>1203</v>
      </c>
    </row>
    <row r="102" spans="1:5" ht="15.6">
      <c r="A102" s="4" t="s">
        <v>1089</v>
      </c>
      <c r="B102" s="4" t="s">
        <v>713</v>
      </c>
      <c r="C102" s="4" t="s">
        <v>261</v>
      </c>
      <c r="D102" s="4" t="s">
        <v>1204</v>
      </c>
      <c r="E102" s="165" t="s">
        <v>1205</v>
      </c>
    </row>
    <row r="103" spans="1:5" ht="15.6">
      <c r="A103" s="4" t="s">
        <v>1089</v>
      </c>
      <c r="B103" s="4" t="s">
        <v>713</v>
      </c>
      <c r="C103" s="4" t="s">
        <v>261</v>
      </c>
      <c r="D103" s="4" t="s">
        <v>1206</v>
      </c>
      <c r="E103" s="165" t="s">
        <v>1207</v>
      </c>
    </row>
    <row r="104" spans="1:5" ht="15.6">
      <c r="A104" s="4" t="s">
        <v>1089</v>
      </c>
      <c r="B104" s="4" t="s">
        <v>713</v>
      </c>
      <c r="C104" s="4" t="s">
        <v>261</v>
      </c>
      <c r="D104" s="4" t="s">
        <v>1208</v>
      </c>
      <c r="E104" s="165" t="s">
        <v>1209</v>
      </c>
    </row>
    <row r="105" spans="1:5" ht="15.6">
      <c r="A105" s="4" t="s">
        <v>1089</v>
      </c>
      <c r="B105" s="4" t="s">
        <v>713</v>
      </c>
      <c r="C105" s="4" t="s">
        <v>261</v>
      </c>
      <c r="D105" s="4" t="s">
        <v>1210</v>
      </c>
      <c r="E105" s="165" t="s">
        <v>1211</v>
      </c>
    </row>
    <row r="106" spans="1:5" ht="15.6">
      <c r="A106" s="4" t="s">
        <v>1089</v>
      </c>
      <c r="B106" s="4" t="s">
        <v>713</v>
      </c>
      <c r="C106" s="4" t="s">
        <v>261</v>
      </c>
      <c r="D106" s="4" t="s">
        <v>1212</v>
      </c>
      <c r="E106" s="165" t="s">
        <v>1213</v>
      </c>
    </row>
    <row r="107" spans="1:5" ht="15.6">
      <c r="A107" s="4" t="s">
        <v>1089</v>
      </c>
      <c r="B107" s="4" t="s">
        <v>713</v>
      </c>
      <c r="C107" s="4" t="s">
        <v>261</v>
      </c>
      <c r="D107" s="4" t="s">
        <v>1214</v>
      </c>
      <c r="E107" s="165" t="s">
        <v>1215</v>
      </c>
    </row>
  </sheetData>
  <sheetProtection/>
  <pageMargins left="0.75" right="0.75" top="1" bottom="1" header="0.5" footer="0.5"/>
  <pageSetup orientation="portrait"/>
  <headerFooter alignWithMargins="false"/>
  <legacyDrawing r:id="rId0"/>
</worksheet>
</file>

<file path=xl/worksheets/sheet4.xml><?xml version="1.0" encoding="utf-8"?>
<worksheet xmlns:r="http://schemas.openxmlformats.org/officeDocument/2006/relationships" xmlns="http://schemas.openxmlformats.org/spreadsheetml/2006/main">
  <sheetPr/>
  <dimension ref="AA50"/>
  <sheetViews>
    <sheetView showGridLines="false" showZeros="false" showOutlineSymbols="false" topLeftCell="A1" workbookViewId="0">
      <pane xSplit="5" ySplit="4" topLeftCell="F10" activePane="bottomRight" state="frozen"/>
    </sheetView>
  </sheetViews>
  <sheetFormatPr defaultColWidth="9" defaultRowHeight="12" customHeight="true"/>
  <cols>
    <col min="1" max="1" width="6.625" style="698"/>
    <col min="2" max="2" width="13.625" style="698"/>
    <col min="3" max="4" width="9.625" style="698"/>
    <col min="5" max="7" width="10.625" style="698"/>
    <col min="8" max="8" width="34.375" style="698"/>
    <col min="9" max="13" width="10.625" style="698"/>
    <col min="14" max="14" width="40.125" style="698"/>
    <col min="15" max="23" width="10.625" style="698"/>
    <col min="24" max="26" width="9" style="698"/>
  </cols>
  <sheetData>
    <row r="1" spans="1:7" s="698" customFormat="true" ht="12" customHeight="true">
      <c r="A1" s="589" t="s">
        <v>1253</v>
      </c>
      <c r="B1" s="590" t="s"/>
      <c r="C1" s="590" t="s"/>
      <c r="D1" s="590" t="s"/>
      <c r="E1" s="590" t="s"/>
      <c r="F1" s="590" t="s"/>
      <c r="G1" s="590" t="s"/>
    </row>
    <row r="2" spans="1:13" s="698" customFormat="true" ht="12" customHeight="true">
      <c r="A2" s="591" t="s">
        <v>1254</v>
      </c>
      <c r="C2" s="592" t="s"/>
      <c r="D2" s="592" t="s"/>
      <c r="E2" s="592" t="s"/>
      <c r="F2" s="592" t="s">
        <v>1255</v>
      </c>
      <c r="G2" s="592" t="s"/>
      <c r="H2" s="348" t="s"/>
      <c r="I2" s="348" t="s"/>
      <c r="J2" s="348" t="s"/>
      <c r="K2" s="348" t="s"/>
      <c r="L2" s="348" t="s"/>
      <c r="M2" s="348" t="s"/>
    </row>
    <row r="3" spans="1:13" ht="12" customHeight="true">
      <c r="A3" s="593" t="s">
        <v>1256</v>
      </c>
      <c r="B3" s="594" t="s">
        <v>1257</v>
      </c>
      <c r="C3" s="594" t="s"/>
      <c r="D3" s="594" t="s"/>
      <c r="E3" s="593" t="s">
        <v>739</v>
      </c>
      <c r="F3" s="595" t="s">
        <v>620</v>
      </c>
      <c r="G3" s="596" t="s"/>
      <c r="H3" s="595" t="s">
        <v>621</v>
      </c>
      <c r="I3" s="596" t="s"/>
      <c r="J3" s="596" t="s"/>
      <c r="K3" s="596" t="s"/>
      <c r="L3" s="596" t="s"/>
      <c r="M3" s="597" t="s"/>
    </row>
    <row r="4" spans="1:13" ht="12" customHeight="true">
      <c r="A4" s="593" t="s">
        <v>1258</v>
      </c>
      <c r="B4" s="593" t="s"/>
      <c r="C4" s="593" t="s"/>
      <c r="D4" s="593" t="s"/>
      <c r="E4" s="593" t="s">
        <v>1259</v>
      </c>
      <c r="F4" s="593" t="s">
        <v>622</v>
      </c>
      <c r="G4" s="593" t="s">
        <v>623</v>
      </c>
      <c r="H4" s="593" t="s">
        <v>624</v>
      </c>
      <c r="I4" s="593" t="s">
        <v>625</v>
      </c>
      <c r="J4" s="593" t="s">
        <v>626</v>
      </c>
      <c r="K4" s="593" t="s">
        <v>627</v>
      </c>
      <c r="L4" s="593" t="s">
        <v>628</v>
      </c>
      <c r="M4" s="593" t="s">
        <v>629</v>
      </c>
    </row>
    <row r="5" spans="1:13" ht="12" customHeight="true">
      <c r="A5" s="598" t="s">
        <v>442</v>
      </c>
      <c r="B5" s="599" t="s">
        <v>1260</v>
      </c>
      <c r="C5" s="599" t="s"/>
      <c r="D5" s="599" t="s"/>
      <c r="E5" s="600">
        <f>=SUM(F5:M5)</f>
        <v>8767.59401589645</v>
      </c>
      <c r="F5" s="601">
        <f>=F7+F16</f>
        <v>0</v>
      </c>
      <c r="G5" s="601">
        <f ca="true">=G7+G15-OFFSET(G16,0,-1)+G16</f>
        <v>8767.59401589645</v>
      </c>
      <c r="H5" s="602" t="s"/>
      <c r="I5" s="603">
        <f ca="true">=I7+I15-OFFSET(I16,0,-1)+I16</f>
        <v>0</v>
      </c>
      <c r="J5" s="603">
        <f ca="true">=J7+J15-OFFSET(J16,0,-1)+J16</f>
        <v>0</v>
      </c>
      <c r="K5" s="603">
        <f ca="true">=K7+K15-OFFSET(K16,0,-1)+K16</f>
        <v>0</v>
      </c>
      <c r="L5" s="603">
        <f ca="true">=L7+L15-OFFSET(L16,0,-1)+L16</f>
        <v>0</v>
      </c>
      <c r="M5" s="603">
        <f ca="true">=M7+M15-OFFSET(M16,0,-1)+M16</f>
        <v>0</v>
      </c>
    </row>
    <row r="6" spans="1:14" ht="12" customHeight="true">
      <c r="A6" s="598" t="s"/>
      <c r="B6" s="604" t="s">
        <v>1261</v>
      </c>
      <c r="C6" s="604" t="s"/>
      <c r="D6" s="604" t="s"/>
      <c r="E6" s="602" t="s"/>
      <c r="F6" s="605">
        <f>=1-SUM(G6)</f>
        <v>0</v>
      </c>
      <c r="G6" s="606">
        <v>1</v>
      </c>
      <c r="H6" s="607" t="s"/>
      <c r="I6" s="607" t="s"/>
      <c r="J6" s="607" t="s"/>
      <c r="K6" s="607" t="s"/>
      <c r="L6" s="602" t="s"/>
      <c r="M6" s="602" t="s"/>
      <c r="N6" s="188" t="s">
        <v>1262</v>
      </c>
    </row>
    <row r="7" spans="1:14" ht="12" customHeight="true">
      <c r="A7" s="598">
        <v>1</v>
      </c>
      <c r="B7" s="604" t="s">
        <v>209</v>
      </c>
      <c r="C7" s="604" t="s"/>
      <c r="D7" s="604" t="s"/>
      <c r="E7" s="603">
        <f>=SUM(F7:G7)</f>
        <v>8767.59401589645</v>
      </c>
      <c r="F7" s="603">
        <f>=F8+F9</f>
        <v>0</v>
      </c>
      <c r="G7" s="603">
        <f>=G8+G9</f>
        <v>8767.59401589645</v>
      </c>
      <c r="H7" s="602" t="s"/>
      <c r="I7" s="602" t="s"/>
      <c r="J7" s="602" t="s"/>
      <c r="K7" s="602" t="s"/>
      <c r="L7" s="608" t="s"/>
      <c r="M7" s="608" t="s"/>
      <c r="N7" s="499" t="s"/>
    </row>
    <row r="8" spans="1:14" ht="12" customHeight="true">
      <c r="A8" s="598">
        <v>1.1</v>
      </c>
      <c r="B8" s="604" t="s">
        <v>1263</v>
      </c>
      <c r="C8" s="604" t="s"/>
      <c r="D8" s="604" t="s"/>
      <c r="E8" s="603">
        <f>=评估表1固定资产投资估算表!G5</f>
        <v>8688.84401589645</v>
      </c>
      <c r="F8" s="603">
        <f>=$E$8*F6</f>
        <v>0</v>
      </c>
      <c r="G8" s="603">
        <f>=$E$8*G6</f>
        <v>8688.84401589645</v>
      </c>
      <c r="H8" s="609" t="s"/>
      <c r="I8" s="602" t="s"/>
      <c r="J8" s="602" t="s"/>
      <c r="K8" s="602" t="s"/>
      <c r="L8" s="602" t="s"/>
      <c r="M8" s="602" t="s"/>
      <c r="N8" s="610" t="s">
        <v>1264</v>
      </c>
    </row>
    <row r="9" spans="1:14" ht="12" customHeight="true">
      <c r="A9" s="598">
        <v>1.2</v>
      </c>
      <c r="B9" s="604" t="s">
        <v>1265</v>
      </c>
      <c r="C9" s="604" t="s"/>
      <c r="D9" s="604" t="s"/>
      <c r="E9" s="603">
        <f>=评估表1固定资产投资估算表!G37</f>
        <v>78.75</v>
      </c>
      <c r="F9" s="603">
        <f>=SUM(F10:F14)</f>
        <v>0</v>
      </c>
      <c r="G9" s="603">
        <f>=SUM(G10:G14)</f>
        <v>78.75</v>
      </c>
      <c r="H9" s="609" t="s"/>
      <c r="I9" s="602" t="s"/>
      <c r="J9" s="602" t="s"/>
      <c r="K9" s="602" t="s"/>
      <c r="L9" s="602" t="s"/>
      <c r="M9" s="602" t="s"/>
      <c r="N9" s="610" t="s">
        <v>1266</v>
      </c>
    </row>
    <row r="10" spans="1:14" ht="12" customHeight="true">
      <c r="A10" s="598" t="s"/>
      <c r="B10" s="604" t="s">
        <v>454</v>
      </c>
      <c r="C10" s="604" t="s"/>
      <c r="D10" s="604" t="s"/>
      <c r="E10" s="603">
        <f>=SUM(F10:G10)</f>
        <v>78.75</v>
      </c>
      <c r="F10" s="611">
        <f>=评估表6项目贷款偿还期计算表!E9</f>
        <v>0</v>
      </c>
      <c r="G10" s="611">
        <f>=评估表6项目贷款偿还期计算表!F9</f>
        <v>78.75</v>
      </c>
      <c r="H10" s="608" t="s"/>
      <c r="I10" s="608" t="s"/>
      <c r="J10" s="608" t="s"/>
      <c r="K10" s="608" t="s"/>
      <c r="L10" s="602" t="s"/>
      <c r="M10" s="602" t="s"/>
      <c r="N10" s="188" t="s">
        <v>1267</v>
      </c>
    </row>
    <row r="11" spans="1:14" ht="12" customHeight="true">
      <c r="A11" s="598" t="s"/>
      <c r="B11" s="612" t="s">
        <v>455</v>
      </c>
      <c r="C11" s="612" t="s"/>
      <c r="D11" s="612" t="s"/>
      <c r="E11" s="603">
        <f>=评估表1固定资产投资估算表!G39</f>
        <v>0</v>
      </c>
      <c r="F11" s="603">
        <f>=E11-SUM(G11)</f>
        <v>0</v>
      </c>
      <c r="G11" s="603">
        <f>=$E11*G$6</f>
        <v>0</v>
      </c>
      <c r="H11" s="602" t="s"/>
      <c r="I11" s="602" t="s"/>
      <c r="J11" s="602" t="s"/>
      <c r="K11" s="602" t="s"/>
      <c r="L11" s="602" t="s"/>
      <c r="M11" s="602" t="s"/>
      <c r="N11" s="188" t="s">
        <v>1268</v>
      </c>
    </row>
    <row r="12" spans="1:14" ht="12" customHeight="true">
      <c r="A12" s="598" t="s"/>
      <c r="B12" s="612" t="s">
        <v>456</v>
      </c>
      <c r="C12" s="612" t="s"/>
      <c r="D12" s="612" t="s"/>
      <c r="E12" s="603">
        <f>=评估表1固定资产投资估算表!G40</f>
        <v>0</v>
      </c>
      <c r="F12" s="603">
        <f>=E12-SUM(G12)</f>
        <v>0</v>
      </c>
      <c r="G12" s="603">
        <f>=$E12*G$6</f>
        <v>0</v>
      </c>
      <c r="H12" s="602" t="s"/>
      <c r="I12" s="602" t="s"/>
      <c r="J12" s="602" t="s"/>
      <c r="K12" s="602" t="s"/>
      <c r="L12" s="608" t="s"/>
      <c r="M12" s="608" t="s"/>
      <c r="N12" s="188" t="s">
        <v>1269</v>
      </c>
    </row>
    <row r="13" spans="1:14" ht="12" customHeight="true">
      <c r="A13" s="598" t="s"/>
      <c r="B13" s="612" t="s">
        <v>457</v>
      </c>
      <c r="C13" s="612" t="s"/>
      <c r="D13" s="612" t="s"/>
      <c r="E13" s="603">
        <f>=评估表1固定资产投资估算表!G41</f>
        <v>0</v>
      </c>
      <c r="F13" s="603">
        <f>=E13-SUM(G13)</f>
        <v>0</v>
      </c>
      <c r="G13" s="603">
        <f>=$E13*G$6</f>
        <v>0</v>
      </c>
      <c r="H13" s="602" t="s"/>
      <c r="I13" s="602" t="s"/>
      <c r="J13" s="602" t="s"/>
      <c r="K13" s="602" t="s"/>
      <c r="L13" s="602" t="s"/>
      <c r="M13" s="602" t="s"/>
      <c r="N13" s="188" t="s">
        <v>1270</v>
      </c>
    </row>
    <row r="14" spans="1:14" ht="12" customHeight="true">
      <c r="A14" s="598" t="s"/>
      <c r="B14" s="604" t="s">
        <v>458</v>
      </c>
      <c r="C14" s="604" t="s"/>
      <c r="D14" s="604" t="s"/>
      <c r="E14" s="603">
        <f>=SUM(F14:G14)</f>
        <v>0</v>
      </c>
      <c r="F14" s="602" t="s"/>
      <c r="G14" s="603">
        <f>=评估表1固定资产投资估算表!$G$6*G6*((辅助表1评估项目基础数据表!$C$11+1)-1)</f>
        <v>0</v>
      </c>
      <c r="H14" s="602" t="s"/>
      <c r="I14" s="602" t="s"/>
      <c r="J14" s="602" t="s"/>
      <c r="K14" s="602" t="s"/>
      <c r="L14" s="602" t="s"/>
      <c r="M14" s="602" t="s"/>
      <c r="N14" s="188" t="s">
        <v>1271</v>
      </c>
    </row>
    <row r="15" spans="1:13" ht="12" customHeight="true">
      <c r="A15" s="598">
        <v>2</v>
      </c>
      <c r="B15" s="604" t="s">
        <v>1272</v>
      </c>
      <c r="C15" s="604" t="s"/>
      <c r="D15" s="604" t="s"/>
      <c r="E15" s="603">
        <f>=SUM(F15:M15)</f>
        <v>0</v>
      </c>
      <c r="F15" s="602" t="s"/>
      <c r="G15" s="613" t="s"/>
      <c r="H15" s="613" t="s"/>
      <c r="I15" s="614" t="s"/>
      <c r="J15" s="614" t="s"/>
      <c r="K15" s="614" t="s"/>
      <c r="L15" s="614" t="s"/>
      <c r="M15" s="614" t="s"/>
    </row>
    <row r="16" spans="1:14" ht="12" customHeight="true">
      <c r="A16" s="598" t="s"/>
      <c r="B16" s="615" t="s">
        <v>1273</v>
      </c>
      <c r="C16" s="615" t="s"/>
      <c r="D16" s="615" t="s"/>
      <c r="E16" s="603">
        <f>=SUM(F16:G16)</f>
        <v>0</v>
      </c>
      <c r="F16" s="603">
        <f ca="true">=OFFSET(F16,-1,1,1,1)*30%</f>
        <v>0</v>
      </c>
      <c r="G16" s="603">
        <f ca="true">=OFFSET(G16,-1,1,1,1)*30%</f>
        <v>0</v>
      </c>
      <c r="H16" s="602" t="s"/>
      <c r="I16" s="602" t="s"/>
      <c r="J16" s="602" t="s"/>
      <c r="K16" s="602" t="s"/>
      <c r="L16" s="602" t="s"/>
      <c r="M16" s="602" t="s"/>
      <c r="N16" s="188" t="s">
        <v>1274</v>
      </c>
    </row>
    <row r="17" spans="1:14" ht="12" customHeight="true">
      <c r="A17" s="598" t="s">
        <v>460</v>
      </c>
      <c r="B17" s="599" t="s">
        <v>1275</v>
      </c>
      <c r="C17" s="599" t="s"/>
      <c r="D17" s="599" t="s"/>
      <c r="E17" s="603">
        <f>=SUM(F17:M17)</f>
        <v>8767.59401589645</v>
      </c>
      <c r="F17" s="603">
        <f>=F18+F25+F41+F45</f>
        <v>0</v>
      </c>
      <c r="G17" s="603">
        <f>=G18+G25+G41+G45</f>
        <v>8767.59401589645</v>
      </c>
      <c r="H17" s="603">
        <f>=H18+H25+H41+H45</f>
        <v>0</v>
      </c>
      <c r="I17" s="603">
        <f>=I18+I25+I41+I45</f>
        <v>0</v>
      </c>
      <c r="J17" s="603">
        <f>=J18+J25+J41+J45</f>
        <v>0</v>
      </c>
      <c r="K17" s="603">
        <f>=K18+K25+K41+K45</f>
        <v>0</v>
      </c>
      <c r="L17" s="603">
        <f>=L18+L25+L41+L45</f>
        <v>0</v>
      </c>
      <c r="M17" s="603">
        <f>=M18+M25+M41+M45</f>
        <v>0</v>
      </c>
      <c r="N17" s="186" t="s">
        <v>1276</v>
      </c>
    </row>
    <row r="18" spans="1:14" ht="12" customHeight="true">
      <c r="A18" s="598">
        <v>1</v>
      </c>
      <c r="B18" s="604" t="s">
        <v>1277</v>
      </c>
      <c r="C18" s="604" t="s"/>
      <c r="D18" s="604" t="s"/>
      <c r="E18" s="603">
        <f>=SUM(F18:M18)</f>
        <v>1767.59401589645</v>
      </c>
      <c r="F18" s="603">
        <f>=F19+F23+F24</f>
        <v>0</v>
      </c>
      <c r="G18" s="603">
        <f>=G19+G23+G24</f>
        <v>1767.59401589645</v>
      </c>
      <c r="H18" s="603">
        <f>=H19+H23+H24</f>
        <v>0</v>
      </c>
      <c r="I18" s="603">
        <f>=I19+I23+I24</f>
        <v>0</v>
      </c>
      <c r="J18" s="603">
        <f>=J19+J23+J24</f>
        <v>0</v>
      </c>
      <c r="K18" s="603">
        <f>=K19+K23+K24</f>
        <v>0</v>
      </c>
      <c r="L18" s="603">
        <f>=L19+L23+L24</f>
        <v>0</v>
      </c>
      <c r="M18" s="603">
        <f>=M19+M23+M24</f>
        <v>0</v>
      </c>
      <c r="N18" s="188" t="s">
        <v>1278</v>
      </c>
    </row>
    <row r="19" spans="1:14" ht="12" customHeight="true">
      <c r="A19" s="598">
        <v>1.1</v>
      </c>
      <c r="B19" s="604" t="s">
        <v>1279</v>
      </c>
      <c r="C19" s="604" t="s"/>
      <c r="D19" s="604" t="s"/>
      <c r="E19" s="603">
        <f>=SUM(F19:M19)</f>
        <v>1767.59401589645</v>
      </c>
      <c r="F19" s="603">
        <f>=SUM(F20:F23)</f>
        <v>0</v>
      </c>
      <c r="G19" s="603">
        <f>=SUM(G20:G22)</f>
        <v>1767.59401589645</v>
      </c>
      <c r="H19" s="603">
        <f>=SUM(H20:H22)</f>
        <v>0</v>
      </c>
      <c r="I19" s="603">
        <f>=SUM(I20:I22)</f>
        <v>0</v>
      </c>
      <c r="J19" s="603">
        <f>=SUM(J20:J22)</f>
        <v>0</v>
      </c>
      <c r="K19" s="603">
        <f>=SUM(K20:K22)</f>
        <v>0</v>
      </c>
      <c r="L19" s="603">
        <f>=SUM(L20:L22)</f>
        <v>0</v>
      </c>
      <c r="M19" s="603">
        <f>=SUM(M20:M22)</f>
        <v>0</v>
      </c>
      <c r="N19" s="188" t="s">
        <v>1280</v>
      </c>
    </row>
    <row r="20" spans="1:14" ht="12" customHeight="true">
      <c r="A20" s="598" t="s">
        <v>653</v>
      </c>
      <c r="B20" s="604" t="s">
        <v>1281</v>
      </c>
      <c r="C20" s="604" t="s"/>
      <c r="D20" s="604" t="s"/>
      <c r="E20" s="603">
        <f>=SUM(F20:M20)</f>
        <v>1767.59401589645</v>
      </c>
      <c r="F20" s="616">
        <f>=F5-F25</f>
        <v>0</v>
      </c>
      <c r="G20" s="616">
        <f>=G5-G25</f>
        <v>1767.59401589645</v>
      </c>
      <c r="H20" s="613" t="s"/>
      <c r="I20" s="613" t="s"/>
      <c r="J20" s="613" t="s"/>
      <c r="K20" s="613" t="s"/>
      <c r="L20" s="613" t="s"/>
      <c r="M20" s="613" t="s"/>
      <c r="N20" s="188" t="s">
        <v>1282</v>
      </c>
    </row>
    <row r="21" spans="1:13" ht="12" customHeight="true">
      <c r="A21" s="598" t="s">
        <v>655</v>
      </c>
      <c r="B21" s="604" t="s">
        <v>1283</v>
      </c>
      <c r="C21" s="604" t="s"/>
      <c r="D21" s="604" t="s"/>
      <c r="E21" s="603">
        <f>=SUM(F21:M21)</f>
        <v>0</v>
      </c>
      <c r="F21" s="613" t="s"/>
      <c r="G21" s="613" t="s"/>
      <c r="H21" s="613" t="s"/>
      <c r="I21" s="613" t="s"/>
      <c r="J21" s="613" t="s"/>
      <c r="K21" s="613" t="s"/>
      <c r="L21" s="613" t="s"/>
      <c r="M21" s="613" t="s"/>
    </row>
    <row r="22" spans="1:13" ht="12" customHeight="true">
      <c r="A22" s="598" t="s">
        <v>818</v>
      </c>
      <c r="B22" s="604" t="s">
        <v>1284</v>
      </c>
      <c r="C22" s="604" t="s"/>
      <c r="D22" s="604" t="s"/>
      <c r="E22" s="603">
        <f>=SUM(F22:M22)</f>
        <v>0</v>
      </c>
      <c r="F22" s="198" t="s"/>
      <c r="G22" s="613" t="s"/>
      <c r="H22" s="613" t="s"/>
      <c r="I22" s="613" t="s"/>
      <c r="J22" s="613" t="s"/>
      <c r="K22" s="613" t="s"/>
      <c r="L22" s="613" t="s"/>
      <c r="M22" s="613" t="s"/>
    </row>
    <row r="23" spans="1:13" ht="12" customHeight="true">
      <c r="A23" s="598">
        <v>1.2</v>
      </c>
      <c r="B23" s="604" t="s">
        <v>1285</v>
      </c>
      <c r="C23" s="604" t="s"/>
      <c r="D23" s="604" t="s"/>
      <c r="E23" s="603">
        <f>=SUM(F23:M23)</f>
        <v>0</v>
      </c>
      <c r="F23" s="613" t="s"/>
      <c r="G23" s="613" t="s"/>
      <c r="H23" s="613" t="s"/>
      <c r="I23" s="613" t="s"/>
      <c r="J23" s="613" t="s"/>
      <c r="K23" s="613" t="s"/>
      <c r="L23" s="613" t="s"/>
      <c r="M23" s="613" t="s"/>
    </row>
    <row r="24" spans="1:13" ht="12" customHeight="true">
      <c r="A24" s="598">
        <v>1.3</v>
      </c>
      <c r="B24" s="604" t="s">
        <v>1286</v>
      </c>
      <c r="C24" s="604" t="s"/>
      <c r="D24" s="604" t="s"/>
      <c r="E24" s="603">
        <f>=SUM(F24:M24)</f>
        <v>0</v>
      </c>
      <c r="F24" s="613" t="s"/>
      <c r="G24" s="613" t="s"/>
      <c r="H24" s="613" t="s"/>
      <c r="I24" s="613" t="s"/>
      <c r="J24" s="613" t="s"/>
      <c r="K24" s="613" t="s"/>
      <c r="L24" s="613" t="s"/>
      <c r="M24" s="613" t="s"/>
    </row>
    <row r="25" spans="1:14" ht="12" customHeight="true">
      <c r="A25" s="598">
        <v>2</v>
      </c>
      <c r="B25" s="604" t="s">
        <v>1287</v>
      </c>
      <c r="C25" s="604" t="s"/>
      <c r="D25" s="604" t="s"/>
      <c r="E25" s="603">
        <f>=SUM(F25:M25)</f>
        <v>7000</v>
      </c>
      <c r="F25" s="603">
        <f>=F26+F38+F39+F40</f>
        <v>0</v>
      </c>
      <c r="G25" s="603">
        <f>=G26+G38+G39+G40</f>
        <v>7000</v>
      </c>
      <c r="H25" s="603">
        <f>=H26+H38+H39+H40</f>
        <v>0</v>
      </c>
      <c r="I25" s="603">
        <f>=I26+I38+I39+I40</f>
        <v>0</v>
      </c>
      <c r="J25" s="603">
        <f>=J26+J38+J39+J40</f>
        <v>0</v>
      </c>
      <c r="K25" s="603">
        <f>=K26+K38+K39+K40</f>
        <v>0</v>
      </c>
      <c r="L25" s="603">
        <f>=L26+L38+L39+L40</f>
        <v>0</v>
      </c>
      <c r="M25" s="603">
        <f>=M26+M38+M39+M40</f>
        <v>0</v>
      </c>
      <c r="N25" s="188" t="s">
        <v>1288</v>
      </c>
    </row>
    <row r="26" spans="1:13" ht="12" customHeight="true">
      <c r="A26" s="598">
        <v>2.1</v>
      </c>
      <c r="B26" s="617" t="s">
        <v>1289</v>
      </c>
      <c r="C26" s="618" t="s">
        <v>1290</v>
      </c>
      <c r="D26" s="619" t="s">
        <v>1291</v>
      </c>
      <c r="E26" s="603">
        <f>=SUM(F26:M26)</f>
        <v>7000</v>
      </c>
      <c r="F26" s="603">
        <f>=F27+F33</f>
        <v>0</v>
      </c>
      <c r="G26" s="603">
        <f>=G27+G33</f>
        <v>7000</v>
      </c>
      <c r="H26" s="603">
        <f>=H27+H33</f>
        <v>0</v>
      </c>
      <c r="I26" s="603">
        <f>=I27+I33</f>
        <v>0</v>
      </c>
      <c r="J26" s="603">
        <f>=J27+J33</f>
        <v>0</v>
      </c>
      <c r="K26" s="603">
        <f>=K27+K33</f>
        <v>0</v>
      </c>
      <c r="L26" s="603">
        <f>=L27+L33</f>
        <v>0</v>
      </c>
      <c r="M26" s="603">
        <f>=M27+M33</f>
        <v>0</v>
      </c>
    </row>
    <row r="27" spans="1:13" ht="12" customHeight="true">
      <c r="A27" s="598" t="s">
        <v>1292</v>
      </c>
      <c r="B27" s="617" t="s">
        <v>994</v>
      </c>
      <c r="C27" s="620" t="s"/>
      <c r="D27" s="620" t="s"/>
      <c r="E27" s="603">
        <f>=SUM(F27:M27)</f>
        <v>7000</v>
      </c>
      <c r="F27" s="603">
        <f>=SUM(F28:F32)</f>
        <v>0</v>
      </c>
      <c r="G27" s="603">
        <f>=SUM(G28:G32)</f>
        <v>7000</v>
      </c>
      <c r="H27" s="603">
        <f>=SUM(H28:H32)</f>
        <v>0</v>
      </c>
      <c r="I27" s="603">
        <f>=SUM(I28:I32)</f>
        <v>0</v>
      </c>
      <c r="J27" s="603">
        <f>=SUM(J28:J32)</f>
        <v>0</v>
      </c>
      <c r="K27" s="603">
        <f>=SUM(K28:K32)</f>
        <v>0</v>
      </c>
      <c r="L27" s="603">
        <f>=SUM(L28:L32)</f>
        <v>0</v>
      </c>
      <c r="M27" s="603">
        <f>=SUM(M28:M32)</f>
        <v>0</v>
      </c>
    </row>
    <row r="28" spans="1:14" ht="12" customHeight="true">
      <c r="A28" s="598" t="s">
        <v>1293</v>
      </c>
      <c r="B28" s="617" t="s">
        <v>1294</v>
      </c>
      <c r="C28" s="620" t="s"/>
      <c r="D28" s="621">
        <f>=4.5%*辅助表7单因素敏感性分析表!N13</f>
        <v>0.045</v>
      </c>
      <c r="E28" s="603">
        <f>=SUM(F28:M28)</f>
        <v>7000</v>
      </c>
      <c r="F28" s="622">
        <f>=10000*F6*辅助表7单因素敏感性分析表!N9</f>
        <v>0</v>
      </c>
      <c r="G28" s="622">
        <v>7000</v>
      </c>
      <c r="H28" s="613" t="s"/>
      <c r="I28" s="613" t="s"/>
      <c r="J28" s="613" t="s"/>
      <c r="K28" s="613" t="s"/>
      <c r="L28" s="613" t="s"/>
      <c r="M28" s="623" t="s"/>
      <c r="N28" s="188" t="s">
        <v>1295</v>
      </c>
    </row>
    <row r="29" spans="1:14" ht="12" customHeight="true">
      <c r="A29" s="598" t="s">
        <v>1296</v>
      </c>
      <c r="B29" s="624" t="s">
        <v>1003</v>
      </c>
      <c r="C29" s="620" t="s"/>
      <c r="D29" s="625" t="s"/>
      <c r="E29" s="603">
        <f>=SUM(F29:M29)</f>
        <v>0</v>
      </c>
      <c r="F29" s="613" t="s"/>
      <c r="G29" s="613" t="s"/>
      <c r="H29" s="613" t="s"/>
      <c r="I29" s="613" t="s"/>
      <c r="J29" s="613" t="s"/>
      <c r="K29" s="613" t="s"/>
      <c r="L29" s="613" t="s"/>
      <c r="M29" s="623" t="s"/>
      <c r="N29" s="188" t="s">
        <v>1297</v>
      </c>
    </row>
    <row r="30" spans="1:13" ht="12" customHeight="true">
      <c r="A30" s="598" t="s">
        <v>1298</v>
      </c>
      <c r="B30" s="624" t="s">
        <v>1004</v>
      </c>
      <c r="C30" s="620" t="s"/>
      <c r="D30" s="625" t="s"/>
      <c r="E30" s="603">
        <f>=SUM(F30:M30)</f>
        <v>0</v>
      </c>
      <c r="F30" s="613" t="s"/>
      <c r="G30" s="613" t="s"/>
      <c r="H30" s="613" t="s"/>
      <c r="I30" s="613" t="s"/>
      <c r="J30" s="613" t="s"/>
      <c r="K30" s="613" t="s"/>
      <c r="L30" s="613" t="s"/>
      <c r="M30" s="623" t="s"/>
    </row>
    <row r="31" spans="1:13" ht="12" customHeight="true">
      <c r="A31" s="598" t="s">
        <v>1299</v>
      </c>
      <c r="B31" s="624" t="s">
        <v>1005</v>
      </c>
      <c r="C31" s="620" t="s"/>
      <c r="D31" s="625" t="s"/>
      <c r="E31" s="603">
        <f>=SUM(F31:M31)</f>
        <v>0</v>
      </c>
      <c r="F31" s="613" t="s"/>
      <c r="G31" s="613" t="s"/>
      <c r="H31" s="613" t="s"/>
      <c r="I31" s="613" t="s"/>
      <c r="J31" s="613" t="s"/>
      <c r="K31" s="613" t="s"/>
      <c r="L31" s="613" t="s"/>
      <c r="M31" s="623" t="s"/>
    </row>
    <row r="32" spans="1:13" ht="12" customHeight="true">
      <c r="A32" s="598" t="s">
        <v>1300</v>
      </c>
      <c r="B32" s="624" t="s">
        <v>1006</v>
      </c>
      <c r="C32" s="620" t="s"/>
      <c r="D32" s="625" t="s"/>
      <c r="E32" s="603">
        <f>=SUM(F32:M32)</f>
        <v>0</v>
      </c>
      <c r="F32" s="613" t="s"/>
      <c r="G32" s="613" t="s"/>
      <c r="H32" s="613" t="s"/>
      <c r="I32" s="613" t="s"/>
      <c r="J32" s="613" t="s"/>
      <c r="K32" s="613" t="s"/>
      <c r="L32" s="613" t="s"/>
      <c r="M32" s="623" t="s"/>
    </row>
    <row r="33" spans="1:13" ht="12" customHeight="true">
      <c r="A33" s="598" t="s">
        <v>1301</v>
      </c>
      <c r="B33" s="617" t="s">
        <v>1008</v>
      </c>
      <c r="C33" s="620" t="s"/>
      <c r="D33" s="626" t="s"/>
      <c r="E33" s="603">
        <f>=SUM(F33:M33)</f>
        <v>0</v>
      </c>
      <c r="F33" s="603">
        <f>=SUM(F34:F37)</f>
        <v>0</v>
      </c>
      <c r="G33" s="603">
        <f>=SUM(G34:G37)</f>
        <v>0</v>
      </c>
      <c r="H33" s="603">
        <f>=SUM(H34:H37)</f>
        <v>0</v>
      </c>
      <c r="I33" s="603">
        <f>=SUM(I34:I37)</f>
        <v>0</v>
      </c>
      <c r="J33" s="603">
        <f>=SUM(J34:J37)</f>
        <v>0</v>
      </c>
      <c r="K33" s="603">
        <f>=SUM(K34:K37)</f>
        <v>0</v>
      </c>
      <c r="L33" s="603">
        <f>=SUM(L34:L37)</f>
        <v>0</v>
      </c>
      <c r="M33" s="603">
        <f>=SUM(M34:M37)</f>
        <v>0</v>
      </c>
    </row>
    <row r="34" spans="1:13" ht="12" customHeight="true">
      <c r="A34" s="598" t="s">
        <v>1302</v>
      </c>
      <c r="B34" s="624" t="s">
        <v>1009</v>
      </c>
      <c r="C34" s="620" t="s"/>
      <c r="D34" s="625" t="s"/>
      <c r="E34" s="603">
        <f>=SUM(F34:M34)</f>
        <v>0</v>
      </c>
      <c r="F34" s="613" t="s"/>
      <c r="G34" s="613" t="s"/>
      <c r="H34" s="613" t="s"/>
      <c r="I34" s="613" t="s"/>
      <c r="J34" s="613" t="s"/>
      <c r="K34" s="613" t="s"/>
      <c r="L34" s="613" t="s"/>
      <c r="M34" s="623" t="s"/>
    </row>
    <row r="35" spans="1:13" ht="12" customHeight="true">
      <c r="A35" s="598" t="s">
        <v>1303</v>
      </c>
      <c r="B35" s="624" t="s">
        <v>1010</v>
      </c>
      <c r="C35" s="620" t="s"/>
      <c r="D35" s="625" t="s"/>
      <c r="E35" s="603">
        <f>=SUM(F35:M35)</f>
        <v>0</v>
      </c>
      <c r="F35" s="613" t="s"/>
      <c r="G35" s="613" t="s"/>
      <c r="H35" s="613" t="s"/>
      <c r="I35" s="613" t="s"/>
      <c r="J35" s="613" t="s"/>
      <c r="K35" s="613" t="s"/>
      <c r="L35" s="613" t="s"/>
      <c r="M35" s="623" t="s"/>
    </row>
    <row r="36" spans="1:13" ht="12" customHeight="true">
      <c r="A36" s="598" t="s">
        <v>1304</v>
      </c>
      <c r="B36" s="624" t="s">
        <v>1011</v>
      </c>
      <c r="C36" s="620" t="s"/>
      <c r="D36" s="625" t="s"/>
      <c r="E36" s="603">
        <f>=SUM(F36:M36)</f>
        <v>0</v>
      </c>
      <c r="F36" s="613" t="s"/>
      <c r="G36" s="613" t="s"/>
      <c r="H36" s="613" t="s"/>
      <c r="I36" s="613" t="s"/>
      <c r="J36" s="613" t="s"/>
      <c r="K36" s="613" t="s"/>
      <c r="L36" s="613" t="s"/>
      <c r="M36" s="623" t="s"/>
    </row>
    <row r="37" spans="1:13" ht="12" customHeight="true">
      <c r="A37" s="598" t="s">
        <v>1305</v>
      </c>
      <c r="B37" s="624" t="s">
        <v>1012</v>
      </c>
      <c r="C37" s="620" t="s"/>
      <c r="D37" s="625" t="s"/>
      <c r="E37" s="603">
        <f>=SUM(F37:M37)</f>
        <v>0</v>
      </c>
      <c r="F37" s="613" t="s"/>
      <c r="G37" s="613" t="s"/>
      <c r="H37" s="613" t="s"/>
      <c r="I37" s="613" t="s"/>
      <c r="J37" s="613" t="s"/>
      <c r="K37" s="613" t="s"/>
      <c r="L37" s="613" t="s"/>
      <c r="M37" s="623" t="s"/>
    </row>
    <row r="38" spans="1:13" ht="12" customHeight="true">
      <c r="A38" s="598">
        <v>2.2</v>
      </c>
      <c r="B38" s="617" t="s">
        <v>1065</v>
      </c>
      <c r="C38" s="627" t="s"/>
      <c r="D38" s="625" t="s"/>
      <c r="E38" s="603">
        <f>=SUM(F38:M38)</f>
        <v>0</v>
      </c>
      <c r="F38" s="613" t="s"/>
      <c r="G38" s="613" t="s"/>
      <c r="H38" s="613" t="s"/>
      <c r="I38" s="613" t="s"/>
      <c r="J38" s="613" t="s"/>
      <c r="K38" s="613" t="s"/>
      <c r="L38" s="613" t="s"/>
      <c r="M38" s="623" t="s"/>
    </row>
    <row r="39" spans="1:13" ht="12" customHeight="true">
      <c r="A39" s="598">
        <v>2.3</v>
      </c>
      <c r="B39" s="617" t="s">
        <v>1016</v>
      </c>
      <c r="C39" s="627">
        <v>0</v>
      </c>
      <c r="D39" s="628" t="s"/>
      <c r="E39" s="603">
        <f>=SUM(F39:M39)</f>
        <v>0</v>
      </c>
      <c r="F39" s="613" t="s"/>
      <c r="G39" s="613" t="s"/>
      <c r="H39" s="613" t="s"/>
      <c r="I39" s="613" t="s"/>
      <c r="J39" s="613" t="s"/>
      <c r="K39" s="613" t="s"/>
      <c r="L39" s="613" t="s"/>
      <c r="M39" s="623" t="s"/>
    </row>
    <row r="40" spans="1:13" ht="12" customHeight="true">
      <c r="A40" s="598">
        <v>2.4</v>
      </c>
      <c r="B40" s="617" t="s">
        <v>1018</v>
      </c>
      <c r="C40" s="620" t="s"/>
      <c r="D40" s="628" t="s"/>
      <c r="E40" s="603">
        <f>=SUM(F40:M40)</f>
        <v>0</v>
      </c>
      <c r="F40" s="613" t="s"/>
      <c r="G40" s="613" t="s"/>
      <c r="H40" s="613" t="s"/>
      <c r="I40" s="613" t="s"/>
      <c r="J40" s="613" t="s"/>
      <c r="K40" s="613" t="s"/>
      <c r="L40" s="613" t="s"/>
      <c r="M40" s="623" t="s"/>
    </row>
    <row r="41" spans="1:13" ht="12" customHeight="true">
      <c r="A41" s="598">
        <v>3</v>
      </c>
      <c r="B41" s="617" t="s">
        <v>1306</v>
      </c>
      <c r="C41" s="617" t="s"/>
      <c r="D41" s="629" t="s"/>
      <c r="E41" s="603">
        <f>=SUM(F41:M41)</f>
        <v>0</v>
      </c>
      <c r="F41" s="603">
        <f>=SUM(F42:F44)</f>
        <v>0</v>
      </c>
      <c r="G41" s="603">
        <f>=SUM(G42:G44)</f>
        <v>0</v>
      </c>
      <c r="H41" s="603">
        <f>=SUM(H42:H44)</f>
        <v>0</v>
      </c>
      <c r="I41" s="603">
        <f>=SUM(I42:I44)</f>
        <v>0</v>
      </c>
      <c r="J41" s="603">
        <f>=SUM(J42:J44)</f>
        <v>0</v>
      </c>
      <c r="K41" s="603">
        <f>=SUM(K42:K44)</f>
        <v>0</v>
      </c>
      <c r="L41" s="603">
        <f>=SUM(L42:L44)</f>
        <v>0</v>
      </c>
      <c r="M41" s="603">
        <f>=SUM(M42:M44)</f>
        <v>0</v>
      </c>
    </row>
    <row r="42" spans="1:13" ht="12" customHeight="true">
      <c r="A42" s="598">
        <v>3.1</v>
      </c>
      <c r="B42" s="617" t="s">
        <v>1307</v>
      </c>
      <c r="C42" s="617" t="s"/>
      <c r="D42" s="625">
        <f>=4.6%*辅助表7单因素敏感性分析表!N27</f>
        <v>0</v>
      </c>
      <c r="E42" s="603">
        <f>=SUM(F42:M42)</f>
        <v>0</v>
      </c>
      <c r="F42" s="613" t="s"/>
      <c r="G42" s="613" t="s"/>
      <c r="H42" s="613" t="s"/>
      <c r="I42" s="613" t="s"/>
      <c r="J42" s="613" t="s"/>
      <c r="K42" s="613" t="s"/>
      <c r="L42" s="613" t="s"/>
      <c r="M42" s="613" t="s"/>
    </row>
    <row r="43" spans="1:13" ht="12" customHeight="true">
      <c r="A43" s="598">
        <v>3.2</v>
      </c>
      <c r="B43" s="617" t="s">
        <v>1308</v>
      </c>
      <c r="C43" s="617" t="s"/>
      <c r="D43" s="625">
        <f>=4.6%*辅助表7单因素敏感性分析表!N28</f>
        <v>0</v>
      </c>
      <c r="E43" s="603">
        <f>=SUM(F43:M43)</f>
        <v>0</v>
      </c>
      <c r="F43" s="613" t="s"/>
      <c r="G43" s="613" t="s"/>
      <c r="H43" s="613" t="s"/>
      <c r="I43" s="613" t="s"/>
      <c r="J43" s="613" t="s"/>
      <c r="K43" s="613" t="s"/>
      <c r="L43" s="613" t="s"/>
      <c r="M43" s="613" t="s"/>
    </row>
    <row r="44" spans="1:13" ht="12" customHeight="true">
      <c r="A44" s="598">
        <f>=3.3</f>
        <v>3.3</v>
      </c>
      <c r="B44" s="604" t="s">
        <v>1309</v>
      </c>
      <c r="C44" s="604" t="s"/>
      <c r="D44" s="618" t="s"/>
      <c r="E44" s="603">
        <f>=SUM(F44:M44)</f>
        <v>0</v>
      </c>
      <c r="F44" s="613" t="s"/>
      <c r="G44" s="613" t="s"/>
      <c r="H44" s="613" t="s"/>
      <c r="I44" s="613" t="s"/>
      <c r="J44" s="613" t="s"/>
      <c r="K44" s="613" t="s"/>
      <c r="L44" s="613" t="s"/>
      <c r="M44" s="613" t="s"/>
    </row>
    <row r="45" spans="1:14" ht="12" customHeight="true">
      <c r="A45" s="598">
        <v>4</v>
      </c>
      <c r="B45" s="604" t="s">
        <v>1310</v>
      </c>
      <c r="C45" s="604" t="s"/>
      <c r="D45" s="604" t="s"/>
      <c r="E45" s="603">
        <f>=SUM(F45:G45)</f>
        <v>0</v>
      </c>
      <c r="F45" s="602" t="s"/>
      <c r="G45" s="600">
        <f>=IF(AND(评估表6项目贷款偿还期计算表!E$125&gt;0,评估表6项目贷款偿还期计算表!$D$125="用于建设"),MIN(G5,评估表6项目贷款偿还期计算表!E$125),0)</f>
        <v>0</v>
      </c>
      <c r="H45" s="602" t="s"/>
      <c r="I45" s="602" t="s"/>
      <c r="J45" s="602" t="s"/>
      <c r="K45" s="602" t="s"/>
      <c r="L45" s="602" t="s"/>
      <c r="M45" s="602" t="s"/>
      <c r="N45" s="188" t="s">
        <v>1311</v>
      </c>
    </row>
    <row r="46" spans="1:14" ht="12" customHeight="true">
      <c r="A46" s="598">
        <v>5</v>
      </c>
      <c r="B46" s="599" t="s">
        <v>561</v>
      </c>
      <c r="C46" s="630" t="s">
        <f>=IF(MIN(E46:M46)&lt;辅助表1评估项目基础数据表!$C$19,"资本金比例低于我行要求","资本金比例满足我行要求")</f>
        <v>1312</v>
      </c>
      <c r="D46" s="631" t="s"/>
      <c r="E46" s="632">
        <f>=IF(E7+E16=0,0,E18/(E7+E16))</f>
        <v>0.201605367754442</v>
      </c>
      <c r="F46" s="632">
        <f>=IF(F50=0,0,F49/F50)</f>
        <v>0</v>
      </c>
      <c r="G46" s="632">
        <f>=IF(G50=0,0,G49/G50)</f>
        <v>0.201605367754442</v>
      </c>
      <c r="H46" s="632">
        <f>=IF(H50=0,0,H49/H50)</f>
        <v>0.201605367754442</v>
      </c>
      <c r="I46" s="632">
        <f>=IF(I50=0,0,I49/I50)</f>
        <v>0.201605367754442</v>
      </c>
      <c r="J46" s="632">
        <f>=IF(J50=0,0,J49/J50)</f>
        <v>0.201605367754442</v>
      </c>
      <c r="K46" s="632">
        <f>=IF(K50=0,0,K49/K50)</f>
        <v>0.201605367754442</v>
      </c>
      <c r="L46" s="632">
        <f>=IF(L50=0,0,L49/L50)</f>
        <v>0.201605367754442</v>
      </c>
      <c r="M46" s="632">
        <f>=IF(M50=0,0,M49/M50)</f>
        <v>0.201605367754442</v>
      </c>
      <c r="N46" s="188" t="s">
        <v>1313</v>
      </c>
    </row>
    <row r="47" spans="1:14" ht="12" customHeight="true">
      <c r="A47" s="633">
        <v>6</v>
      </c>
      <c r="B47" s="634" t="s">
        <v>1314</v>
      </c>
      <c r="C47" s="252" t="s">
        <v>1315</v>
      </c>
      <c r="D47" s="635">
        <f>=辅助表1评估项目基础数据表!F15</f>
        <v>0.05</v>
      </c>
      <c r="E47" s="636">
        <f>=IF(E17=0,0,(D47*E18+SUMPRODUCT(D28:D32,E28:E32)+SUMPRODUCT(D34:D38,E34:E38)+SUMPRODUCT(D42:D43,E42:E43))/E17)</f>
        <v>0.046008026838772</v>
      </c>
      <c r="F47" s="637" t="s"/>
      <c r="G47" s="637" t="s"/>
      <c r="H47" s="637" t="s"/>
      <c r="I47" s="637" t="s"/>
      <c r="J47" s="637" t="s"/>
      <c r="K47" s="637" t="s"/>
      <c r="L47" s="637" t="s"/>
      <c r="M47" s="637" t="s"/>
      <c r="N47" s="188" t="s">
        <v>1316</v>
      </c>
    </row>
    <row r="49" spans="5:14" ht="12" customHeight="true">
      <c r="E49" s="499" t="s"/>
      <c r="F49" s="638">
        <f>=F18</f>
        <v>0</v>
      </c>
      <c r="G49" s="638">
        <f>=SUM($F18:G18)</f>
        <v>1767.59401589645</v>
      </c>
      <c r="H49" s="638">
        <f>=SUM($F18:H18)</f>
        <v>1767.59401589645</v>
      </c>
      <c r="I49" s="638">
        <f>=SUM($F18:I18)</f>
        <v>1767.59401589645</v>
      </c>
      <c r="J49" s="638">
        <f>=SUM($F18:J18)</f>
        <v>1767.59401589645</v>
      </c>
      <c r="K49" s="638">
        <f>=SUM($F18:K18)</f>
        <v>1767.59401589645</v>
      </c>
      <c r="L49" s="638">
        <f>=SUM($F18:L18)</f>
        <v>1767.59401589645</v>
      </c>
      <c r="M49" s="638">
        <f>=SUM($F18:M18)</f>
        <v>1767.59401589645</v>
      </c>
      <c r="N49" s="188" t="s">
        <v>1317</v>
      </c>
    </row>
    <row r="50" spans="5:14" ht="12" customHeight="true">
      <c r="E50" s="499" t="s"/>
      <c r="F50" s="638">
        <f>=F7+F16</f>
        <v>0</v>
      </c>
      <c r="G50" s="638">
        <f>=SUM($F7:G7)+SUM($F16:G16)</f>
        <v>8767.59401589645</v>
      </c>
      <c r="H50" s="638">
        <f>=SUM($F7:H7)+SUM($F16:H16)</f>
        <v>8767.59401589645</v>
      </c>
      <c r="I50" s="638">
        <f>=SUM($F7:I7)+SUM($F16:I16)</f>
        <v>8767.59401589645</v>
      </c>
      <c r="J50" s="638">
        <f>=SUM($F7:J7)+SUM($F16:J16)</f>
        <v>8767.59401589645</v>
      </c>
      <c r="K50" s="638">
        <f>=SUM($F7:K7)+SUM($F16:K16)</f>
        <v>8767.59401589645</v>
      </c>
      <c r="L50" s="638">
        <f>=SUM($F7:L7)+SUM($F16:L16)</f>
        <v>8767.59401589645</v>
      </c>
      <c r="M50" s="638">
        <f>=SUM($F7:M7)+SUM($F16:M16)</f>
        <v>8767.59401589645</v>
      </c>
      <c r="N50" s="188" t="s">
        <v>1318</v>
      </c>
    </row>
  </sheetData>
  <sheetProtection/>
  <mergeCells count="24">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45:D45"/>
    <mergeCell ref="C46:D46"/>
  </mergeCells>
  <pageMargins left="0.748031" right="0.748031" top="0.590551" bottom="0.590551" header="0" footer="0"/>
  <pageSetup paperSize="9" scale="90" orientation="landscape" blackAndWhite="true"/>
  <headerFooter alignWithMargins="false"/>
  <legacyDrawing r:id="rId0"/>
</worksheet>
</file>

<file path=xl/worksheets/sheet40.xml><?xml version="1.0" encoding="utf-8"?>
<worksheet xmlns:r="http://schemas.openxmlformats.org/officeDocument/2006/relationships" xmlns="http://schemas.openxmlformats.org/spreadsheetml/2006/main">
  <sheetPr>
    <tabColor indexed="13"/>
  </sheetPr>
  <dimension ref="G218"/>
  <sheetViews>
    <sheetView showGridLines="true" topLeftCell="A13" workbookViewId="0"/>
  </sheetViews>
  <sheetFormatPr defaultColWidth="8.66406" defaultRowHeight="15.75"/>
  <cols>
    <col min="1" max="1" width="13.875" bestFit="true"/>
    <col min="2" max="6" width="7.5" bestFit="true"/>
  </cols>
  <sheetData>
    <row r="1" spans="1:6" ht="15.6">
      <c r="A1" s="4" t="s">
        <v>2</v>
      </c>
      <c r="B1" s="4" t="s">
        <v>3</v>
      </c>
      <c r="C1" s="4" t="s">
        <v>251</v>
      </c>
      <c r="D1" s="4" t="s">
        <v>252</v>
      </c>
      <c r="E1" s="4" t="s">
        <v>253</v>
      </c>
      <c r="F1" s="4" t="s">
        <v>254</v>
      </c>
    </row>
    <row r="2" spans="1:6" ht="15.6">
      <c r="A2" s="165" t="s">
        <v>255</v>
      </c>
      <c r="B2" s="165" t="s">
        <v>9</v>
      </c>
      <c r="C2" s="165">
        <v>5</v>
      </c>
      <c r="D2" s="165" t="s">
        <v>110</v>
      </c>
      <c r="E2" s="165">
        <v>47</v>
      </c>
      <c r="F2" s="165" t="s">
        <v>110</v>
      </c>
    </row>
    <row r="3" spans="1:6" ht="15.6">
      <c r="A3" s="165" t="s">
        <v>255</v>
      </c>
      <c r="B3" s="165" t="s">
        <v>256</v>
      </c>
      <c r="C3" s="165">
        <v>22</v>
      </c>
      <c r="D3" s="165" t="s">
        <v>161</v>
      </c>
      <c r="E3" s="165">
        <v>30</v>
      </c>
      <c r="F3" s="165" t="s">
        <v>161</v>
      </c>
    </row>
    <row r="4" spans="1:6" ht="15.6">
      <c r="A4" s="165" t="s">
        <v>255</v>
      </c>
      <c r="B4" s="165" t="s">
        <v>257</v>
      </c>
      <c r="C4" s="165">
        <v>17</v>
      </c>
      <c r="D4" s="165" t="s">
        <v>163</v>
      </c>
      <c r="E4" s="165">
        <v>125</v>
      </c>
      <c r="F4" s="165" t="s">
        <v>163</v>
      </c>
    </row>
    <row r="5" spans="1:6" ht="15.6">
      <c r="A5" s="165" t="s">
        <v>255</v>
      </c>
      <c r="B5" s="165" t="s">
        <v>258</v>
      </c>
      <c r="C5" s="165">
        <v>29</v>
      </c>
      <c r="D5" s="165" t="s">
        <v>157</v>
      </c>
      <c r="E5" s="165">
        <v>29</v>
      </c>
      <c r="F5" s="165" t="s">
        <v>157</v>
      </c>
    </row>
    <row r="6" spans="1:6" ht="15.6">
      <c r="A6" s="165" t="s">
        <v>255</v>
      </c>
      <c r="B6" s="165" t="s">
        <v>259</v>
      </c>
      <c r="C6" s="165">
        <v>23</v>
      </c>
      <c r="D6" s="165" t="s">
        <v>260</v>
      </c>
      <c r="E6" s="165">
        <v>208</v>
      </c>
      <c r="F6" s="165" t="s">
        <v>260</v>
      </c>
    </row>
    <row r="7" spans="1:6" ht="15.6">
      <c r="A7" s="165" t="s">
        <v>255</v>
      </c>
      <c r="B7" s="165" t="s">
        <v>261</v>
      </c>
      <c r="C7" s="165">
        <v>17</v>
      </c>
      <c r="D7" s="165" t="s">
        <v>163</v>
      </c>
      <c r="E7" s="165">
        <v>18</v>
      </c>
      <c r="F7" s="165" t="s">
        <v>163</v>
      </c>
    </row>
    <row r="8" spans="1:6" ht="15.6">
      <c r="A8" s="165" t="s">
        <v>262</v>
      </c>
      <c r="B8" s="165" t="s">
        <v>263</v>
      </c>
      <c r="C8" s="165" t="s">
        <v>264</v>
      </c>
      <c r="D8" s="165" t="s">
        <v>55</v>
      </c>
      <c r="E8" s="165" t="s">
        <v>265</v>
      </c>
      <c r="F8" s="165" t="s">
        <v>126</v>
      </c>
    </row>
    <row r="9" spans="1:6" ht="15.6">
      <c r="A9" s="165" t="s">
        <v>262</v>
      </c>
      <c r="B9" s="165" t="s">
        <v>263</v>
      </c>
      <c r="C9" s="165" t="s">
        <v>266</v>
      </c>
      <c r="D9" s="165" t="s">
        <v>110</v>
      </c>
      <c r="E9" s="165" t="s">
        <v>266</v>
      </c>
      <c r="F9" s="165" t="s">
        <v>126</v>
      </c>
    </row>
    <row r="10" spans="1:6" ht="15.6">
      <c r="A10" s="165" t="s">
        <v>262</v>
      </c>
      <c r="B10" s="165" t="s">
        <v>263</v>
      </c>
      <c r="C10" s="165" t="s">
        <v>267</v>
      </c>
      <c r="D10" s="166" t="s">
        <v>66</v>
      </c>
      <c r="E10" s="165" t="s">
        <v>268</v>
      </c>
      <c r="F10" s="165" t="s">
        <v>110</v>
      </c>
    </row>
    <row r="11" spans="1:6" ht="15.6">
      <c r="A11" s="165" t="s">
        <v>262</v>
      </c>
      <c r="B11" s="165" t="s">
        <v>263</v>
      </c>
      <c r="C11" s="165" t="s">
        <v>269</v>
      </c>
      <c r="D11" s="165" t="s">
        <v>110</v>
      </c>
      <c r="E11" s="165" t="s">
        <v>269</v>
      </c>
      <c r="F11" s="165" t="s">
        <v>110</v>
      </c>
    </row>
    <row r="12" spans="1:6" ht="15.6">
      <c r="A12" s="165" t="s">
        <v>262</v>
      </c>
      <c r="B12" s="165" t="s">
        <v>263</v>
      </c>
      <c r="C12" s="165" t="s">
        <v>270</v>
      </c>
      <c r="D12" s="165" t="s">
        <v>110</v>
      </c>
      <c r="E12" s="165" t="s">
        <v>270</v>
      </c>
      <c r="F12" s="165" t="s">
        <v>110</v>
      </c>
    </row>
    <row r="13" spans="1:6" ht="15.6">
      <c r="A13" s="165" t="s">
        <v>262</v>
      </c>
      <c r="B13" s="165" t="s">
        <v>271</v>
      </c>
      <c r="C13" s="165">
        <v>20</v>
      </c>
      <c r="D13" s="165" t="s">
        <v>66</v>
      </c>
      <c r="E13" s="165" t="s">
        <v>272</v>
      </c>
      <c r="F13" s="165" t="s">
        <v>66</v>
      </c>
    </row>
    <row r="14" spans="1:6" ht="15.6">
      <c r="A14" s="165" t="s">
        <v>262</v>
      </c>
      <c r="B14" s="165" t="s">
        <v>271</v>
      </c>
      <c r="C14" s="165" t="s">
        <v>273</v>
      </c>
      <c r="D14" s="165" t="s">
        <v>66</v>
      </c>
      <c r="E14" s="165" t="s">
        <v>274</v>
      </c>
      <c r="F14" s="165" t="s">
        <v>66</v>
      </c>
    </row>
    <row r="15" spans="1:6" ht="15.6">
      <c r="A15" s="165" t="s">
        <v>262</v>
      </c>
      <c r="B15" s="165" t="s">
        <v>9</v>
      </c>
      <c r="C15" s="165">
        <v>27</v>
      </c>
      <c r="D15" s="165" t="s">
        <v>66</v>
      </c>
      <c r="E15" s="165">
        <v>43</v>
      </c>
      <c r="F15" s="165" t="s">
        <v>99</v>
      </c>
    </row>
    <row r="16" spans="1:6" ht="15.6">
      <c r="A16" s="165" t="s">
        <v>262</v>
      </c>
      <c r="B16" s="165" t="s">
        <v>9</v>
      </c>
      <c r="C16" s="165">
        <v>6</v>
      </c>
      <c r="D16" s="165" t="s">
        <v>121</v>
      </c>
      <c r="E16" s="165">
        <v>6</v>
      </c>
      <c r="F16" s="165" t="s">
        <v>163</v>
      </c>
    </row>
    <row r="17" spans="1:6" ht="15.6">
      <c r="A17" s="165" t="s">
        <v>262</v>
      </c>
      <c r="B17" s="165" t="s">
        <v>9</v>
      </c>
      <c r="C17" s="165">
        <v>15</v>
      </c>
      <c r="D17" s="165" t="s">
        <v>121</v>
      </c>
      <c r="E17" s="165">
        <v>15</v>
      </c>
      <c r="F17" s="165" t="s">
        <v>168</v>
      </c>
    </row>
    <row r="18" spans="1:6" ht="15.6">
      <c r="A18" s="165" t="s">
        <v>262</v>
      </c>
      <c r="B18" s="165" t="s">
        <v>9</v>
      </c>
      <c r="C18" s="165">
        <v>20</v>
      </c>
      <c r="D18" s="165" t="s">
        <v>110</v>
      </c>
      <c r="E18" s="165">
        <v>24</v>
      </c>
      <c r="F18" s="165" t="s">
        <v>260</v>
      </c>
    </row>
    <row r="19" spans="1:6" ht="15.6">
      <c r="A19" s="165" t="s">
        <v>262</v>
      </c>
      <c r="B19" s="165" t="s">
        <v>9</v>
      </c>
      <c r="C19" s="165">
        <v>28</v>
      </c>
      <c r="D19" s="165" t="s">
        <v>110</v>
      </c>
      <c r="E19" s="165">
        <v>32</v>
      </c>
      <c r="F19" s="165" t="s">
        <v>260</v>
      </c>
    </row>
    <row r="20" spans="1:6" ht="15.6">
      <c r="A20" s="165" t="s">
        <v>262</v>
      </c>
      <c r="B20" s="165" t="s">
        <v>9</v>
      </c>
      <c r="C20" s="165">
        <v>34</v>
      </c>
      <c r="D20" s="165" t="s">
        <v>110</v>
      </c>
      <c r="E20" s="165">
        <v>40</v>
      </c>
      <c r="F20" s="165" t="s">
        <v>260</v>
      </c>
    </row>
    <row r="21" spans="1:6" ht="15.6">
      <c r="A21" s="165" t="s">
        <v>262</v>
      </c>
      <c r="B21" s="165" t="s">
        <v>9</v>
      </c>
      <c r="C21" s="165">
        <v>42</v>
      </c>
      <c r="D21" s="165" t="s">
        <v>110</v>
      </c>
      <c r="E21" s="165">
        <v>44</v>
      </c>
      <c r="F21" s="165" t="s">
        <v>260</v>
      </c>
    </row>
    <row r="22" spans="1:6" ht="15.6">
      <c r="A22" s="165" t="s">
        <v>262</v>
      </c>
      <c r="B22" s="165" t="s">
        <v>9</v>
      </c>
      <c r="C22" s="165">
        <v>47</v>
      </c>
      <c r="D22" s="165" t="s">
        <v>99</v>
      </c>
      <c r="E22" s="165">
        <v>47</v>
      </c>
      <c r="F22" s="165" t="s">
        <v>99</v>
      </c>
    </row>
    <row r="23" spans="1:6" ht="15.6">
      <c r="A23" s="165" t="s">
        <v>262</v>
      </c>
      <c r="B23" s="165" t="s">
        <v>275</v>
      </c>
      <c r="C23" s="165">
        <v>5</v>
      </c>
      <c r="D23" s="165" t="s">
        <v>99</v>
      </c>
      <c r="E23" s="165">
        <v>10</v>
      </c>
      <c r="F23" s="165" t="s">
        <v>276</v>
      </c>
    </row>
    <row r="24" spans="1:6" ht="15.6">
      <c r="A24" s="165" t="s">
        <v>262</v>
      </c>
      <c r="B24" s="165" t="s">
        <v>275</v>
      </c>
      <c r="C24" s="165">
        <v>21</v>
      </c>
      <c r="D24" s="165" t="s">
        <v>99</v>
      </c>
      <c r="E24" s="165">
        <v>21</v>
      </c>
      <c r="F24" s="165" t="s">
        <v>276</v>
      </c>
    </row>
    <row r="25" spans="1:6" ht="15.6">
      <c r="A25" s="165" t="s">
        <v>262</v>
      </c>
      <c r="B25" s="165" t="s">
        <v>275</v>
      </c>
      <c r="C25" s="165">
        <v>23</v>
      </c>
      <c r="D25" s="165" t="s">
        <v>99</v>
      </c>
      <c r="E25" s="165">
        <v>23</v>
      </c>
      <c r="F25" s="165" t="s">
        <v>276</v>
      </c>
    </row>
    <row r="26" spans="1:6" ht="15.6">
      <c r="A26" s="165" t="s">
        <v>262</v>
      </c>
      <c r="B26" s="165" t="s">
        <v>275</v>
      </c>
      <c r="C26" s="165">
        <v>28</v>
      </c>
      <c r="D26" s="165" t="s">
        <v>99</v>
      </c>
      <c r="E26" s="165">
        <v>40</v>
      </c>
      <c r="F26" s="165" t="s">
        <v>276</v>
      </c>
    </row>
    <row r="27" spans="1:6" ht="15.6">
      <c r="A27" s="165" t="s">
        <v>262</v>
      </c>
      <c r="B27" s="165" t="s">
        <v>275</v>
      </c>
      <c r="C27" s="165">
        <v>34</v>
      </c>
      <c r="D27" s="165" t="s">
        <v>47</v>
      </c>
      <c r="E27" s="165">
        <v>40</v>
      </c>
      <c r="F27" s="165" t="s">
        <v>55</v>
      </c>
    </row>
    <row r="28" spans="1:6" ht="15.6">
      <c r="A28" s="165" t="s">
        <v>262</v>
      </c>
      <c r="B28" s="165" t="s">
        <v>275</v>
      </c>
      <c r="C28" s="165">
        <v>44</v>
      </c>
      <c r="D28" s="165" t="s">
        <v>99</v>
      </c>
      <c r="E28" s="165">
        <v>44</v>
      </c>
      <c r="F28" s="165" t="s">
        <v>276</v>
      </c>
    </row>
    <row r="29" spans="1:6" ht="15.6">
      <c r="A29" s="165" t="s">
        <v>262</v>
      </c>
      <c r="B29" s="165" t="s">
        <v>275</v>
      </c>
      <c r="C29" s="165">
        <v>47</v>
      </c>
      <c r="D29" s="165" t="s">
        <v>99</v>
      </c>
      <c r="E29" s="165">
        <v>48</v>
      </c>
      <c r="F29" s="165" t="s">
        <v>276</v>
      </c>
    </row>
    <row r="30" spans="1:6" ht="15.6">
      <c r="A30" s="165" t="s">
        <v>262</v>
      </c>
      <c r="B30" s="165" t="s">
        <v>275</v>
      </c>
      <c r="C30" s="165">
        <v>52</v>
      </c>
      <c r="D30" s="165" t="s">
        <v>99</v>
      </c>
      <c r="E30" s="165">
        <v>53</v>
      </c>
      <c r="F30" s="165" t="s">
        <v>276</v>
      </c>
    </row>
    <row r="31" spans="1:6" ht="15.6">
      <c r="A31" s="165" t="s">
        <v>262</v>
      </c>
      <c r="B31" s="165" t="s">
        <v>256</v>
      </c>
      <c r="C31" s="165">
        <v>15</v>
      </c>
      <c r="D31" s="165" t="s">
        <v>99</v>
      </c>
      <c r="E31" s="165">
        <v>15</v>
      </c>
      <c r="F31" s="165" t="s">
        <v>276</v>
      </c>
    </row>
    <row r="32" spans="1:6" ht="15.6">
      <c r="A32" s="165" t="s">
        <v>262</v>
      </c>
      <c r="B32" s="165" t="s">
        <v>257</v>
      </c>
      <c r="C32" s="165" t="s">
        <v>277</v>
      </c>
      <c r="D32" s="165" t="s">
        <v>66</v>
      </c>
      <c r="E32" s="165" t="s">
        <v>277</v>
      </c>
      <c r="F32" s="165" t="s">
        <v>66</v>
      </c>
    </row>
    <row r="33" spans="1:6" ht="15.6">
      <c r="A33" s="165" t="s">
        <v>262</v>
      </c>
      <c r="B33" s="165" t="s">
        <v>257</v>
      </c>
      <c r="C33" s="165" t="s">
        <v>278</v>
      </c>
      <c r="D33" s="165" t="s">
        <v>66</v>
      </c>
      <c r="E33" s="165" t="s">
        <v>278</v>
      </c>
      <c r="F33" s="165" t="s">
        <v>66</v>
      </c>
    </row>
    <row r="34" spans="1:6" ht="15.6">
      <c r="A34" s="165" t="s">
        <v>262</v>
      </c>
      <c r="B34" s="165" t="s">
        <v>257</v>
      </c>
      <c r="C34" s="165" t="s">
        <v>279</v>
      </c>
      <c r="D34" s="165" t="s">
        <v>66</v>
      </c>
      <c r="E34" s="165" t="s">
        <v>279</v>
      </c>
      <c r="F34" s="165" t="s">
        <v>66</v>
      </c>
    </row>
    <row r="35" spans="1:6" ht="15.6">
      <c r="A35" s="165" t="s">
        <v>262</v>
      </c>
      <c r="B35" s="165" t="s">
        <v>257</v>
      </c>
      <c r="C35" s="165" t="s">
        <v>280</v>
      </c>
      <c r="D35" s="165" t="s">
        <v>66</v>
      </c>
      <c r="E35" s="165" t="s">
        <v>280</v>
      </c>
      <c r="F35" s="165" t="s">
        <v>66</v>
      </c>
    </row>
    <row r="36" spans="1:6" ht="15.6">
      <c r="A36" s="165" t="s">
        <v>262</v>
      </c>
      <c r="B36" s="165" t="s">
        <v>257</v>
      </c>
      <c r="C36" s="165" t="s">
        <v>281</v>
      </c>
      <c r="D36" s="165" t="s">
        <v>66</v>
      </c>
      <c r="E36" s="165" t="s">
        <v>281</v>
      </c>
      <c r="F36" s="165" t="s">
        <v>66</v>
      </c>
    </row>
    <row r="37" spans="1:6" ht="15.6">
      <c r="A37" s="165" t="s">
        <v>262</v>
      </c>
      <c r="B37" s="165" t="s">
        <v>257</v>
      </c>
      <c r="C37" s="165" t="s">
        <v>282</v>
      </c>
      <c r="D37" s="165" t="s">
        <v>66</v>
      </c>
      <c r="E37" s="165" t="s">
        <v>282</v>
      </c>
      <c r="F37" s="165" t="s">
        <v>66</v>
      </c>
    </row>
    <row r="38" spans="1:6" ht="15.6">
      <c r="A38" s="165" t="s">
        <v>262</v>
      </c>
      <c r="B38" s="165" t="s">
        <v>257</v>
      </c>
      <c r="C38" s="165" t="s">
        <v>267</v>
      </c>
      <c r="D38" s="165" t="s">
        <v>66</v>
      </c>
      <c r="E38" s="165" t="s">
        <v>267</v>
      </c>
      <c r="F38" s="165" t="s">
        <v>66</v>
      </c>
    </row>
    <row r="39" spans="1:6" ht="15.6">
      <c r="A39" s="165" t="s">
        <v>262</v>
      </c>
      <c r="B39" s="165" t="s">
        <v>257</v>
      </c>
      <c r="C39" s="165" t="s">
        <v>283</v>
      </c>
      <c r="D39" s="165" t="s">
        <v>66</v>
      </c>
      <c r="E39" s="165" t="s">
        <v>283</v>
      </c>
      <c r="F39" s="165" t="s">
        <v>66</v>
      </c>
    </row>
    <row r="40" spans="1:6" ht="15.6">
      <c r="A40" s="165" t="s">
        <v>262</v>
      </c>
      <c r="B40" s="165" t="s">
        <v>257</v>
      </c>
      <c r="C40" s="165" t="s">
        <v>284</v>
      </c>
      <c r="D40" s="165" t="s">
        <v>66</v>
      </c>
      <c r="E40" s="165" t="s">
        <v>284</v>
      </c>
      <c r="F40" s="165" t="s">
        <v>66</v>
      </c>
    </row>
    <row r="41" spans="1:6" ht="15.6">
      <c r="A41" s="165" t="s">
        <v>262</v>
      </c>
      <c r="B41" s="165" t="s">
        <v>257</v>
      </c>
      <c r="C41" s="165" t="s">
        <v>285</v>
      </c>
      <c r="D41" s="165" t="s">
        <v>66</v>
      </c>
      <c r="E41" s="165" t="s">
        <v>285</v>
      </c>
      <c r="F41" s="165" t="s">
        <v>66</v>
      </c>
    </row>
    <row r="42" spans="1:6" ht="15.6">
      <c r="A42" s="165" t="s">
        <v>262</v>
      </c>
      <c r="B42" s="165" t="s">
        <v>257</v>
      </c>
      <c r="C42" s="165" t="s">
        <v>286</v>
      </c>
      <c r="D42" s="165" t="s">
        <v>99</v>
      </c>
      <c r="E42" s="165" t="s">
        <v>286</v>
      </c>
      <c r="F42" s="165" t="s">
        <v>99</v>
      </c>
    </row>
    <row r="43" spans="1:6" ht="15.6">
      <c r="A43" s="165" t="s">
        <v>262</v>
      </c>
      <c r="B43" s="165" t="s">
        <v>257</v>
      </c>
      <c r="C43" s="165">
        <v>73</v>
      </c>
      <c r="D43" s="165" t="s">
        <v>104</v>
      </c>
      <c r="E43" s="165">
        <v>73</v>
      </c>
      <c r="F43" s="165" t="s">
        <v>287</v>
      </c>
    </row>
    <row r="44" spans="1:6" ht="15.6">
      <c r="A44" s="165" t="s">
        <v>262</v>
      </c>
      <c r="B44" s="165" t="s">
        <v>257</v>
      </c>
      <c r="C44" s="165">
        <v>83</v>
      </c>
      <c r="D44" s="165" t="s">
        <v>104</v>
      </c>
      <c r="E44" s="165">
        <v>83</v>
      </c>
      <c r="F44" s="165" t="s">
        <v>287</v>
      </c>
    </row>
    <row r="45" spans="1:6" ht="15.6">
      <c r="A45" s="165" t="s">
        <v>262</v>
      </c>
      <c r="B45" s="165" t="s">
        <v>257</v>
      </c>
      <c r="C45" s="165">
        <v>93</v>
      </c>
      <c r="D45" s="165" t="s">
        <v>104</v>
      </c>
      <c r="E45" s="165">
        <v>93</v>
      </c>
      <c r="F45" s="165" t="s">
        <v>287</v>
      </c>
    </row>
    <row r="46" spans="1:6" ht="15.6">
      <c r="A46" s="165" t="s">
        <v>262</v>
      </c>
      <c r="B46" s="165" t="s">
        <v>257</v>
      </c>
      <c r="C46" s="165">
        <v>103</v>
      </c>
      <c r="D46" s="165" t="s">
        <v>104</v>
      </c>
      <c r="E46" s="165">
        <v>103</v>
      </c>
      <c r="F46" s="165" t="s">
        <v>287</v>
      </c>
    </row>
    <row r="47" spans="1:6" ht="15.6">
      <c r="A47" s="165" t="s">
        <v>262</v>
      </c>
      <c r="B47" s="165" t="s">
        <v>257</v>
      </c>
      <c r="C47" s="165">
        <v>109</v>
      </c>
      <c r="D47" s="165" t="s">
        <v>104</v>
      </c>
      <c r="E47" s="165">
        <v>109</v>
      </c>
      <c r="F47" s="165" t="s">
        <v>287</v>
      </c>
    </row>
    <row r="48" spans="1:6" ht="15.6">
      <c r="A48" s="165" t="s">
        <v>262</v>
      </c>
      <c r="B48" s="165" t="s">
        <v>257</v>
      </c>
      <c r="C48" s="165">
        <v>112</v>
      </c>
      <c r="D48" s="165" t="s">
        <v>104</v>
      </c>
      <c r="E48" s="165">
        <v>112</v>
      </c>
      <c r="F48" s="165" t="s">
        <v>287</v>
      </c>
    </row>
    <row r="49" spans="1:6" ht="15.6">
      <c r="A49" s="165" t="s">
        <v>262</v>
      </c>
      <c r="B49" s="165" t="s">
        <v>257</v>
      </c>
      <c r="C49" s="165">
        <v>130</v>
      </c>
      <c r="D49" s="165" t="s">
        <v>104</v>
      </c>
      <c r="E49" s="165">
        <v>131</v>
      </c>
      <c r="F49" s="165" t="s">
        <v>287</v>
      </c>
    </row>
    <row r="50" spans="1:6" ht="15.6">
      <c r="A50" s="165" t="s">
        <v>262</v>
      </c>
      <c r="B50" s="165" t="s">
        <v>258</v>
      </c>
      <c r="C50" s="165">
        <v>15</v>
      </c>
      <c r="D50" s="165" t="s">
        <v>66</v>
      </c>
      <c r="E50" s="165">
        <v>15</v>
      </c>
      <c r="F50" s="165" t="s">
        <v>288</v>
      </c>
    </row>
    <row r="51" spans="1:6" ht="15.6">
      <c r="A51" s="165" t="s">
        <v>262</v>
      </c>
      <c r="B51" s="165" t="s">
        <v>258</v>
      </c>
      <c r="C51" s="165" t="s">
        <v>273</v>
      </c>
      <c r="D51" s="165" t="s">
        <v>66</v>
      </c>
      <c r="E51" s="165" t="s">
        <v>273</v>
      </c>
      <c r="F51" s="165" t="s">
        <v>288</v>
      </c>
    </row>
    <row r="52" spans="1:6" ht="15.6">
      <c r="A52" s="165" t="s">
        <v>262</v>
      </c>
      <c r="B52" s="165" t="s">
        <v>289</v>
      </c>
      <c r="C52" s="165" t="s">
        <v>290</v>
      </c>
      <c r="D52" s="165" t="s">
        <v>47</v>
      </c>
      <c r="E52" s="165" t="s">
        <v>278</v>
      </c>
      <c r="F52" s="165" t="s">
        <v>291</v>
      </c>
    </row>
    <row r="53" spans="1:6" ht="15.6">
      <c r="A53" s="165" t="s">
        <v>262</v>
      </c>
      <c r="B53" s="165" t="s">
        <v>292</v>
      </c>
      <c r="C53" s="165" t="s">
        <v>293</v>
      </c>
      <c r="D53" s="165" t="s">
        <v>66</v>
      </c>
      <c r="E53" s="165" t="s">
        <v>293</v>
      </c>
      <c r="F53" s="165" t="s">
        <v>66</v>
      </c>
    </row>
    <row r="54" spans="1:6" ht="15.6">
      <c r="A54" s="165" t="s">
        <v>262</v>
      </c>
      <c r="B54" s="165" t="s">
        <v>292</v>
      </c>
      <c r="C54" s="165" t="s">
        <v>264</v>
      </c>
      <c r="D54" s="165" t="s">
        <v>66</v>
      </c>
      <c r="E54" s="165" t="s">
        <v>277</v>
      </c>
      <c r="F54" s="165" t="s">
        <v>66</v>
      </c>
    </row>
    <row r="55" spans="1:6" ht="15.6">
      <c r="A55" s="165" t="s">
        <v>262</v>
      </c>
      <c r="B55" s="165" t="s">
        <v>292</v>
      </c>
      <c r="C55" s="165" t="s">
        <v>294</v>
      </c>
      <c r="D55" s="165" t="s">
        <v>110</v>
      </c>
      <c r="E55" s="165" t="s">
        <v>277</v>
      </c>
      <c r="F55" s="165" t="s">
        <v>110</v>
      </c>
    </row>
    <row r="56" spans="1:6" ht="15.6">
      <c r="A56" s="165" t="s">
        <v>262</v>
      </c>
      <c r="B56" s="165" t="s">
        <v>292</v>
      </c>
      <c r="C56" s="165" t="s">
        <v>295</v>
      </c>
      <c r="D56" s="165" t="s">
        <v>47</v>
      </c>
      <c r="E56" s="165" t="s">
        <v>296</v>
      </c>
      <c r="F56" s="165" t="s">
        <v>110</v>
      </c>
    </row>
    <row r="57" spans="1:6" ht="15.6">
      <c r="A57" s="165" t="s">
        <v>262</v>
      </c>
      <c r="B57" s="165" t="s">
        <v>297</v>
      </c>
      <c r="C57" s="165" t="s">
        <v>298</v>
      </c>
      <c r="D57" s="165" t="s">
        <v>55</v>
      </c>
      <c r="E57" s="165" t="s">
        <v>299</v>
      </c>
      <c r="F57" s="165" t="s">
        <v>66</v>
      </c>
    </row>
    <row r="58" spans="1:6" ht="15.6">
      <c r="A58" s="165" t="s">
        <v>262</v>
      </c>
      <c r="B58" s="165" t="s">
        <v>297</v>
      </c>
      <c r="C58" s="165" t="s">
        <v>300</v>
      </c>
      <c r="D58" s="165" t="s">
        <v>99</v>
      </c>
      <c r="E58" s="165" t="s">
        <v>300</v>
      </c>
      <c r="F58" s="165" t="s">
        <v>99</v>
      </c>
    </row>
    <row r="59" spans="1:6" ht="15.6">
      <c r="A59" s="165" t="s">
        <v>262</v>
      </c>
      <c r="B59" s="165" t="s">
        <v>297</v>
      </c>
      <c r="C59" s="165" t="s">
        <v>300</v>
      </c>
      <c r="D59" s="165" t="s">
        <v>104</v>
      </c>
      <c r="E59" s="165" t="s">
        <v>300</v>
      </c>
      <c r="F59" s="165" t="s">
        <v>287</v>
      </c>
    </row>
    <row r="60" spans="1:6" ht="15.6">
      <c r="A60" s="165" t="s">
        <v>262</v>
      </c>
      <c r="B60" s="165" t="s">
        <v>297</v>
      </c>
      <c r="C60" s="165" t="s">
        <v>296</v>
      </c>
      <c r="D60" s="165" t="s">
        <v>104</v>
      </c>
      <c r="E60" s="165" t="s">
        <v>296</v>
      </c>
      <c r="F60" s="165" t="s">
        <v>287</v>
      </c>
    </row>
    <row r="61" spans="1:6" ht="15.6">
      <c r="A61" s="165" t="s">
        <v>262</v>
      </c>
      <c r="B61" s="165" t="s">
        <v>297</v>
      </c>
      <c r="C61" s="165" t="s">
        <v>301</v>
      </c>
      <c r="D61" s="165" t="s">
        <v>99</v>
      </c>
      <c r="E61" s="165" t="s">
        <v>301</v>
      </c>
      <c r="F61" s="165" t="s">
        <v>99</v>
      </c>
    </row>
    <row r="62" spans="1:6" ht="15.6">
      <c r="A62" s="165" t="s">
        <v>262</v>
      </c>
      <c r="B62" s="165" t="s">
        <v>297</v>
      </c>
      <c r="C62" s="165" t="s">
        <v>301</v>
      </c>
      <c r="D62" s="165" t="s">
        <v>104</v>
      </c>
      <c r="E62" s="165" t="s">
        <v>301</v>
      </c>
      <c r="F62" s="165" t="s">
        <v>287</v>
      </c>
    </row>
    <row r="63" spans="1:6" ht="15.6">
      <c r="A63" s="165" t="s">
        <v>262</v>
      </c>
      <c r="B63" s="165" t="s">
        <v>297</v>
      </c>
      <c r="C63" s="165" t="s">
        <v>274</v>
      </c>
      <c r="D63" s="165" t="s">
        <v>104</v>
      </c>
      <c r="E63" s="165" t="s">
        <v>274</v>
      </c>
      <c r="F63" s="165" t="s">
        <v>287</v>
      </c>
    </row>
    <row r="64" spans="1:6" ht="15.6">
      <c r="A64" s="165" t="s">
        <v>262</v>
      </c>
      <c r="B64" s="165" t="s">
        <v>297</v>
      </c>
      <c r="C64" s="165" t="s">
        <v>302</v>
      </c>
      <c r="D64" s="165" t="s">
        <v>99</v>
      </c>
      <c r="E64" s="165" t="s">
        <v>302</v>
      </c>
      <c r="F64" s="165" t="s">
        <v>99</v>
      </c>
    </row>
    <row r="65" spans="1:6" ht="15.6">
      <c r="A65" s="165" t="s">
        <v>262</v>
      </c>
      <c r="B65" s="165" t="s">
        <v>297</v>
      </c>
      <c r="C65" s="165" t="s">
        <v>302</v>
      </c>
      <c r="D65" s="165" t="s">
        <v>104</v>
      </c>
      <c r="E65" s="165" t="s">
        <v>302</v>
      </c>
      <c r="F65" s="165" t="s">
        <v>287</v>
      </c>
    </row>
    <row r="66" spans="1:6" ht="15.6">
      <c r="A66" s="165" t="s">
        <v>262</v>
      </c>
      <c r="B66" s="165" t="s">
        <v>297</v>
      </c>
      <c r="C66" s="165" t="s">
        <v>280</v>
      </c>
      <c r="D66" s="165" t="s">
        <v>104</v>
      </c>
      <c r="E66" s="165" t="s">
        <v>280</v>
      </c>
      <c r="F66" s="165" t="s">
        <v>287</v>
      </c>
    </row>
    <row r="67" spans="1:6" ht="15.6">
      <c r="A67" s="165" t="s">
        <v>262</v>
      </c>
      <c r="B67" s="165" t="s">
        <v>297</v>
      </c>
      <c r="C67" s="165" t="s">
        <v>303</v>
      </c>
      <c r="D67" s="165" t="s">
        <v>99</v>
      </c>
      <c r="E67" s="165" t="s">
        <v>303</v>
      </c>
      <c r="F67" s="165" t="s">
        <v>99</v>
      </c>
    </row>
    <row r="68" spans="1:6" ht="15.6">
      <c r="A68" s="165" t="s">
        <v>262</v>
      </c>
      <c r="B68" s="165" t="s">
        <v>297</v>
      </c>
      <c r="C68" s="165" t="s">
        <v>303</v>
      </c>
      <c r="D68" s="165" t="s">
        <v>104</v>
      </c>
      <c r="E68" s="165" t="s">
        <v>303</v>
      </c>
      <c r="F68" s="165" t="s">
        <v>287</v>
      </c>
    </row>
    <row r="69" spans="1:6" ht="15.6">
      <c r="A69" s="165" t="s">
        <v>262</v>
      </c>
      <c r="B69" s="165" t="s">
        <v>297</v>
      </c>
      <c r="C69" s="165" t="s">
        <v>304</v>
      </c>
      <c r="D69" s="165" t="s">
        <v>104</v>
      </c>
      <c r="E69" s="165" t="s">
        <v>304</v>
      </c>
      <c r="F69" s="165" t="s">
        <v>287</v>
      </c>
    </row>
    <row r="70" spans="1:6" ht="15.6">
      <c r="A70" s="165" t="s">
        <v>262</v>
      </c>
      <c r="B70" s="165" t="s">
        <v>297</v>
      </c>
      <c r="C70" s="165" t="s">
        <v>305</v>
      </c>
      <c r="D70" s="165" t="s">
        <v>99</v>
      </c>
      <c r="E70" s="165" t="s">
        <v>305</v>
      </c>
      <c r="F70" s="165" t="s">
        <v>99</v>
      </c>
    </row>
    <row r="71" spans="1:6" ht="15.6">
      <c r="A71" s="165" t="s">
        <v>262</v>
      </c>
      <c r="B71" s="165" t="s">
        <v>297</v>
      </c>
      <c r="C71" s="165" t="s">
        <v>305</v>
      </c>
      <c r="D71" s="165" t="s">
        <v>104</v>
      </c>
      <c r="E71" s="165" t="s">
        <v>305</v>
      </c>
      <c r="F71" s="165" t="s">
        <v>287</v>
      </c>
    </row>
    <row r="72" spans="1:6" ht="15.6">
      <c r="A72" s="165" t="s">
        <v>262</v>
      </c>
      <c r="B72" s="165" t="s">
        <v>297</v>
      </c>
      <c r="C72" s="165" t="s">
        <v>306</v>
      </c>
      <c r="D72" s="165" t="s">
        <v>104</v>
      </c>
      <c r="E72" s="165" t="s">
        <v>306</v>
      </c>
      <c r="F72" s="165" t="s">
        <v>287</v>
      </c>
    </row>
    <row r="73" spans="1:6" ht="15.6">
      <c r="A73" s="165" t="s">
        <v>262</v>
      </c>
      <c r="B73" s="165" t="s">
        <v>297</v>
      </c>
      <c r="C73" s="165" t="s">
        <v>307</v>
      </c>
      <c r="D73" s="165" t="s">
        <v>99</v>
      </c>
      <c r="E73" s="165" t="s">
        <v>307</v>
      </c>
      <c r="F73" s="165" t="s">
        <v>99</v>
      </c>
    </row>
    <row r="74" spans="1:6" ht="15.6">
      <c r="A74" s="165" t="s">
        <v>262</v>
      </c>
      <c r="B74" s="165" t="s">
        <v>297</v>
      </c>
      <c r="C74" s="165" t="s">
        <v>307</v>
      </c>
      <c r="D74" s="165" t="s">
        <v>104</v>
      </c>
      <c r="E74" s="165" t="s">
        <v>307</v>
      </c>
      <c r="F74" s="165" t="s">
        <v>287</v>
      </c>
    </row>
    <row r="75" spans="1:6" ht="15.6">
      <c r="A75" s="165" t="s">
        <v>262</v>
      </c>
      <c r="B75" s="165" t="s">
        <v>297</v>
      </c>
      <c r="C75" s="165" t="s">
        <v>308</v>
      </c>
      <c r="D75" s="165" t="s">
        <v>104</v>
      </c>
      <c r="E75" s="165" t="s">
        <v>308</v>
      </c>
      <c r="F75" s="165" t="s">
        <v>287</v>
      </c>
    </row>
    <row r="76" spans="1:6" ht="15.6">
      <c r="A76" s="165" t="s">
        <v>262</v>
      </c>
      <c r="B76" s="165" t="s">
        <v>297</v>
      </c>
      <c r="C76" s="165" t="s">
        <v>283</v>
      </c>
      <c r="D76" s="165" t="s">
        <v>99</v>
      </c>
      <c r="E76" s="165" t="s">
        <v>283</v>
      </c>
      <c r="F76" s="165" t="s">
        <v>99</v>
      </c>
    </row>
    <row r="77" spans="1:6" ht="15.6">
      <c r="A77" s="165" t="s">
        <v>262</v>
      </c>
      <c r="B77" s="165" t="s">
        <v>297</v>
      </c>
      <c r="C77" s="165" t="s">
        <v>283</v>
      </c>
      <c r="D77" s="165" t="s">
        <v>104</v>
      </c>
      <c r="E77" s="165" t="s">
        <v>283</v>
      </c>
      <c r="F77" s="165" t="s">
        <v>287</v>
      </c>
    </row>
    <row r="78" spans="1:6" ht="15.6">
      <c r="A78" s="165" t="s">
        <v>262</v>
      </c>
      <c r="B78" s="165" t="s">
        <v>297</v>
      </c>
      <c r="C78" s="165" t="s">
        <v>309</v>
      </c>
      <c r="D78" s="165" t="s">
        <v>104</v>
      </c>
      <c r="E78" s="165" t="s">
        <v>309</v>
      </c>
      <c r="F78" s="165" t="s">
        <v>287</v>
      </c>
    </row>
    <row r="79" spans="1:6" ht="15.6">
      <c r="A79" s="165" t="s">
        <v>262</v>
      </c>
      <c r="B79" s="165" t="s">
        <v>297</v>
      </c>
      <c r="C79" s="165" t="s">
        <v>310</v>
      </c>
      <c r="D79" s="165" t="s">
        <v>99</v>
      </c>
      <c r="E79" s="165" t="s">
        <v>310</v>
      </c>
      <c r="F79" s="165" t="s">
        <v>99</v>
      </c>
    </row>
    <row r="80" spans="1:6" ht="15.6">
      <c r="A80" s="165" t="s">
        <v>262</v>
      </c>
      <c r="B80" s="165" t="s">
        <v>297</v>
      </c>
      <c r="C80" s="165" t="s">
        <v>310</v>
      </c>
      <c r="D80" s="165" t="s">
        <v>104</v>
      </c>
      <c r="E80" s="165" t="s">
        <v>310</v>
      </c>
      <c r="F80" s="165" t="s">
        <v>287</v>
      </c>
    </row>
    <row r="81" spans="1:6" ht="15.6">
      <c r="A81" s="165" t="s">
        <v>262</v>
      </c>
      <c r="B81" s="165" t="s">
        <v>297</v>
      </c>
      <c r="C81" s="165" t="s">
        <v>311</v>
      </c>
      <c r="D81" s="165" t="s">
        <v>104</v>
      </c>
      <c r="E81" s="165" t="s">
        <v>311</v>
      </c>
      <c r="F81" s="165" t="s">
        <v>287</v>
      </c>
    </row>
    <row r="82" spans="1:6" ht="15.6">
      <c r="A82" s="165" t="s">
        <v>262</v>
      </c>
      <c r="B82" s="165" t="s">
        <v>297</v>
      </c>
      <c r="C82" s="165" t="s">
        <v>312</v>
      </c>
      <c r="D82" s="165" t="s">
        <v>99</v>
      </c>
      <c r="E82" s="165" t="s">
        <v>312</v>
      </c>
      <c r="F82" s="165" t="s">
        <v>99</v>
      </c>
    </row>
    <row r="83" spans="1:6" ht="15.6">
      <c r="A83" s="165" t="s">
        <v>262</v>
      </c>
      <c r="B83" s="165" t="s">
        <v>297</v>
      </c>
      <c r="C83" s="165" t="s">
        <v>312</v>
      </c>
      <c r="D83" s="165" t="s">
        <v>104</v>
      </c>
      <c r="E83" s="165" t="s">
        <v>312</v>
      </c>
      <c r="F83" s="165" t="s">
        <v>287</v>
      </c>
    </row>
    <row r="84" spans="1:6" ht="15.6">
      <c r="A84" s="165" t="s">
        <v>262</v>
      </c>
      <c r="B84" s="165" t="s">
        <v>297</v>
      </c>
      <c r="C84" s="165" t="s">
        <v>313</v>
      </c>
      <c r="D84" s="165" t="s">
        <v>104</v>
      </c>
      <c r="E84" s="165" t="s">
        <v>313</v>
      </c>
      <c r="F84" s="165" t="s">
        <v>287</v>
      </c>
    </row>
    <row r="85" spans="1:6" ht="15.6">
      <c r="A85" s="165" t="s">
        <v>262</v>
      </c>
      <c r="B85" s="165" t="s">
        <v>297</v>
      </c>
      <c r="C85" s="165" t="s">
        <v>314</v>
      </c>
      <c r="D85" s="165" t="s">
        <v>99</v>
      </c>
      <c r="E85" s="165" t="s">
        <v>314</v>
      </c>
      <c r="F85" s="165" t="s">
        <v>99</v>
      </c>
    </row>
    <row r="86" spans="1:6" ht="15.6">
      <c r="A86" s="165" t="s">
        <v>262</v>
      </c>
      <c r="B86" s="165" t="s">
        <v>297</v>
      </c>
      <c r="C86" s="165" t="s">
        <v>314</v>
      </c>
      <c r="D86" s="165" t="s">
        <v>104</v>
      </c>
      <c r="E86" s="165" t="s">
        <v>314</v>
      </c>
      <c r="F86" s="165" t="s">
        <v>287</v>
      </c>
    </row>
    <row r="87" spans="1:6" ht="15.6">
      <c r="A87" s="165" t="s">
        <v>262</v>
      </c>
      <c r="B87" s="165" t="s">
        <v>297</v>
      </c>
      <c r="C87" s="165" t="s">
        <v>315</v>
      </c>
      <c r="D87" s="165" t="s">
        <v>104</v>
      </c>
      <c r="E87" s="165" t="s">
        <v>315</v>
      </c>
      <c r="F87" s="165" t="s">
        <v>287</v>
      </c>
    </row>
    <row r="88" spans="1:6" ht="15.6">
      <c r="A88" s="165" t="s">
        <v>262</v>
      </c>
      <c r="B88" s="165" t="s">
        <v>297</v>
      </c>
      <c r="C88" s="165" t="s">
        <v>316</v>
      </c>
      <c r="D88" s="165" t="s">
        <v>99</v>
      </c>
      <c r="E88" s="165" t="s">
        <v>316</v>
      </c>
      <c r="F88" s="165" t="s">
        <v>99</v>
      </c>
    </row>
    <row r="89" spans="1:6" ht="15.6">
      <c r="A89" s="165" t="s">
        <v>262</v>
      </c>
      <c r="B89" s="165" t="s">
        <v>297</v>
      </c>
      <c r="C89" s="165" t="s">
        <v>316</v>
      </c>
      <c r="D89" s="165" t="s">
        <v>104</v>
      </c>
      <c r="E89" s="165" t="s">
        <v>316</v>
      </c>
      <c r="F89" s="165" t="s">
        <v>287</v>
      </c>
    </row>
    <row r="90" spans="1:6" ht="15.6">
      <c r="A90" s="165" t="s">
        <v>262</v>
      </c>
      <c r="B90" s="165" t="s">
        <v>297</v>
      </c>
      <c r="C90" s="165" t="s">
        <v>317</v>
      </c>
      <c r="D90" s="165" t="s">
        <v>104</v>
      </c>
      <c r="E90" s="165" t="s">
        <v>317</v>
      </c>
      <c r="F90" s="165" t="s">
        <v>287</v>
      </c>
    </row>
    <row r="91" spans="1:6" ht="15.6">
      <c r="A91" s="165" t="s">
        <v>262</v>
      </c>
      <c r="B91" s="165" t="s">
        <v>297</v>
      </c>
      <c r="C91" s="165" t="s">
        <v>318</v>
      </c>
      <c r="D91" s="165" t="s">
        <v>99</v>
      </c>
      <c r="E91" s="165" t="s">
        <v>318</v>
      </c>
      <c r="F91" s="165" t="s">
        <v>99</v>
      </c>
    </row>
    <row r="92" spans="1:6" ht="15.6">
      <c r="A92" s="165" t="s">
        <v>262</v>
      </c>
      <c r="B92" s="165" t="s">
        <v>297</v>
      </c>
      <c r="C92" s="165" t="s">
        <v>318</v>
      </c>
      <c r="D92" s="165" t="s">
        <v>104</v>
      </c>
      <c r="E92" s="165" t="s">
        <v>318</v>
      </c>
      <c r="F92" s="165" t="s">
        <v>287</v>
      </c>
    </row>
    <row r="93" spans="1:6" ht="15.6">
      <c r="A93" s="165" t="s">
        <v>262</v>
      </c>
      <c r="B93" s="165" t="s">
        <v>297</v>
      </c>
      <c r="C93" s="165" t="s">
        <v>319</v>
      </c>
      <c r="D93" s="165" t="s">
        <v>104</v>
      </c>
      <c r="E93" s="165" t="s">
        <v>319</v>
      </c>
      <c r="F93" s="165" t="s">
        <v>287</v>
      </c>
    </row>
    <row r="94" spans="1:6" ht="15.6">
      <c r="A94" s="165" t="s">
        <v>262</v>
      </c>
      <c r="B94" s="165" t="s">
        <v>297</v>
      </c>
      <c r="C94" s="165" t="s">
        <v>320</v>
      </c>
      <c r="D94" s="165" t="s">
        <v>99</v>
      </c>
      <c r="E94" s="165" t="s">
        <v>320</v>
      </c>
      <c r="F94" s="165" t="s">
        <v>99</v>
      </c>
    </row>
    <row r="95" spans="1:6" ht="15.6">
      <c r="A95" s="165" t="s">
        <v>262</v>
      </c>
      <c r="B95" s="165" t="s">
        <v>297</v>
      </c>
      <c r="C95" s="165" t="s">
        <v>320</v>
      </c>
      <c r="D95" s="165" t="s">
        <v>104</v>
      </c>
      <c r="E95" s="165" t="s">
        <v>320</v>
      </c>
      <c r="F95" s="165" t="s">
        <v>287</v>
      </c>
    </row>
    <row r="96" spans="1:6" ht="15.6">
      <c r="A96" s="165" t="s">
        <v>262</v>
      </c>
      <c r="B96" s="165" t="s">
        <v>297</v>
      </c>
      <c r="C96" s="165" t="s">
        <v>321</v>
      </c>
      <c r="D96" s="165" t="s">
        <v>104</v>
      </c>
      <c r="E96" s="165" t="s">
        <v>321</v>
      </c>
      <c r="F96" s="165" t="s">
        <v>287</v>
      </c>
    </row>
    <row r="97" spans="1:6" ht="15.6">
      <c r="A97" s="165" t="s">
        <v>262</v>
      </c>
      <c r="B97" s="165" t="s">
        <v>297</v>
      </c>
      <c r="C97" s="165" t="s">
        <v>322</v>
      </c>
      <c r="D97" s="165" t="s">
        <v>99</v>
      </c>
      <c r="E97" s="165" t="s">
        <v>322</v>
      </c>
      <c r="F97" s="165" t="s">
        <v>99</v>
      </c>
    </row>
    <row r="98" spans="1:6" ht="15.6">
      <c r="A98" s="165" t="s">
        <v>262</v>
      </c>
      <c r="B98" s="165" t="s">
        <v>297</v>
      </c>
      <c r="C98" s="165" t="s">
        <v>322</v>
      </c>
      <c r="D98" s="165" t="s">
        <v>104</v>
      </c>
      <c r="E98" s="165" t="s">
        <v>322</v>
      </c>
      <c r="F98" s="165" t="s">
        <v>287</v>
      </c>
    </row>
    <row r="99" spans="1:6" ht="15.6">
      <c r="A99" s="165" t="s">
        <v>262</v>
      </c>
      <c r="B99" s="165" t="s">
        <v>297</v>
      </c>
      <c r="C99" s="165" t="s">
        <v>323</v>
      </c>
      <c r="D99" s="165" t="s">
        <v>104</v>
      </c>
      <c r="E99" s="165" t="s">
        <v>323</v>
      </c>
      <c r="F99" s="165" t="s">
        <v>287</v>
      </c>
    </row>
    <row r="100" spans="1:6" ht="15.6">
      <c r="A100" s="165" t="s">
        <v>262</v>
      </c>
      <c r="B100" s="165" t="s">
        <v>297</v>
      </c>
      <c r="C100" s="165" t="s">
        <v>324</v>
      </c>
      <c r="D100" s="165" t="s">
        <v>99</v>
      </c>
      <c r="E100" s="165" t="s">
        <v>324</v>
      </c>
      <c r="F100" s="165" t="s">
        <v>99</v>
      </c>
    </row>
    <row r="101" spans="1:6" ht="15.6">
      <c r="A101" s="165" t="s">
        <v>262</v>
      </c>
      <c r="B101" s="165" t="s">
        <v>297</v>
      </c>
      <c r="C101" s="165" t="s">
        <v>324</v>
      </c>
      <c r="D101" s="165" t="s">
        <v>104</v>
      </c>
      <c r="E101" s="165" t="s">
        <v>324</v>
      </c>
      <c r="F101" s="165" t="s">
        <v>287</v>
      </c>
    </row>
    <row r="102" spans="1:6" ht="15.6">
      <c r="A102" s="165" t="s">
        <v>262</v>
      </c>
      <c r="B102" s="165" t="s">
        <v>297</v>
      </c>
      <c r="C102" s="165" t="s">
        <v>325</v>
      </c>
      <c r="D102" s="165" t="s">
        <v>104</v>
      </c>
      <c r="E102" s="165" t="s">
        <v>325</v>
      </c>
      <c r="F102" s="165" t="s">
        <v>287</v>
      </c>
    </row>
    <row r="103" spans="1:6" ht="15.6">
      <c r="A103" s="165" t="s">
        <v>262</v>
      </c>
      <c r="B103" s="165" t="s">
        <v>297</v>
      </c>
      <c r="C103" s="165" t="s">
        <v>326</v>
      </c>
      <c r="D103" s="165" t="s">
        <v>99</v>
      </c>
      <c r="E103" s="165" t="s">
        <v>326</v>
      </c>
      <c r="F103" s="165" t="s">
        <v>99</v>
      </c>
    </row>
    <row r="104" spans="1:6" ht="15.6">
      <c r="A104" s="165" t="s">
        <v>262</v>
      </c>
      <c r="B104" s="165" t="s">
        <v>297</v>
      </c>
      <c r="C104" s="165" t="s">
        <v>326</v>
      </c>
      <c r="D104" s="165" t="s">
        <v>104</v>
      </c>
      <c r="E104" s="165" t="s">
        <v>326</v>
      </c>
      <c r="F104" s="165" t="s">
        <v>287</v>
      </c>
    </row>
    <row r="105" spans="1:6" ht="15.6">
      <c r="A105" s="165" t="s">
        <v>262</v>
      </c>
      <c r="B105" s="165" t="s">
        <v>297</v>
      </c>
      <c r="C105" s="165" t="s">
        <v>327</v>
      </c>
      <c r="D105" s="165" t="s">
        <v>104</v>
      </c>
      <c r="E105" s="165" t="s">
        <v>327</v>
      </c>
      <c r="F105" s="165" t="s">
        <v>287</v>
      </c>
    </row>
    <row r="106" spans="1:6" ht="15.6">
      <c r="A106" s="165" t="s">
        <v>262</v>
      </c>
      <c r="B106" s="165" t="s">
        <v>297</v>
      </c>
      <c r="C106" s="165" t="s">
        <v>328</v>
      </c>
      <c r="D106" s="165" t="s">
        <v>99</v>
      </c>
      <c r="E106" s="165" t="s">
        <v>328</v>
      </c>
      <c r="F106" s="165" t="s">
        <v>99</v>
      </c>
    </row>
    <row r="107" spans="1:6" ht="15.6">
      <c r="A107" s="165" t="s">
        <v>262</v>
      </c>
      <c r="B107" s="165" t="s">
        <v>297</v>
      </c>
      <c r="C107" s="165" t="s">
        <v>328</v>
      </c>
      <c r="D107" s="165" t="s">
        <v>104</v>
      </c>
      <c r="E107" s="165" t="s">
        <v>328</v>
      </c>
      <c r="F107" s="165" t="s">
        <v>287</v>
      </c>
    </row>
    <row r="108" spans="1:6" ht="15.6">
      <c r="A108" s="165" t="s">
        <v>262</v>
      </c>
      <c r="B108" s="165" t="s">
        <v>297</v>
      </c>
      <c r="C108" s="165" t="s">
        <v>329</v>
      </c>
      <c r="D108" s="165" t="s">
        <v>104</v>
      </c>
      <c r="E108" s="165" t="s">
        <v>329</v>
      </c>
      <c r="F108" s="165" t="s">
        <v>287</v>
      </c>
    </row>
    <row r="109" spans="1:6" ht="15.6">
      <c r="A109" s="165" t="s">
        <v>262</v>
      </c>
      <c r="B109" s="165" t="s">
        <v>297</v>
      </c>
      <c r="C109" s="165" t="s">
        <v>330</v>
      </c>
      <c r="D109" s="165" t="s">
        <v>99</v>
      </c>
      <c r="E109" s="165" t="s">
        <v>330</v>
      </c>
      <c r="F109" s="165" t="s">
        <v>99</v>
      </c>
    </row>
    <row r="110" spans="1:6" ht="15.6">
      <c r="A110" s="165" t="s">
        <v>262</v>
      </c>
      <c r="B110" s="165" t="s">
        <v>297</v>
      </c>
      <c r="C110" s="165" t="s">
        <v>330</v>
      </c>
      <c r="D110" s="165" t="s">
        <v>104</v>
      </c>
      <c r="E110" s="165" t="s">
        <v>330</v>
      </c>
      <c r="F110" s="165" t="s">
        <v>287</v>
      </c>
    </row>
    <row r="111" spans="1:6" ht="15.6">
      <c r="A111" s="165" t="s">
        <v>262</v>
      </c>
      <c r="B111" s="165" t="s">
        <v>297</v>
      </c>
      <c r="C111" s="165" t="s">
        <v>331</v>
      </c>
      <c r="D111" s="165" t="s">
        <v>104</v>
      </c>
      <c r="E111" s="165" t="s">
        <v>331</v>
      </c>
      <c r="F111" s="165" t="s">
        <v>287</v>
      </c>
    </row>
    <row r="112" spans="1:6" ht="15.6">
      <c r="A112" s="165" t="s">
        <v>262</v>
      </c>
      <c r="B112" s="165" t="s">
        <v>297</v>
      </c>
      <c r="C112" s="165" t="s">
        <v>332</v>
      </c>
      <c r="D112" s="165" t="s">
        <v>99</v>
      </c>
      <c r="E112" s="165" t="s">
        <v>332</v>
      </c>
      <c r="F112" s="165" t="s">
        <v>99</v>
      </c>
    </row>
    <row r="113" spans="1:6" ht="15.6">
      <c r="A113" s="165" t="s">
        <v>262</v>
      </c>
      <c r="B113" s="165" t="s">
        <v>297</v>
      </c>
      <c r="C113" s="165" t="s">
        <v>332</v>
      </c>
      <c r="D113" s="165" t="s">
        <v>104</v>
      </c>
      <c r="E113" s="165" t="s">
        <v>332</v>
      </c>
      <c r="F113" s="165" t="s">
        <v>287</v>
      </c>
    </row>
    <row r="114" spans="1:6" ht="15.6">
      <c r="A114" s="165" t="s">
        <v>262</v>
      </c>
      <c r="B114" s="165" t="s">
        <v>297</v>
      </c>
      <c r="C114" s="165" t="s">
        <v>333</v>
      </c>
      <c r="D114" s="165" t="s">
        <v>104</v>
      </c>
      <c r="E114" s="165" t="s">
        <v>333</v>
      </c>
      <c r="F114" s="165" t="s">
        <v>287</v>
      </c>
    </row>
    <row r="115" spans="1:6" ht="15.6">
      <c r="A115" s="165" t="s">
        <v>262</v>
      </c>
      <c r="B115" s="165" t="s">
        <v>297</v>
      </c>
      <c r="C115" s="165" t="s">
        <v>334</v>
      </c>
      <c r="D115" s="165" t="s">
        <v>99</v>
      </c>
      <c r="E115" s="165" t="s">
        <v>334</v>
      </c>
      <c r="F115" s="165" t="s">
        <v>99</v>
      </c>
    </row>
    <row r="116" spans="1:6" ht="15.6">
      <c r="A116" s="165" t="s">
        <v>262</v>
      </c>
      <c r="B116" s="165" t="s">
        <v>297</v>
      </c>
      <c r="C116" s="165" t="s">
        <v>334</v>
      </c>
      <c r="D116" s="165" t="s">
        <v>104</v>
      </c>
      <c r="E116" s="165" t="s">
        <v>334</v>
      </c>
      <c r="F116" s="165" t="s">
        <v>287</v>
      </c>
    </row>
    <row r="117" spans="1:6" ht="15.6">
      <c r="A117" s="165" t="s">
        <v>262</v>
      </c>
      <c r="B117" s="165" t="s">
        <v>297</v>
      </c>
      <c r="C117" s="165" t="s">
        <v>335</v>
      </c>
      <c r="D117" s="165" t="s">
        <v>104</v>
      </c>
      <c r="E117" s="165" t="s">
        <v>335</v>
      </c>
      <c r="F117" s="165" t="s">
        <v>287</v>
      </c>
    </row>
    <row r="118" spans="1:6" ht="15.6">
      <c r="A118" s="165" t="s">
        <v>262</v>
      </c>
      <c r="B118" s="165" t="s">
        <v>297</v>
      </c>
      <c r="C118" s="165" t="s">
        <v>336</v>
      </c>
      <c r="D118" s="165" t="s">
        <v>99</v>
      </c>
      <c r="E118" s="165" t="s">
        <v>336</v>
      </c>
      <c r="F118" s="165" t="s">
        <v>99</v>
      </c>
    </row>
    <row r="119" spans="1:6" ht="15.6">
      <c r="A119" s="165" t="s">
        <v>262</v>
      </c>
      <c r="B119" s="165" t="s">
        <v>297</v>
      </c>
      <c r="C119" s="165" t="s">
        <v>336</v>
      </c>
      <c r="D119" s="165" t="s">
        <v>104</v>
      </c>
      <c r="E119" s="165" t="s">
        <v>336</v>
      </c>
      <c r="F119" s="165" t="s">
        <v>287</v>
      </c>
    </row>
    <row r="120" spans="1:6" ht="15.6">
      <c r="A120" s="165" t="s">
        <v>262</v>
      </c>
      <c r="B120" s="165" t="s">
        <v>297</v>
      </c>
      <c r="C120" s="165" t="s">
        <v>337</v>
      </c>
      <c r="D120" s="165" t="s">
        <v>104</v>
      </c>
      <c r="E120" s="165" t="s">
        <v>337</v>
      </c>
      <c r="F120" s="165" t="s">
        <v>287</v>
      </c>
    </row>
    <row r="121" spans="1:6" ht="15.6">
      <c r="A121" s="165" t="s">
        <v>262</v>
      </c>
      <c r="B121" s="165" t="s">
        <v>297</v>
      </c>
      <c r="C121" s="165" t="s">
        <v>338</v>
      </c>
      <c r="D121" s="165" t="s">
        <v>99</v>
      </c>
      <c r="E121" s="165" t="s">
        <v>338</v>
      </c>
      <c r="F121" s="165" t="s">
        <v>99</v>
      </c>
    </row>
    <row r="122" spans="1:6" ht="15.6">
      <c r="A122" s="165" t="s">
        <v>262</v>
      </c>
      <c r="B122" s="165" t="s">
        <v>297</v>
      </c>
      <c r="C122" s="165" t="s">
        <v>338</v>
      </c>
      <c r="D122" s="165" t="s">
        <v>104</v>
      </c>
      <c r="E122" s="165" t="s">
        <v>338</v>
      </c>
      <c r="F122" s="165" t="s">
        <v>287</v>
      </c>
    </row>
    <row r="123" spans="1:6" ht="15.6">
      <c r="A123" s="165" t="s">
        <v>262</v>
      </c>
      <c r="B123" s="165" t="s">
        <v>297</v>
      </c>
      <c r="C123" s="165" t="s">
        <v>339</v>
      </c>
      <c r="D123" s="165" t="s">
        <v>104</v>
      </c>
      <c r="E123" s="165" t="s">
        <v>339</v>
      </c>
      <c r="F123" s="165" t="s">
        <v>287</v>
      </c>
    </row>
    <row r="124" spans="1:6" ht="15.6">
      <c r="A124" s="165" t="s">
        <v>262</v>
      </c>
      <c r="B124" s="165" t="s">
        <v>297</v>
      </c>
      <c r="C124" s="165" t="s">
        <v>340</v>
      </c>
      <c r="D124" s="165" t="s">
        <v>99</v>
      </c>
      <c r="E124" s="165" t="s">
        <v>340</v>
      </c>
      <c r="F124" s="165" t="s">
        <v>99</v>
      </c>
    </row>
    <row r="125" spans="1:6" ht="15.6">
      <c r="A125" s="165" t="s">
        <v>262</v>
      </c>
      <c r="B125" s="165" t="s">
        <v>297</v>
      </c>
      <c r="C125" s="165" t="s">
        <v>340</v>
      </c>
      <c r="D125" s="165" t="s">
        <v>104</v>
      </c>
      <c r="E125" s="165" t="s">
        <v>340</v>
      </c>
      <c r="F125" s="165" t="s">
        <v>287</v>
      </c>
    </row>
    <row r="126" spans="1:6" ht="15.6">
      <c r="A126" s="165" t="s">
        <v>262</v>
      </c>
      <c r="B126" s="165" t="s">
        <v>297</v>
      </c>
      <c r="C126" s="165" t="s">
        <v>341</v>
      </c>
      <c r="D126" s="165" t="s">
        <v>104</v>
      </c>
      <c r="E126" s="165" t="s">
        <v>341</v>
      </c>
      <c r="F126" s="165" t="s">
        <v>287</v>
      </c>
    </row>
    <row r="127" spans="1:6" ht="15.6">
      <c r="A127" s="165" t="s">
        <v>262</v>
      </c>
      <c r="B127" s="165" t="s">
        <v>297</v>
      </c>
      <c r="C127" s="165" t="s">
        <v>342</v>
      </c>
      <c r="D127" s="165" t="s">
        <v>99</v>
      </c>
      <c r="E127" s="165" t="s">
        <v>342</v>
      </c>
      <c r="F127" s="165" t="s">
        <v>99</v>
      </c>
    </row>
    <row r="128" spans="1:6" ht="15.6">
      <c r="A128" s="165" t="s">
        <v>262</v>
      </c>
      <c r="B128" s="165" t="s">
        <v>297</v>
      </c>
      <c r="C128" s="165" t="s">
        <v>342</v>
      </c>
      <c r="D128" s="165" t="s">
        <v>104</v>
      </c>
      <c r="E128" s="165" t="s">
        <v>342</v>
      </c>
      <c r="F128" s="165" t="s">
        <v>287</v>
      </c>
    </row>
    <row r="129" spans="1:6" ht="15.6">
      <c r="A129" s="165" t="s">
        <v>262</v>
      </c>
      <c r="B129" s="165" t="s">
        <v>297</v>
      </c>
      <c r="C129" s="165" t="s">
        <v>343</v>
      </c>
      <c r="D129" s="165" t="s">
        <v>104</v>
      </c>
      <c r="E129" s="165" t="s">
        <v>343</v>
      </c>
      <c r="F129" s="165" t="s">
        <v>287</v>
      </c>
    </row>
    <row r="130" spans="1:6" ht="15.6">
      <c r="A130" s="165" t="s">
        <v>262</v>
      </c>
      <c r="B130" s="165" t="s">
        <v>297</v>
      </c>
      <c r="C130" s="165" t="s">
        <v>344</v>
      </c>
      <c r="D130" s="165" t="s">
        <v>99</v>
      </c>
      <c r="E130" s="165" t="s">
        <v>344</v>
      </c>
      <c r="F130" s="165" t="s">
        <v>99</v>
      </c>
    </row>
    <row r="131" spans="1:6" ht="15.6">
      <c r="A131" s="165" t="s">
        <v>262</v>
      </c>
      <c r="B131" s="165" t="s">
        <v>297</v>
      </c>
      <c r="C131" s="165" t="s">
        <v>344</v>
      </c>
      <c r="D131" s="165" t="s">
        <v>104</v>
      </c>
      <c r="E131" s="165" t="s">
        <v>344</v>
      </c>
      <c r="F131" s="165" t="s">
        <v>287</v>
      </c>
    </row>
    <row r="132" spans="1:6" ht="15.6">
      <c r="A132" s="165" t="s">
        <v>262</v>
      </c>
      <c r="B132" s="165" t="s">
        <v>297</v>
      </c>
      <c r="C132" s="165" t="s">
        <v>345</v>
      </c>
      <c r="D132" s="165" t="s">
        <v>104</v>
      </c>
      <c r="E132" s="165" t="s">
        <v>345</v>
      </c>
      <c r="F132" s="165" t="s">
        <v>287</v>
      </c>
    </row>
    <row r="133" spans="1:6" ht="15.6">
      <c r="A133" s="165" t="s">
        <v>262</v>
      </c>
      <c r="B133" s="165" t="s">
        <v>259</v>
      </c>
      <c r="C133" s="165" t="s">
        <v>346</v>
      </c>
      <c r="D133" s="165" t="s">
        <v>66</v>
      </c>
      <c r="E133" s="165" t="s">
        <v>346</v>
      </c>
      <c r="F133" s="165" t="s">
        <v>134</v>
      </c>
    </row>
    <row r="134" spans="1:6" ht="15.6">
      <c r="A134" s="165" t="s">
        <v>262</v>
      </c>
      <c r="B134" s="165" t="s">
        <v>259</v>
      </c>
      <c r="C134" s="165" t="s">
        <v>347</v>
      </c>
      <c r="D134" s="165" t="s">
        <v>66</v>
      </c>
      <c r="E134" s="165" t="s">
        <v>347</v>
      </c>
      <c r="F134" s="165" t="s">
        <v>134</v>
      </c>
    </row>
    <row r="135" spans="1:6" ht="15.6">
      <c r="A135" s="165" t="s">
        <v>262</v>
      </c>
      <c r="B135" s="165" t="s">
        <v>259</v>
      </c>
      <c r="C135" s="165" t="s">
        <v>348</v>
      </c>
      <c r="D135" s="165" t="s">
        <v>66</v>
      </c>
      <c r="E135" s="165" t="s">
        <v>348</v>
      </c>
      <c r="F135" s="165" t="s">
        <v>134</v>
      </c>
    </row>
    <row r="136" spans="1:6" ht="15.6">
      <c r="A136" s="165" t="s">
        <v>262</v>
      </c>
      <c r="B136" s="165" t="s">
        <v>259</v>
      </c>
      <c r="C136" s="165" t="s">
        <v>280</v>
      </c>
      <c r="D136" s="165" t="s">
        <v>66</v>
      </c>
      <c r="E136" s="165" t="s">
        <v>280</v>
      </c>
      <c r="F136" s="165" t="s">
        <v>134</v>
      </c>
    </row>
    <row r="137" spans="1:6" ht="15.6">
      <c r="A137" s="165" t="s">
        <v>262</v>
      </c>
      <c r="B137" s="165" t="s">
        <v>259</v>
      </c>
      <c r="C137" s="165" t="s">
        <v>303</v>
      </c>
      <c r="D137" s="165" t="s">
        <v>66</v>
      </c>
      <c r="E137" s="165" t="s">
        <v>303</v>
      </c>
      <c r="F137" s="165" t="s">
        <v>134</v>
      </c>
    </row>
    <row r="138" spans="1:6" ht="15.6">
      <c r="A138" s="165" t="s">
        <v>262</v>
      </c>
      <c r="B138" s="165" t="s">
        <v>259</v>
      </c>
      <c r="C138" s="165" t="s">
        <v>349</v>
      </c>
      <c r="D138" s="165" t="s">
        <v>66</v>
      </c>
      <c r="E138" s="165" t="s">
        <v>349</v>
      </c>
      <c r="F138" s="165" t="s">
        <v>134</v>
      </c>
    </row>
    <row r="139" spans="1:6" ht="15.6">
      <c r="A139" s="165" t="s">
        <v>262</v>
      </c>
      <c r="B139" s="165" t="s">
        <v>259</v>
      </c>
      <c r="C139" s="165" t="s">
        <v>265</v>
      </c>
      <c r="D139" s="165" t="s">
        <v>66</v>
      </c>
      <c r="E139" s="165" t="s">
        <v>265</v>
      </c>
      <c r="F139" s="165" t="s">
        <v>134</v>
      </c>
    </row>
    <row r="140" spans="1:6" ht="15.6">
      <c r="A140" s="165" t="s">
        <v>262</v>
      </c>
      <c r="B140" s="165" t="s">
        <v>259</v>
      </c>
      <c r="C140" s="165" t="s">
        <v>268</v>
      </c>
      <c r="D140" s="165" t="s">
        <v>66</v>
      </c>
      <c r="E140" s="165" t="s">
        <v>268</v>
      </c>
      <c r="F140" s="165" t="s">
        <v>134</v>
      </c>
    </row>
    <row r="141" spans="1:6" ht="15.6">
      <c r="A141" s="165" t="s">
        <v>262</v>
      </c>
      <c r="B141" s="165" t="s">
        <v>259</v>
      </c>
      <c r="C141" s="165" t="s">
        <v>350</v>
      </c>
      <c r="D141" s="165" t="s">
        <v>66</v>
      </c>
      <c r="E141" s="165" t="s">
        <v>350</v>
      </c>
      <c r="F141" s="165" t="s">
        <v>134</v>
      </c>
    </row>
    <row r="142" spans="1:6" ht="15.6">
      <c r="A142" s="165" t="s">
        <v>262</v>
      </c>
      <c r="B142" s="165" t="s">
        <v>259</v>
      </c>
      <c r="C142" s="165" t="s">
        <v>351</v>
      </c>
      <c r="D142" s="165" t="s">
        <v>66</v>
      </c>
      <c r="E142" s="165" t="s">
        <v>351</v>
      </c>
      <c r="F142" s="165" t="s">
        <v>134</v>
      </c>
    </row>
    <row r="143" spans="1:6" ht="15.6">
      <c r="A143" s="165" t="s">
        <v>262</v>
      </c>
      <c r="B143" s="165" t="s">
        <v>259</v>
      </c>
      <c r="C143" s="165" t="s">
        <v>352</v>
      </c>
      <c r="D143" s="165" t="s">
        <v>66</v>
      </c>
      <c r="E143" s="165" t="s">
        <v>352</v>
      </c>
      <c r="F143" s="165" t="s">
        <v>134</v>
      </c>
    </row>
    <row r="144" spans="1:6" ht="15.6">
      <c r="A144" s="165" t="s">
        <v>262</v>
      </c>
      <c r="B144" s="165" t="s">
        <v>259</v>
      </c>
      <c r="C144" s="165" t="s">
        <v>353</v>
      </c>
      <c r="D144" s="165" t="s">
        <v>66</v>
      </c>
      <c r="E144" s="165" t="s">
        <v>353</v>
      </c>
      <c r="F144" s="165" t="s">
        <v>134</v>
      </c>
    </row>
    <row r="145" spans="1:6" ht="15.6">
      <c r="A145" s="165" t="s">
        <v>262</v>
      </c>
      <c r="B145" s="165" t="s">
        <v>259</v>
      </c>
      <c r="C145" s="165" t="s">
        <v>354</v>
      </c>
      <c r="D145" s="165" t="s">
        <v>66</v>
      </c>
      <c r="E145" s="165" t="s">
        <v>354</v>
      </c>
      <c r="F145" s="165" t="s">
        <v>134</v>
      </c>
    </row>
    <row r="146" spans="1:6" ht="15.6">
      <c r="A146" s="165" t="s">
        <v>262</v>
      </c>
      <c r="B146" s="165" t="s">
        <v>259</v>
      </c>
      <c r="C146" s="165" t="s">
        <v>286</v>
      </c>
      <c r="D146" s="165" t="s">
        <v>66</v>
      </c>
      <c r="E146" s="165" t="s">
        <v>286</v>
      </c>
      <c r="F146" s="165" t="s">
        <v>134</v>
      </c>
    </row>
    <row r="147" spans="1:6" ht="15.6">
      <c r="A147" s="165" t="s">
        <v>262</v>
      </c>
      <c r="B147" s="165" t="s">
        <v>259</v>
      </c>
      <c r="C147" s="165" t="s">
        <v>355</v>
      </c>
      <c r="D147" s="165" t="s">
        <v>66</v>
      </c>
      <c r="E147" s="165" t="s">
        <v>355</v>
      </c>
      <c r="F147" s="165" t="s">
        <v>134</v>
      </c>
    </row>
    <row r="148" spans="1:6" ht="15.6">
      <c r="A148" s="165" t="s">
        <v>262</v>
      </c>
      <c r="B148" s="165" t="s">
        <v>259</v>
      </c>
      <c r="C148" s="165" t="s">
        <v>356</v>
      </c>
      <c r="D148" s="165" t="s">
        <v>66</v>
      </c>
      <c r="E148" s="165" t="s">
        <v>356</v>
      </c>
      <c r="F148" s="165" t="s">
        <v>134</v>
      </c>
    </row>
    <row r="149" spans="1:6" ht="15.6">
      <c r="A149" s="165" t="s">
        <v>262</v>
      </c>
      <c r="B149" s="165" t="s">
        <v>259</v>
      </c>
      <c r="C149" s="165" t="s">
        <v>357</v>
      </c>
      <c r="D149" s="165" t="s">
        <v>66</v>
      </c>
      <c r="E149" s="165" t="s">
        <v>357</v>
      </c>
      <c r="F149" s="165" t="s">
        <v>134</v>
      </c>
    </row>
    <row r="150" spans="1:6" ht="15.6">
      <c r="A150" s="165" t="s">
        <v>262</v>
      </c>
      <c r="B150" s="165" t="s">
        <v>259</v>
      </c>
      <c r="C150" s="165" t="s">
        <v>358</v>
      </c>
      <c r="D150" s="165" t="s">
        <v>66</v>
      </c>
      <c r="E150" s="165" t="s">
        <v>358</v>
      </c>
      <c r="F150" s="165" t="s">
        <v>134</v>
      </c>
    </row>
    <row r="151" spans="1:6" ht="15.6">
      <c r="A151" s="165" t="s">
        <v>262</v>
      </c>
      <c r="B151" s="165" t="s">
        <v>259</v>
      </c>
      <c r="C151" s="165" t="s">
        <v>359</v>
      </c>
      <c r="D151" s="165" t="s">
        <v>140</v>
      </c>
      <c r="E151" s="165" t="s">
        <v>360</v>
      </c>
      <c r="F151" s="165" t="s">
        <v>361</v>
      </c>
    </row>
    <row r="152" spans="1:6" ht="15.6">
      <c r="A152" s="165" t="s">
        <v>262</v>
      </c>
      <c r="B152" s="165" t="s">
        <v>259</v>
      </c>
      <c r="C152" s="165" t="s">
        <v>362</v>
      </c>
      <c r="D152" s="165" t="s">
        <v>140</v>
      </c>
      <c r="E152" s="165" t="s">
        <v>362</v>
      </c>
      <c r="F152" s="165" t="s">
        <v>361</v>
      </c>
    </row>
    <row r="153" spans="1:6" ht="15.6">
      <c r="A153" s="165" t="s">
        <v>262</v>
      </c>
      <c r="B153" s="165" t="s">
        <v>259</v>
      </c>
      <c r="C153" s="165" t="s">
        <v>363</v>
      </c>
      <c r="D153" s="165" t="s">
        <v>126</v>
      </c>
      <c r="E153" s="165" t="s">
        <v>363</v>
      </c>
      <c r="F153" s="165" t="s">
        <v>130</v>
      </c>
    </row>
    <row r="154" spans="1:6" ht="15.6">
      <c r="A154" s="165" t="s">
        <v>262</v>
      </c>
      <c r="B154" s="165" t="s">
        <v>259</v>
      </c>
      <c r="C154" s="165" t="s">
        <v>364</v>
      </c>
      <c r="D154" s="165" t="s">
        <v>126</v>
      </c>
      <c r="E154" s="165" t="s">
        <v>364</v>
      </c>
      <c r="F154" s="165" t="s">
        <v>130</v>
      </c>
    </row>
    <row r="155" spans="1:6" ht="15.6">
      <c r="A155" s="165" t="s">
        <v>262</v>
      </c>
      <c r="B155" s="165" t="s">
        <v>259</v>
      </c>
      <c r="C155" s="165" t="s">
        <v>365</v>
      </c>
      <c r="D155" s="165" t="s">
        <v>126</v>
      </c>
      <c r="E155" s="165" t="s">
        <v>365</v>
      </c>
      <c r="F155" s="165" t="s">
        <v>130</v>
      </c>
    </row>
    <row r="156" spans="1:6" ht="15.6">
      <c r="A156" s="165" t="s">
        <v>262</v>
      </c>
      <c r="B156" s="165" t="s">
        <v>259</v>
      </c>
      <c r="C156" s="165" t="s">
        <v>366</v>
      </c>
      <c r="D156" s="165" t="s">
        <v>126</v>
      </c>
      <c r="E156" s="165" t="s">
        <v>366</v>
      </c>
      <c r="F156" s="165" t="s">
        <v>130</v>
      </c>
    </row>
    <row r="157" spans="1:6" ht="15.6">
      <c r="A157" s="165" t="s">
        <v>262</v>
      </c>
      <c r="B157" s="165" t="s">
        <v>259</v>
      </c>
      <c r="C157" s="165" t="s">
        <v>367</v>
      </c>
      <c r="D157" s="165" t="s">
        <v>126</v>
      </c>
      <c r="E157" s="165" t="s">
        <v>367</v>
      </c>
      <c r="F157" s="165" t="s">
        <v>130</v>
      </c>
    </row>
    <row r="158" spans="1:6" ht="15.6">
      <c r="A158" s="165" t="s">
        <v>262</v>
      </c>
      <c r="B158" s="165" t="s">
        <v>259</v>
      </c>
      <c r="C158" s="165" t="s">
        <v>368</v>
      </c>
      <c r="D158" s="165" t="s">
        <v>126</v>
      </c>
      <c r="E158" s="165" t="s">
        <v>368</v>
      </c>
      <c r="F158" s="165" t="s">
        <v>130</v>
      </c>
    </row>
    <row r="159" spans="1:6" ht="15.6">
      <c r="A159" s="165" t="s">
        <v>262</v>
      </c>
      <c r="B159" s="165" t="s">
        <v>259</v>
      </c>
      <c r="C159" s="165" t="s">
        <v>369</v>
      </c>
      <c r="D159" s="165" t="s">
        <v>126</v>
      </c>
      <c r="E159" s="165" t="s">
        <v>369</v>
      </c>
      <c r="F159" s="165" t="s">
        <v>130</v>
      </c>
    </row>
    <row r="160" spans="1:6" ht="15.6">
      <c r="A160" s="165" t="s">
        <v>262</v>
      </c>
      <c r="B160" s="165" t="s">
        <v>259</v>
      </c>
      <c r="C160" s="165" t="s">
        <v>370</v>
      </c>
      <c r="D160" s="165" t="s">
        <v>126</v>
      </c>
      <c r="E160" s="165" t="s">
        <v>370</v>
      </c>
      <c r="F160" s="165" t="s">
        <v>130</v>
      </c>
    </row>
    <row r="161" spans="1:6" ht="15.6">
      <c r="A161" s="165" t="s">
        <v>262</v>
      </c>
      <c r="B161" s="165" t="s">
        <v>261</v>
      </c>
      <c r="C161" s="165" t="s">
        <v>296</v>
      </c>
      <c r="D161" s="165" t="s">
        <v>104</v>
      </c>
      <c r="E161" s="165" t="s">
        <v>278</v>
      </c>
      <c r="F161" s="165" t="s">
        <v>287</v>
      </c>
    </row>
    <row r="162" spans="1:6" ht="15.6">
      <c r="A162" s="165" t="s">
        <v>262</v>
      </c>
      <c r="B162" s="165" t="s">
        <v>261</v>
      </c>
      <c r="C162" s="165" t="s">
        <v>273</v>
      </c>
      <c r="D162" s="165" t="s">
        <v>55</v>
      </c>
      <c r="E162" s="165" t="s">
        <v>324</v>
      </c>
      <c r="F162" s="165" t="s">
        <v>66</v>
      </c>
    </row>
    <row r="163" spans="1:6" ht="15.6">
      <c r="A163" s="165" t="s">
        <v>262</v>
      </c>
      <c r="B163" s="165" t="s">
        <v>261</v>
      </c>
      <c r="C163" s="165" t="s">
        <v>371</v>
      </c>
      <c r="D163" s="165" t="s">
        <v>99</v>
      </c>
      <c r="E163" s="165" t="s">
        <v>371</v>
      </c>
      <c r="F163" s="165" t="s">
        <v>99</v>
      </c>
    </row>
    <row r="164" spans="1:6" ht="15.6">
      <c r="A164" s="165" t="s">
        <v>262</v>
      </c>
      <c r="B164" s="165" t="s">
        <v>261</v>
      </c>
      <c r="C164" s="165" t="s">
        <v>371</v>
      </c>
      <c r="D164" s="165" t="s">
        <v>104</v>
      </c>
      <c r="E164" s="165" t="s">
        <v>371</v>
      </c>
      <c r="F164" s="165" t="s">
        <v>287</v>
      </c>
    </row>
    <row r="165" spans="1:6" ht="15.6">
      <c r="A165" s="165" t="s">
        <v>262</v>
      </c>
      <c r="B165" s="165" t="s">
        <v>261</v>
      </c>
      <c r="C165" s="165" t="s">
        <v>301</v>
      </c>
      <c r="D165" s="165" t="s">
        <v>104</v>
      </c>
      <c r="E165" s="165" t="s">
        <v>301</v>
      </c>
      <c r="F165" s="165" t="s">
        <v>287</v>
      </c>
    </row>
    <row r="166" spans="1:6" ht="15.6">
      <c r="A166" s="165" t="s">
        <v>262</v>
      </c>
      <c r="B166" s="165" t="s">
        <v>261</v>
      </c>
      <c r="C166" s="165" t="s">
        <v>372</v>
      </c>
      <c r="D166" s="165" t="s">
        <v>99</v>
      </c>
      <c r="E166" s="165" t="s">
        <v>372</v>
      </c>
      <c r="F166" s="165" t="s">
        <v>99</v>
      </c>
    </row>
    <row r="167" spans="1:6" ht="15.6">
      <c r="A167" s="165" t="s">
        <v>262</v>
      </c>
      <c r="B167" s="165" t="s">
        <v>261</v>
      </c>
      <c r="C167" s="165" t="s">
        <v>372</v>
      </c>
      <c r="D167" s="165" t="s">
        <v>104</v>
      </c>
      <c r="E167" s="165" t="s">
        <v>372</v>
      </c>
      <c r="F167" s="165" t="s">
        <v>287</v>
      </c>
    </row>
    <row r="168" spans="1:6" ht="15.6">
      <c r="A168" s="165" t="s">
        <v>262</v>
      </c>
      <c r="B168" s="165" t="s">
        <v>261</v>
      </c>
      <c r="C168" s="165" t="s">
        <v>373</v>
      </c>
      <c r="D168" s="165" t="s">
        <v>104</v>
      </c>
      <c r="E168" s="165" t="s">
        <v>373</v>
      </c>
      <c r="F168" s="165" t="s">
        <v>287</v>
      </c>
    </row>
    <row r="169" spans="1:6" ht="15.6">
      <c r="A169" s="165" t="s">
        <v>262</v>
      </c>
      <c r="B169" s="165" t="s">
        <v>261</v>
      </c>
      <c r="C169" s="165" t="s">
        <v>374</v>
      </c>
      <c r="D169" s="165" t="s">
        <v>99</v>
      </c>
      <c r="E169" s="165" t="s">
        <v>374</v>
      </c>
      <c r="F169" s="165" t="s">
        <v>99</v>
      </c>
    </row>
    <row r="170" spans="1:6" ht="15.6">
      <c r="A170" s="165" t="s">
        <v>262</v>
      </c>
      <c r="B170" s="165" t="s">
        <v>261</v>
      </c>
      <c r="C170" s="165" t="s">
        <v>374</v>
      </c>
      <c r="D170" s="165" t="s">
        <v>104</v>
      </c>
      <c r="E170" s="165" t="s">
        <v>374</v>
      </c>
      <c r="F170" s="165" t="s">
        <v>287</v>
      </c>
    </row>
    <row r="171" spans="1:6" ht="15.6">
      <c r="A171" s="165" t="s">
        <v>262</v>
      </c>
      <c r="B171" s="165" t="s">
        <v>261</v>
      </c>
      <c r="C171" s="165" t="s">
        <v>375</v>
      </c>
      <c r="D171" s="165" t="s">
        <v>104</v>
      </c>
      <c r="E171" s="165" t="s">
        <v>375</v>
      </c>
      <c r="F171" s="165" t="s">
        <v>287</v>
      </c>
    </row>
    <row r="172" spans="1:6" ht="15.6">
      <c r="A172" s="165" t="s">
        <v>262</v>
      </c>
      <c r="B172" s="165" t="s">
        <v>261</v>
      </c>
      <c r="C172" s="165" t="s">
        <v>376</v>
      </c>
      <c r="D172" s="165" t="s">
        <v>99</v>
      </c>
      <c r="E172" s="165" t="s">
        <v>376</v>
      </c>
      <c r="F172" s="165" t="s">
        <v>99</v>
      </c>
    </row>
    <row r="173" spans="1:6" ht="15.6">
      <c r="A173" s="165" t="s">
        <v>262</v>
      </c>
      <c r="B173" s="165" t="s">
        <v>261</v>
      </c>
      <c r="C173" s="165" t="s">
        <v>376</v>
      </c>
      <c r="D173" s="165" t="s">
        <v>104</v>
      </c>
      <c r="E173" s="165" t="s">
        <v>376</v>
      </c>
      <c r="F173" s="165" t="s">
        <v>287</v>
      </c>
    </row>
    <row r="174" spans="1:6" ht="15.6">
      <c r="A174" s="165" t="s">
        <v>262</v>
      </c>
      <c r="B174" s="165" t="s">
        <v>261</v>
      </c>
      <c r="C174" s="165" t="s">
        <v>349</v>
      </c>
      <c r="D174" s="165" t="s">
        <v>104</v>
      </c>
      <c r="E174" s="165" t="s">
        <v>349</v>
      </c>
      <c r="F174" s="165" t="s">
        <v>287</v>
      </c>
    </row>
    <row r="175" spans="1:6" ht="15.6">
      <c r="A175" s="165" t="s">
        <v>262</v>
      </c>
      <c r="B175" s="165" t="s">
        <v>261</v>
      </c>
      <c r="C175" s="165" t="s">
        <v>377</v>
      </c>
      <c r="D175" s="165" t="s">
        <v>99</v>
      </c>
      <c r="E175" s="165" t="s">
        <v>377</v>
      </c>
      <c r="F175" s="165" t="s">
        <v>99</v>
      </c>
    </row>
    <row r="176" spans="1:6" ht="15.6">
      <c r="A176" s="165" t="s">
        <v>262</v>
      </c>
      <c r="B176" s="165" t="s">
        <v>261</v>
      </c>
      <c r="C176" s="165" t="s">
        <v>377</v>
      </c>
      <c r="D176" s="165" t="s">
        <v>104</v>
      </c>
      <c r="E176" s="165" t="s">
        <v>377</v>
      </c>
      <c r="F176" s="165" t="s">
        <v>287</v>
      </c>
    </row>
    <row r="177" spans="1:6" ht="15.6">
      <c r="A177" s="165" t="s">
        <v>262</v>
      </c>
      <c r="B177" s="165" t="s">
        <v>261</v>
      </c>
      <c r="C177" s="165" t="s">
        <v>266</v>
      </c>
      <c r="D177" s="165" t="s">
        <v>104</v>
      </c>
      <c r="E177" s="165" t="s">
        <v>266</v>
      </c>
      <c r="F177" s="165" t="s">
        <v>287</v>
      </c>
    </row>
    <row r="178" spans="1:6" ht="15.6">
      <c r="A178" s="165" t="s">
        <v>262</v>
      </c>
      <c r="B178" s="165" t="s">
        <v>261</v>
      </c>
      <c r="C178" s="165" t="s">
        <v>308</v>
      </c>
      <c r="D178" s="165" t="s">
        <v>99</v>
      </c>
      <c r="E178" s="165" t="s">
        <v>308</v>
      </c>
      <c r="F178" s="165" t="s">
        <v>99</v>
      </c>
    </row>
    <row r="179" spans="1:6" ht="15.6">
      <c r="A179" s="165" t="s">
        <v>262</v>
      </c>
      <c r="B179" s="165" t="s">
        <v>261</v>
      </c>
      <c r="C179" s="165" t="s">
        <v>308</v>
      </c>
      <c r="D179" s="165" t="s">
        <v>104</v>
      </c>
      <c r="E179" s="165" t="s">
        <v>308</v>
      </c>
      <c r="F179" s="165" t="s">
        <v>287</v>
      </c>
    </row>
    <row r="180" spans="1:6" ht="15.6">
      <c r="A180" s="165" t="s">
        <v>262</v>
      </c>
      <c r="B180" s="165" t="s">
        <v>261</v>
      </c>
      <c r="C180" s="165" t="s">
        <v>378</v>
      </c>
      <c r="D180" s="165" t="s">
        <v>104</v>
      </c>
      <c r="E180" s="165" t="s">
        <v>378</v>
      </c>
      <c r="F180" s="165" t="s">
        <v>287</v>
      </c>
    </row>
    <row r="181" spans="1:6" ht="15.6">
      <c r="A181" s="165" t="s">
        <v>262</v>
      </c>
      <c r="B181" s="165" t="s">
        <v>261</v>
      </c>
      <c r="C181" s="165" t="s">
        <v>379</v>
      </c>
      <c r="D181" s="165" t="s">
        <v>99</v>
      </c>
      <c r="E181" s="165" t="s">
        <v>379</v>
      </c>
      <c r="F181" s="165" t="s">
        <v>99</v>
      </c>
    </row>
    <row r="182" spans="1:6" ht="15.6">
      <c r="A182" s="165" t="s">
        <v>262</v>
      </c>
      <c r="B182" s="165" t="s">
        <v>261</v>
      </c>
      <c r="C182" s="165" t="s">
        <v>379</v>
      </c>
      <c r="D182" s="165" t="s">
        <v>104</v>
      </c>
      <c r="E182" s="165" t="s">
        <v>379</v>
      </c>
      <c r="F182" s="165" t="s">
        <v>287</v>
      </c>
    </row>
    <row r="183" spans="1:6" ht="15.6">
      <c r="A183" s="165" t="s">
        <v>262</v>
      </c>
      <c r="B183" s="165" t="s">
        <v>261</v>
      </c>
      <c r="C183" s="165" t="s">
        <v>380</v>
      </c>
      <c r="D183" s="165" t="s">
        <v>104</v>
      </c>
      <c r="E183" s="165" t="s">
        <v>380</v>
      </c>
      <c r="F183" s="165" t="s">
        <v>287</v>
      </c>
    </row>
    <row r="184" spans="1:6" ht="15.6">
      <c r="A184" s="165" t="s">
        <v>262</v>
      </c>
      <c r="B184" s="165" t="s">
        <v>261</v>
      </c>
      <c r="C184" s="165" t="s">
        <v>381</v>
      </c>
      <c r="D184" s="165" t="s">
        <v>99</v>
      </c>
      <c r="E184" s="165" t="s">
        <v>381</v>
      </c>
      <c r="F184" s="165" t="s">
        <v>99</v>
      </c>
    </row>
    <row r="185" spans="1:6" ht="15.6">
      <c r="A185" s="165" t="s">
        <v>262</v>
      </c>
      <c r="B185" s="165" t="s">
        <v>261</v>
      </c>
      <c r="C185" s="165" t="s">
        <v>381</v>
      </c>
      <c r="D185" s="165" t="s">
        <v>104</v>
      </c>
      <c r="E185" s="165" t="s">
        <v>381</v>
      </c>
      <c r="F185" s="165" t="s">
        <v>287</v>
      </c>
    </row>
    <row r="186" spans="1:6" ht="15.6">
      <c r="A186" s="165" t="s">
        <v>262</v>
      </c>
      <c r="B186" s="165" t="s">
        <v>261</v>
      </c>
      <c r="C186" s="165" t="s">
        <v>352</v>
      </c>
      <c r="D186" s="165" t="s">
        <v>104</v>
      </c>
      <c r="E186" s="165" t="s">
        <v>352</v>
      </c>
      <c r="F186" s="165" t="s">
        <v>287</v>
      </c>
    </row>
    <row r="187" spans="1:6" ht="15.6">
      <c r="A187" s="165" t="s">
        <v>262</v>
      </c>
      <c r="B187" s="165" t="s">
        <v>261</v>
      </c>
      <c r="C187" s="165" t="s">
        <v>312</v>
      </c>
      <c r="D187" s="165" t="s">
        <v>99</v>
      </c>
      <c r="E187" s="165" t="s">
        <v>312</v>
      </c>
      <c r="F187" s="165" t="s">
        <v>99</v>
      </c>
    </row>
    <row r="188" spans="1:6" ht="15.6">
      <c r="A188" s="165" t="s">
        <v>262</v>
      </c>
      <c r="B188" s="165" t="s">
        <v>261</v>
      </c>
      <c r="C188" s="165" t="s">
        <v>312</v>
      </c>
      <c r="D188" s="165" t="s">
        <v>104</v>
      </c>
      <c r="E188" s="165" t="s">
        <v>312</v>
      </c>
      <c r="F188" s="165" t="s">
        <v>287</v>
      </c>
    </row>
    <row r="189" spans="1:6" ht="15.6">
      <c r="A189" s="165" t="s">
        <v>262</v>
      </c>
      <c r="B189" s="165" t="s">
        <v>261</v>
      </c>
      <c r="C189" s="165" t="s">
        <v>313</v>
      </c>
      <c r="D189" s="165" t="s">
        <v>104</v>
      </c>
      <c r="E189" s="165" t="s">
        <v>313</v>
      </c>
      <c r="F189" s="165" t="s">
        <v>287</v>
      </c>
    </row>
    <row r="190" spans="1:6" ht="15.6">
      <c r="A190" s="165" t="s">
        <v>262</v>
      </c>
      <c r="B190" s="165" t="s">
        <v>261</v>
      </c>
      <c r="C190" s="165" t="s">
        <v>382</v>
      </c>
      <c r="D190" s="165" t="s">
        <v>99</v>
      </c>
      <c r="E190" s="165" t="s">
        <v>382</v>
      </c>
      <c r="F190" s="165" t="s">
        <v>99</v>
      </c>
    </row>
    <row r="191" spans="1:6" ht="15.6">
      <c r="A191" s="165" t="s">
        <v>262</v>
      </c>
      <c r="B191" s="165" t="s">
        <v>261</v>
      </c>
      <c r="C191" s="165" t="s">
        <v>382</v>
      </c>
      <c r="D191" s="165" t="s">
        <v>104</v>
      </c>
      <c r="E191" s="165" t="s">
        <v>382</v>
      </c>
      <c r="F191" s="165" t="s">
        <v>287</v>
      </c>
    </row>
    <row r="192" spans="1:6" ht="15.6">
      <c r="A192" s="165" t="s">
        <v>262</v>
      </c>
      <c r="B192" s="165" t="s">
        <v>261</v>
      </c>
      <c r="C192" s="165" t="s">
        <v>383</v>
      </c>
      <c r="D192" s="165" t="s">
        <v>104</v>
      </c>
      <c r="E192" s="165" t="s">
        <v>383</v>
      </c>
      <c r="F192" s="165" t="s">
        <v>287</v>
      </c>
    </row>
    <row r="193" spans="1:6" ht="15.6">
      <c r="A193" s="165" t="s">
        <v>262</v>
      </c>
      <c r="B193" s="165" t="s">
        <v>261</v>
      </c>
      <c r="C193" s="165" t="s">
        <v>384</v>
      </c>
      <c r="D193" s="165" t="s">
        <v>99</v>
      </c>
      <c r="E193" s="165" t="s">
        <v>384</v>
      </c>
      <c r="F193" s="165" t="s">
        <v>99</v>
      </c>
    </row>
    <row r="194" spans="1:6" ht="15.6">
      <c r="A194" s="165" t="s">
        <v>262</v>
      </c>
      <c r="B194" s="165" t="s">
        <v>261</v>
      </c>
      <c r="C194" s="165" t="s">
        <v>384</v>
      </c>
      <c r="D194" s="165" t="s">
        <v>104</v>
      </c>
      <c r="E194" s="165" t="s">
        <v>384</v>
      </c>
      <c r="F194" s="165" t="s">
        <v>287</v>
      </c>
    </row>
    <row r="195" spans="1:6" ht="15.6">
      <c r="A195" s="165" t="s">
        <v>262</v>
      </c>
      <c r="B195" s="165" t="s">
        <v>261</v>
      </c>
      <c r="C195" s="165" t="s">
        <v>316</v>
      </c>
      <c r="D195" s="165" t="s">
        <v>104</v>
      </c>
      <c r="E195" s="165" t="s">
        <v>316</v>
      </c>
      <c r="F195" s="165" t="s">
        <v>287</v>
      </c>
    </row>
    <row r="196" spans="1:6" ht="15.6">
      <c r="A196" s="165" t="s">
        <v>262</v>
      </c>
      <c r="B196" s="165" t="s">
        <v>261</v>
      </c>
      <c r="C196" s="165" t="s">
        <v>385</v>
      </c>
      <c r="D196" s="165" t="s">
        <v>99</v>
      </c>
      <c r="E196" s="165" t="s">
        <v>385</v>
      </c>
      <c r="F196" s="165" t="s">
        <v>99</v>
      </c>
    </row>
    <row r="197" spans="1:6" ht="15.6">
      <c r="A197" s="165" t="s">
        <v>262</v>
      </c>
      <c r="B197" s="165" t="s">
        <v>261</v>
      </c>
      <c r="C197" s="165" t="s">
        <v>385</v>
      </c>
      <c r="D197" s="165" t="s">
        <v>104</v>
      </c>
      <c r="E197" s="165" t="s">
        <v>385</v>
      </c>
      <c r="F197" s="165" t="s">
        <v>287</v>
      </c>
    </row>
    <row r="198" spans="1:6" ht="15.6">
      <c r="A198" s="165" t="s">
        <v>262</v>
      </c>
      <c r="B198" s="165" t="s">
        <v>261</v>
      </c>
      <c r="C198" s="165" t="s">
        <v>386</v>
      </c>
      <c r="D198" s="165" t="s">
        <v>104</v>
      </c>
      <c r="E198" s="165" t="s">
        <v>386</v>
      </c>
      <c r="F198" s="165" t="s">
        <v>287</v>
      </c>
    </row>
    <row r="199" spans="1:6" ht="15.6">
      <c r="A199" s="165" t="s">
        <v>262</v>
      </c>
      <c r="B199" s="165" t="s">
        <v>261</v>
      </c>
      <c r="C199" s="165" t="s">
        <v>387</v>
      </c>
      <c r="D199" s="165" t="s">
        <v>99</v>
      </c>
      <c r="E199" s="165" t="s">
        <v>387</v>
      </c>
      <c r="F199" s="165" t="s">
        <v>99</v>
      </c>
    </row>
    <row r="200" spans="1:6" ht="15.6">
      <c r="A200" s="165" t="s">
        <v>262</v>
      </c>
      <c r="B200" s="165" t="s">
        <v>261</v>
      </c>
      <c r="C200" s="165" t="s">
        <v>387</v>
      </c>
      <c r="D200" s="165" t="s">
        <v>104</v>
      </c>
      <c r="E200" s="165" t="s">
        <v>387</v>
      </c>
      <c r="F200" s="165" t="s">
        <v>287</v>
      </c>
    </row>
    <row r="201" spans="1:6" ht="15.6">
      <c r="A201" s="165" t="s">
        <v>262</v>
      </c>
      <c r="B201" s="165" t="s">
        <v>261</v>
      </c>
      <c r="C201" s="165" t="s">
        <v>388</v>
      </c>
      <c r="D201" s="165" t="s">
        <v>104</v>
      </c>
      <c r="E201" s="165" t="s">
        <v>388</v>
      </c>
      <c r="F201" s="165" t="s">
        <v>287</v>
      </c>
    </row>
    <row r="202" spans="1:6" ht="15.6">
      <c r="A202" s="165" t="s">
        <v>262</v>
      </c>
      <c r="B202" s="165" t="s">
        <v>261</v>
      </c>
      <c r="C202" s="165" t="s">
        <v>389</v>
      </c>
      <c r="D202" s="165" t="s">
        <v>99</v>
      </c>
      <c r="E202" s="165" t="s">
        <v>389</v>
      </c>
      <c r="F202" s="165" t="s">
        <v>99</v>
      </c>
    </row>
    <row r="203" spans="1:6" ht="15.6">
      <c r="A203" s="165" t="s">
        <v>262</v>
      </c>
      <c r="B203" s="165" t="s">
        <v>261</v>
      </c>
      <c r="C203" s="165" t="s">
        <v>389</v>
      </c>
      <c r="D203" s="165" t="s">
        <v>104</v>
      </c>
      <c r="E203" s="165" t="s">
        <v>389</v>
      </c>
      <c r="F203" s="165" t="s">
        <v>287</v>
      </c>
    </row>
    <row r="204" spans="1:6" ht="15.6">
      <c r="A204" s="165" t="s">
        <v>262</v>
      </c>
      <c r="B204" s="165" t="s">
        <v>261</v>
      </c>
      <c r="C204" s="165" t="s">
        <v>390</v>
      </c>
      <c r="D204" s="165" t="s">
        <v>104</v>
      </c>
      <c r="E204" s="165" t="s">
        <v>390</v>
      </c>
      <c r="F204" s="165" t="s">
        <v>287</v>
      </c>
    </row>
    <row r="205" spans="1:6" ht="15.6">
      <c r="A205" s="165" t="s">
        <v>262</v>
      </c>
      <c r="B205" s="165" t="s">
        <v>261</v>
      </c>
      <c r="C205" s="165" t="s">
        <v>391</v>
      </c>
      <c r="D205" s="165" t="s">
        <v>99</v>
      </c>
      <c r="E205" s="165" t="s">
        <v>391</v>
      </c>
      <c r="F205" s="165" t="s">
        <v>99</v>
      </c>
    </row>
    <row r="206" spans="1:6" ht="15.6">
      <c r="A206" s="165" t="s">
        <v>262</v>
      </c>
      <c r="B206" s="165" t="s">
        <v>261</v>
      </c>
      <c r="C206" s="165" t="s">
        <v>391</v>
      </c>
      <c r="D206" s="165" t="s">
        <v>104</v>
      </c>
      <c r="E206" s="165" t="s">
        <v>391</v>
      </c>
      <c r="F206" s="165" t="s">
        <v>287</v>
      </c>
    </row>
    <row r="207" spans="1:6" ht="15.6">
      <c r="A207" s="165" t="s">
        <v>262</v>
      </c>
      <c r="B207" s="165" t="s">
        <v>261</v>
      </c>
      <c r="C207" s="165" t="s">
        <v>362</v>
      </c>
      <c r="D207" s="165" t="s">
        <v>104</v>
      </c>
      <c r="E207" s="165" t="s">
        <v>362</v>
      </c>
      <c r="F207" s="165" t="s">
        <v>287</v>
      </c>
    </row>
    <row r="208" spans="1:6" ht="15.6">
      <c r="A208" s="165" t="s">
        <v>262</v>
      </c>
      <c r="B208" s="165" t="s">
        <v>392</v>
      </c>
      <c r="C208" s="165" t="s">
        <v>290</v>
      </c>
      <c r="D208" s="165" t="s">
        <v>66</v>
      </c>
      <c r="E208" s="165" t="s">
        <v>290</v>
      </c>
      <c r="F208" s="165" t="s">
        <v>99</v>
      </c>
    </row>
    <row r="209" spans="1:6" ht="15.6">
      <c r="A209" s="165" t="s">
        <v>262</v>
      </c>
      <c r="B209" s="165" t="s">
        <v>392</v>
      </c>
      <c r="C209" s="165" t="s">
        <v>293</v>
      </c>
      <c r="D209" s="165" t="s">
        <v>66</v>
      </c>
      <c r="E209" s="165" t="s">
        <v>293</v>
      </c>
      <c r="F209" s="165" t="s">
        <v>66</v>
      </c>
    </row>
    <row r="210" spans="1:6" ht="15.6">
      <c r="A210" s="165" t="s">
        <v>262</v>
      </c>
      <c r="B210" s="165" t="s">
        <v>393</v>
      </c>
      <c r="C210" s="165" t="s">
        <v>394</v>
      </c>
      <c r="D210" s="165" t="s">
        <v>66</v>
      </c>
      <c r="E210" s="165" t="s">
        <v>293</v>
      </c>
      <c r="F210" s="165" t="s">
        <v>140</v>
      </c>
    </row>
    <row r="211" spans="1:6" ht="15.6">
      <c r="A211" s="165" t="s">
        <v>262</v>
      </c>
      <c r="B211" s="165" t="s">
        <v>393</v>
      </c>
      <c r="C211" s="165" t="s">
        <v>395</v>
      </c>
      <c r="D211" s="165" t="s">
        <v>130</v>
      </c>
      <c r="E211" s="165" t="s">
        <v>395</v>
      </c>
      <c r="F211" s="165" t="s">
        <v>130</v>
      </c>
    </row>
    <row r="212" spans="1:6" ht="15.6">
      <c r="A212" s="165" t="s">
        <v>262</v>
      </c>
      <c r="B212" s="165" t="s">
        <v>393</v>
      </c>
      <c r="C212" s="165" t="s">
        <v>396</v>
      </c>
      <c r="D212" s="165" t="s">
        <v>66</v>
      </c>
      <c r="E212" s="165" t="s">
        <v>396</v>
      </c>
      <c r="F212" s="165" t="s">
        <v>140</v>
      </c>
    </row>
    <row r="213" spans="1:6" ht="15.6">
      <c r="A213" s="165" t="s">
        <v>262</v>
      </c>
      <c r="B213" s="165" t="s">
        <v>393</v>
      </c>
      <c r="C213" s="165" t="s">
        <v>346</v>
      </c>
      <c r="D213" s="165" t="s">
        <v>66</v>
      </c>
      <c r="E213" s="165" t="s">
        <v>272</v>
      </c>
      <c r="F213" s="165" t="s">
        <v>140</v>
      </c>
    </row>
    <row r="214" spans="1:6" ht="15.6">
      <c r="A214" s="165" t="s">
        <v>262</v>
      </c>
      <c r="B214" s="165" t="s">
        <v>397</v>
      </c>
      <c r="C214" s="165" t="s">
        <v>394</v>
      </c>
      <c r="D214" s="165" t="s">
        <v>66</v>
      </c>
      <c r="E214" s="165" t="s">
        <v>293</v>
      </c>
      <c r="F214" s="165" t="s">
        <v>140</v>
      </c>
    </row>
    <row r="215" spans="1:6" ht="15.6">
      <c r="A215" s="165" t="s">
        <v>262</v>
      </c>
      <c r="B215" s="165" t="s">
        <v>397</v>
      </c>
      <c r="C215" s="165" t="s">
        <v>395</v>
      </c>
      <c r="D215" s="165" t="s">
        <v>130</v>
      </c>
      <c r="E215" s="165" t="s">
        <v>395</v>
      </c>
      <c r="F215" s="165" t="s">
        <v>130</v>
      </c>
    </row>
    <row r="216" spans="1:6" ht="15.6">
      <c r="A216" s="165" t="s">
        <v>262</v>
      </c>
      <c r="B216" s="165" t="s">
        <v>397</v>
      </c>
      <c r="C216" s="165" t="s">
        <v>396</v>
      </c>
      <c r="D216" s="165" t="s">
        <v>66</v>
      </c>
      <c r="E216" s="165" t="s">
        <v>396</v>
      </c>
      <c r="F216" s="165" t="s">
        <v>140</v>
      </c>
    </row>
    <row r="217" spans="1:6" ht="15.6">
      <c r="A217" s="165" t="s">
        <v>262</v>
      </c>
      <c r="B217" s="165" t="s">
        <v>397</v>
      </c>
      <c r="C217" s="165" t="s">
        <v>398</v>
      </c>
      <c r="D217" s="165" t="s">
        <v>66</v>
      </c>
      <c r="E217" s="165" t="s">
        <v>347</v>
      </c>
      <c r="F217" s="165" t="s">
        <v>140</v>
      </c>
    </row>
    <row r="218" spans="1:6" ht="15.6">
      <c r="A218" s="4" t="s">
        <v>399</v>
      </c>
      <c r="B218" s="165" t="s">
        <v>256</v>
      </c>
      <c r="C218" s="165" t="s">
        <v>400</v>
      </c>
      <c r="D218" s="165" t="s">
        <v>99</v>
      </c>
      <c r="E218" s="165" t="s">
        <v>295</v>
      </c>
      <c r="F218" s="165" t="s">
        <v>276</v>
      </c>
    </row>
  </sheetData>
  <sheetProtection/>
  <pageMargins left="0.75" right="0.75" top="1" bottom="1" header="0.5" footer="0.5"/>
  <pageSetup orientation="portrait"/>
  <headerFooter alignWithMargins="false"/>
  <legacyDrawing r:id="rId0"/>
</worksheet>
</file>

<file path=xl/worksheets/sheet41.xml><?xml version="1.0" encoding="utf-8"?>
<worksheet xmlns="http://schemas.openxmlformats.org/spreadsheetml/2006/main">
  <sheetPr>
    <tabColor indexed="13"/>
  </sheetPr>
  <dimension ref="G16"/>
  <sheetViews>
    <sheetView showGridLines="true" topLeftCell="A1" workbookViewId="0"/>
  </sheetViews>
  <sheetFormatPr defaultColWidth="8.66406" defaultRowHeight="15.75"/>
  <cols>
    <col min="1" max="1" width="18.375" bestFit="true"/>
    <col min="2" max="3" width="7.5" bestFit="true"/>
    <col min="4" max="4" width="8.5" bestFit="true"/>
    <col min="5" max="5" width="53.125"/>
    <col min="6" max="6" width="15" bestFit="true"/>
  </cols>
  <sheetData>
    <row r="1" spans="1:6" ht="15.6">
      <c r="A1" s="4" t="s">
        <v>1</v>
      </c>
      <c r="B1" s="4" t="s">
        <v>2</v>
      </c>
      <c r="C1" s="4" t="s">
        <v>3</v>
      </c>
      <c r="D1" s="4" t="s">
        <v>4</v>
      </c>
      <c r="E1" s="4" t="s">
        <v>5</v>
      </c>
      <c r="F1" s="4" t="s">
        <v>6</v>
      </c>
    </row>
    <row r="2" spans="1:5" ht="15.6">
      <c r="A2" s="4" t="s">
        <v>7</v>
      </c>
      <c r="B2" s="4" t="s">
        <v>8</v>
      </c>
      <c r="C2" s="4" t="s">
        <v>9</v>
      </c>
      <c r="D2" s="4" t="s">
        <v>10</v>
      </c>
      <c r="E2" s="4" t="s">
        <v>11</v>
      </c>
    </row>
    <row r="3" spans="1:6" ht="15.6">
      <c r="A3" s="4" t="s">
        <v>7</v>
      </c>
      <c r="B3" s="4" t="s">
        <v>12</v>
      </c>
      <c r="C3" s="4" t="s">
        <v>9</v>
      </c>
      <c r="D3" s="4" t="s">
        <v>10</v>
      </c>
      <c r="F3" s="4" t="s">
        <v>10</v>
      </c>
    </row>
    <row r="4" spans="1:5" ht="15.6">
      <c r="A4" s="4" t="s">
        <v>13</v>
      </c>
      <c r="B4" s="4" t="s">
        <v>8</v>
      </c>
      <c r="C4" s="4" t="s">
        <v>9</v>
      </c>
      <c r="D4" s="4" t="s">
        <v>14</v>
      </c>
      <c r="E4" s="4" t="s">
        <v>15</v>
      </c>
    </row>
    <row r="5" spans="1:6" ht="15.6">
      <c r="A5" s="4" t="s">
        <v>13</v>
      </c>
      <c r="B5" s="4" t="s">
        <v>12</v>
      </c>
      <c r="C5" s="4" t="s">
        <v>9</v>
      </c>
      <c r="D5" s="4" t="s">
        <v>14</v>
      </c>
      <c r="F5" s="4" t="s">
        <v>14</v>
      </c>
    </row>
    <row r="6" spans="1:6" ht="15.6">
      <c r="A6" s="4" t="s">
        <v>16</v>
      </c>
      <c r="B6" s="4" t="s">
        <v>8</v>
      </c>
      <c r="C6" s="4" t="s">
        <v>9</v>
      </c>
      <c r="D6" s="4" t="s">
        <v>10</v>
      </c>
      <c r="E6" s="4" t="s">
        <v>17</v>
      </c>
      <c r="F6" s="4" t="s">
        <v>18</v>
      </c>
    </row>
    <row r="7" spans="1:6" ht="15.6">
      <c r="A7" s="4" t="s">
        <v>16</v>
      </c>
      <c r="B7" s="4" t="s">
        <v>8</v>
      </c>
      <c r="C7" s="4" t="s">
        <v>9</v>
      </c>
      <c r="D7" s="4" t="s">
        <v>14</v>
      </c>
      <c r="E7" s="4" t="s">
        <v>19</v>
      </c>
      <c r="F7" s="4" t="s">
        <v>20</v>
      </c>
    </row>
    <row r="8" spans="1:6" ht="15.6">
      <c r="A8" s="4" t="s">
        <v>16</v>
      </c>
      <c r="B8" s="4" t="s">
        <v>8</v>
      </c>
      <c r="C8" s="4" t="s">
        <v>9</v>
      </c>
      <c r="D8" s="4" t="s">
        <v>21</v>
      </c>
      <c r="E8" s="4" t="s">
        <v>19</v>
      </c>
      <c r="F8" s="4" t="s">
        <v>22</v>
      </c>
    </row>
    <row r="9" spans="1:6" ht="15.6">
      <c r="A9" s="4" t="s">
        <v>16</v>
      </c>
      <c r="B9" s="4" t="s">
        <v>8</v>
      </c>
      <c r="C9" s="4" t="s">
        <v>9</v>
      </c>
      <c r="D9" s="4" t="s">
        <v>23</v>
      </c>
      <c r="E9" s="4" t="s">
        <v>19</v>
      </c>
      <c r="F9" s="4" t="s">
        <v>24</v>
      </c>
    </row>
    <row r="10" spans="1:6" ht="15.6">
      <c r="A10" s="4" t="s">
        <v>16</v>
      </c>
      <c r="B10" s="4" t="s">
        <v>8</v>
      </c>
      <c r="C10" s="4" t="s">
        <v>9</v>
      </c>
      <c r="D10" s="4" t="s">
        <v>25</v>
      </c>
      <c r="E10" s="4" t="s">
        <v>19</v>
      </c>
      <c r="F10" s="4" t="s">
        <v>26</v>
      </c>
    </row>
    <row r="11" spans="1:6" ht="15.6">
      <c r="A11" s="4" t="s">
        <v>16</v>
      </c>
      <c r="B11" s="4" t="s">
        <v>8</v>
      </c>
      <c r="C11" s="4" t="s">
        <v>9</v>
      </c>
      <c r="D11" s="4" t="s">
        <v>27</v>
      </c>
      <c r="E11" s="4" t="s">
        <v>19</v>
      </c>
      <c r="F11" s="4" t="s">
        <v>28</v>
      </c>
    </row>
    <row r="12" spans="1:6" ht="15.6">
      <c r="A12" s="4" t="s">
        <v>16</v>
      </c>
      <c r="B12" s="4" t="s">
        <v>12</v>
      </c>
      <c r="C12" s="4" t="s">
        <v>9</v>
      </c>
      <c r="D12" s="4" t="s">
        <v>10</v>
      </c>
      <c r="F12" s="4" t="s">
        <v>10</v>
      </c>
    </row>
    <row r="13" spans="1:6" ht="15.6">
      <c r="A13" s="4" t="s">
        <v>16</v>
      </c>
      <c r="B13" s="4" t="s">
        <v>12</v>
      </c>
      <c r="C13" s="4" t="s">
        <v>9</v>
      </c>
      <c r="D13" s="4" t="s">
        <v>29</v>
      </c>
      <c r="F13" s="4" t="s">
        <v>29</v>
      </c>
    </row>
    <row r="14" spans="1:6" ht="15.6">
      <c r="A14" s="4" t="s">
        <v>30</v>
      </c>
      <c r="B14" s="4" t="s">
        <v>8</v>
      </c>
      <c r="C14" s="4" t="s">
        <v>31</v>
      </c>
      <c r="D14" s="4" t="s">
        <v>32</v>
      </c>
      <c r="F14" s="4" t="s">
        <v>33</v>
      </c>
    </row>
    <row r="15" spans="1:6" ht="15.6">
      <c r="A15" s="4" t="s">
        <v>34</v>
      </c>
      <c r="B15" s="4" t="s">
        <v>8</v>
      </c>
      <c r="C15" s="4" t="s">
        <v>35</v>
      </c>
      <c r="D15" s="4" t="s">
        <v>36</v>
      </c>
      <c r="F15" s="4" t="s">
        <v>37</v>
      </c>
    </row>
    <row r="16" spans="1:6" ht="15.6">
      <c r="A16" s="4" t="s">
        <v>34</v>
      </c>
      <c r="B16" s="4" t="s">
        <v>12</v>
      </c>
      <c r="C16" s="4" t="s">
        <v>35</v>
      </c>
      <c r="D16" s="4" t="s">
        <v>38</v>
      </c>
      <c r="F16" s="4" t="s">
        <v>39</v>
      </c>
    </row>
  </sheetData>
  <sheetProtection/>
  <pageMargins left="0.75" right="0.75" top="1" bottom="1" header="0.5" footer="0.5"/>
  <pageSetup orientation="portrait"/>
  <headerFooter alignWithMargins="false"/>
</worksheet>
</file>

<file path=xl/worksheets/sheet42.xml><?xml version="1.0" encoding="utf-8"?>
<worksheet xmlns="http://schemas.openxmlformats.org/spreadsheetml/2006/main">
  <sheetPr>
    <tabColor indexed="13"/>
  </sheetPr>
  <dimension ref="AA342"/>
  <sheetViews>
    <sheetView showGridLines="true" topLeftCell="A1" workbookViewId="0"/>
  </sheetViews>
  <sheetFormatPr defaultColWidth="9" defaultRowHeight="15.75"/>
  <cols>
    <col min="1" max="1" width="16.125" style="710" bestFit="true"/>
    <col min="2" max="2" width="17.125" style="710" bestFit="true"/>
    <col min="3" max="3" width="7.5" style="710" bestFit="true"/>
    <col min="4" max="4" width="20.125" style="710"/>
    <col min="5" max="5" width="25.5" style="710"/>
    <col min="6" max="6" width="11.625" style="710" bestFit="true"/>
    <col min="7" max="7" width="9.5" style="710" bestFit="true"/>
    <col min="8" max="8" width="7.5" style="710" bestFit="true"/>
    <col min="9" max="26" width="9" style="710"/>
  </cols>
  <sheetData>
    <row r="1" spans="1:8" ht="15.6">
      <c r="A1" s="4" t="s">
        <v>1</v>
      </c>
      <c r="B1" s="4" t="s">
        <v>2</v>
      </c>
      <c r="C1" s="4" t="s">
        <v>3</v>
      </c>
      <c r="D1" s="4" t="s">
        <v>4</v>
      </c>
      <c r="E1" s="4" t="s">
        <v>5</v>
      </c>
      <c r="F1" s="4" t="s">
        <v>6</v>
      </c>
      <c r="G1" s="4" t="s">
        <v>1379</v>
      </c>
      <c r="H1" s="4" t="s">
        <v>1380</v>
      </c>
    </row>
    <row r="2" spans="1:6" ht="15.6">
      <c r="A2" s="4" t="s">
        <v>496</v>
      </c>
      <c r="B2" s="4" t="s">
        <v>1381</v>
      </c>
      <c r="C2" s="4" t="s">
        <v>9</v>
      </c>
      <c r="D2" s="4" t="s">
        <v>1382</v>
      </c>
      <c r="F2" s="4" t="s">
        <v>1383</v>
      </c>
    </row>
    <row r="3" spans="1:4" s="718" customFormat="true" ht="15.6">
      <c r="A3" s="561" t="s">
        <v>496</v>
      </c>
      <c r="B3" s="561" t="s">
        <v>1384</v>
      </c>
      <c r="C3" s="561" t="s">
        <v>259</v>
      </c>
      <c r="D3" s="561" t="s">
        <v>1385</v>
      </c>
    </row>
    <row r="4" spans="1:5" s="718" customFormat="true" ht="15.6">
      <c r="A4" s="561" t="s">
        <v>496</v>
      </c>
      <c r="B4" s="561" t="s">
        <v>1386</v>
      </c>
      <c r="C4" s="670" t="s">
        <v>259</v>
      </c>
      <c r="D4" s="561" t="s">
        <v>1387</v>
      </c>
      <c r="E4" s="561" t="s">
        <v>1388</v>
      </c>
    </row>
    <row r="5" spans="1:4" s="718" customFormat="true" ht="15.6">
      <c r="A5" s="561" t="s">
        <v>496</v>
      </c>
      <c r="B5" s="561" t="s">
        <v>1384</v>
      </c>
      <c r="C5" s="670" t="s">
        <v>259</v>
      </c>
      <c r="D5" s="561" t="s">
        <v>1387</v>
      </c>
    </row>
    <row r="6" spans="1:4" ht="15.6">
      <c r="A6" s="4" t="s">
        <v>496</v>
      </c>
      <c r="B6" s="4" t="s">
        <v>1389</v>
      </c>
      <c r="C6" s="4" t="s">
        <v>263</v>
      </c>
      <c r="D6" s="4" t="s">
        <v>1390</v>
      </c>
    </row>
    <row r="7" spans="1:4" ht="15.6">
      <c r="A7" s="4" t="s">
        <v>496</v>
      </c>
      <c r="B7" s="4" t="s">
        <v>1389</v>
      </c>
      <c r="C7" s="4" t="s">
        <v>271</v>
      </c>
      <c r="D7" s="4" t="s">
        <v>1391</v>
      </c>
    </row>
    <row r="8" spans="1:2" ht="15.6">
      <c r="A8" s="4" t="s">
        <v>496</v>
      </c>
      <c r="B8" s="4" t="s">
        <v>1392</v>
      </c>
    </row>
    <row r="9" spans="1:4" ht="15.6">
      <c r="A9" s="4" t="s">
        <v>496</v>
      </c>
      <c r="B9" s="4" t="s">
        <v>1384</v>
      </c>
      <c r="C9" s="4" t="s">
        <v>9</v>
      </c>
      <c r="D9" s="4" t="s">
        <v>1393</v>
      </c>
    </row>
    <row r="10" spans="1:4" ht="15.6">
      <c r="A10" s="4" t="s">
        <v>496</v>
      </c>
      <c r="B10" s="4" t="s">
        <v>1384</v>
      </c>
      <c r="C10" s="4" t="s">
        <v>9</v>
      </c>
      <c r="D10" s="4" t="s">
        <v>1394</v>
      </c>
    </row>
    <row r="11" spans="1:3" ht="15.6">
      <c r="A11" s="4" t="s">
        <v>496</v>
      </c>
      <c r="B11" s="4" t="s">
        <v>1395</v>
      </c>
      <c r="C11" s="671" t="b">
        <v>1</v>
      </c>
    </row>
    <row r="12" spans="1:5" ht="15.6">
      <c r="A12" s="4" t="s">
        <v>496</v>
      </c>
      <c r="B12" s="4" t="s">
        <v>1386</v>
      </c>
      <c r="C12" s="4" t="s">
        <v>9</v>
      </c>
      <c r="D12" s="4" t="s">
        <v>1393</v>
      </c>
      <c r="E12" s="672" t="s">
        <v>3356</v>
      </c>
    </row>
    <row r="13" spans="1:5" ht="15.6">
      <c r="A13" s="4" t="s">
        <v>496</v>
      </c>
      <c r="B13" s="4" t="s">
        <v>1386</v>
      </c>
      <c r="C13" s="4" t="s">
        <v>9</v>
      </c>
      <c r="D13" s="4" t="s">
        <v>1394</v>
      </c>
      <c r="E13" s="672" t="s">
        <v>3357</v>
      </c>
    </row>
    <row r="14" spans="1:2" ht="15.6">
      <c r="A14" s="4" t="s">
        <v>496</v>
      </c>
      <c r="B14" s="4" t="s">
        <v>1392</v>
      </c>
    </row>
    <row r="15" spans="1:5" s="718" customFormat="true" ht="15.6">
      <c r="A15" s="561" t="s">
        <v>496</v>
      </c>
      <c r="B15" s="561" t="s">
        <v>1396</v>
      </c>
      <c r="C15" s="561" t="s">
        <v>259</v>
      </c>
      <c r="D15" s="561" t="s">
        <v>1385</v>
      </c>
      <c r="E15" s="561" t="s">
        <v>1397</v>
      </c>
    </row>
    <row r="16" spans="1:2" s="718" customFormat="true" ht="15.6">
      <c r="A16" s="561" t="s">
        <v>496</v>
      </c>
      <c r="B16" s="561" t="s">
        <v>1392</v>
      </c>
    </row>
    <row r="17" spans="1:5" s="718" customFormat="true" ht="15.6">
      <c r="A17" s="672" t="s">
        <v>496</v>
      </c>
      <c r="B17" s="672" t="s">
        <v>1386</v>
      </c>
      <c r="C17" s="672" t="s">
        <v>3358</v>
      </c>
      <c r="D17" s="672" t="s">
        <v>3359</v>
      </c>
      <c r="E17" s="672">
        <v>0</v>
      </c>
    </row>
    <row r="18" spans="1:2" ht="15.6">
      <c r="A18" s="4" t="s">
        <v>496</v>
      </c>
      <c r="B18" s="4" t="s">
        <v>399</v>
      </c>
    </row>
    <row r="19" spans="1:2" s="718" customFormat="true" ht="15.6">
      <c r="A19" s="561" t="s">
        <v>496</v>
      </c>
      <c r="B19" s="561" t="s">
        <v>1392</v>
      </c>
    </row>
    <row r="20" spans="1:6" ht="15.6">
      <c r="A20" s="4" t="s">
        <v>496</v>
      </c>
      <c r="B20" s="4" t="s">
        <v>12</v>
      </c>
      <c r="C20" s="4" t="s">
        <v>31</v>
      </c>
      <c r="D20" s="4" t="s">
        <v>37</v>
      </c>
      <c r="F20" s="4" t="s">
        <v>1398</v>
      </c>
    </row>
    <row r="21" spans="1:6" ht="15.6">
      <c r="A21" s="4" t="s">
        <v>496</v>
      </c>
      <c r="B21" s="4" t="s">
        <v>12</v>
      </c>
      <c r="C21" s="4" t="s">
        <v>31</v>
      </c>
      <c r="D21" s="4" t="s">
        <v>1399</v>
      </c>
      <c r="F21" s="4" t="s">
        <v>1400</v>
      </c>
    </row>
    <row r="22" spans="1:4" ht="15.6">
      <c r="A22" s="4" t="s">
        <v>497</v>
      </c>
      <c r="B22" s="4" t="s">
        <v>1384</v>
      </c>
      <c r="C22" s="4" t="s">
        <v>297</v>
      </c>
      <c r="D22" s="4" t="s">
        <v>1401</v>
      </c>
    </row>
    <row r="23" spans="1:4" ht="15.6">
      <c r="A23" s="4" t="s">
        <v>497</v>
      </c>
      <c r="B23" s="4" t="s">
        <v>1384</v>
      </c>
      <c r="C23" s="4" t="s">
        <v>297</v>
      </c>
      <c r="D23" s="4" t="s">
        <v>1402</v>
      </c>
    </row>
    <row r="24" spans="1:4" ht="15.6">
      <c r="A24" s="4" t="s">
        <v>497</v>
      </c>
      <c r="B24" s="4" t="s">
        <v>1384</v>
      </c>
      <c r="C24" s="4" t="s">
        <v>297</v>
      </c>
      <c r="D24" s="4" t="s">
        <v>1403</v>
      </c>
    </row>
    <row r="25" spans="1:4" ht="15.6">
      <c r="A25" s="4" t="s">
        <v>497</v>
      </c>
      <c r="B25" s="4" t="s">
        <v>1384</v>
      </c>
      <c r="C25" s="4" t="s">
        <v>297</v>
      </c>
      <c r="D25" s="4" t="s">
        <v>1404</v>
      </c>
    </row>
    <row r="26" spans="1:4" ht="15.6">
      <c r="A26" s="4" t="s">
        <v>497</v>
      </c>
      <c r="B26" s="4" t="s">
        <v>1384</v>
      </c>
      <c r="C26" s="4" t="s">
        <v>297</v>
      </c>
      <c r="D26" s="4" t="s">
        <v>1405</v>
      </c>
    </row>
    <row r="27" spans="1:4" ht="15.6">
      <c r="A27" s="4" t="s">
        <v>497</v>
      </c>
      <c r="B27" s="4" t="s">
        <v>1384</v>
      </c>
      <c r="C27" s="4" t="s">
        <v>297</v>
      </c>
      <c r="D27" s="4" t="s">
        <v>1406</v>
      </c>
    </row>
    <row r="28" spans="1:4" ht="15.6">
      <c r="A28" s="4" t="s">
        <v>497</v>
      </c>
      <c r="B28" s="4" t="s">
        <v>1384</v>
      </c>
      <c r="C28" s="4" t="s">
        <v>297</v>
      </c>
      <c r="D28" s="4" t="s">
        <v>1407</v>
      </c>
    </row>
    <row r="29" spans="1:4" ht="15.6">
      <c r="A29" s="4" t="s">
        <v>497</v>
      </c>
      <c r="B29" s="4" t="s">
        <v>1384</v>
      </c>
      <c r="C29" s="4" t="s">
        <v>297</v>
      </c>
      <c r="D29" s="4" t="s">
        <v>1408</v>
      </c>
    </row>
    <row r="30" spans="1:4" ht="15.6">
      <c r="A30" s="4" t="s">
        <v>497</v>
      </c>
      <c r="B30" s="4" t="s">
        <v>1384</v>
      </c>
      <c r="C30" s="4" t="s">
        <v>297</v>
      </c>
      <c r="D30" s="4" t="s">
        <v>1409</v>
      </c>
    </row>
    <row r="31" spans="1:4" ht="15.6">
      <c r="A31" s="4" t="s">
        <v>497</v>
      </c>
      <c r="B31" s="4" t="s">
        <v>1384</v>
      </c>
      <c r="C31" s="4" t="s">
        <v>297</v>
      </c>
      <c r="D31" s="4" t="s">
        <v>1410</v>
      </c>
    </row>
    <row r="32" spans="1:4" ht="15.6">
      <c r="A32" s="4" t="s">
        <v>497</v>
      </c>
      <c r="B32" s="4" t="s">
        <v>1384</v>
      </c>
      <c r="C32" s="4" t="s">
        <v>297</v>
      </c>
      <c r="D32" s="4" t="s">
        <v>1411</v>
      </c>
    </row>
    <row r="33" spans="1:4" ht="15.6">
      <c r="A33" s="4" t="s">
        <v>497</v>
      </c>
      <c r="B33" s="4" t="s">
        <v>1384</v>
      </c>
      <c r="C33" s="4" t="s">
        <v>297</v>
      </c>
      <c r="D33" s="4" t="s">
        <v>1412</v>
      </c>
    </row>
    <row r="34" spans="1:4" ht="15.6">
      <c r="A34" s="4" t="s">
        <v>497</v>
      </c>
      <c r="B34" s="4" t="s">
        <v>1384</v>
      </c>
      <c r="C34" s="4" t="s">
        <v>297</v>
      </c>
      <c r="D34" s="4" t="s">
        <v>1413</v>
      </c>
    </row>
    <row r="35" spans="1:4" ht="15.6">
      <c r="A35" s="4" t="s">
        <v>497</v>
      </c>
      <c r="B35" s="4" t="s">
        <v>1384</v>
      </c>
      <c r="C35" s="4" t="s">
        <v>297</v>
      </c>
      <c r="D35" s="4" t="s">
        <v>1414</v>
      </c>
    </row>
    <row r="36" spans="1:4" ht="15.6">
      <c r="A36" s="4" t="s">
        <v>497</v>
      </c>
      <c r="B36" s="4" t="s">
        <v>1384</v>
      </c>
      <c r="C36" s="4" t="s">
        <v>297</v>
      </c>
      <c r="D36" s="4" t="s">
        <v>1415</v>
      </c>
    </row>
    <row r="37" spans="1:4" ht="15.6">
      <c r="A37" s="4" t="s">
        <v>497</v>
      </c>
      <c r="B37" s="4" t="s">
        <v>1384</v>
      </c>
      <c r="C37" s="4" t="s">
        <v>297</v>
      </c>
      <c r="D37" s="4" t="s">
        <v>1416</v>
      </c>
    </row>
    <row r="38" spans="1:4" ht="15.6">
      <c r="A38" s="4" t="s">
        <v>497</v>
      </c>
      <c r="B38" s="4" t="s">
        <v>1384</v>
      </c>
      <c r="C38" s="4" t="s">
        <v>297</v>
      </c>
      <c r="D38" s="4" t="s">
        <v>1417</v>
      </c>
    </row>
    <row r="39" spans="1:4" ht="15.6">
      <c r="A39" s="4" t="s">
        <v>497</v>
      </c>
      <c r="B39" s="4" t="s">
        <v>1384</v>
      </c>
      <c r="C39" s="4" t="s">
        <v>297</v>
      </c>
      <c r="D39" s="4" t="s">
        <v>1418</v>
      </c>
    </row>
    <row r="40" spans="1:4" ht="15.6">
      <c r="A40" s="4" t="s">
        <v>497</v>
      </c>
      <c r="B40" s="4" t="s">
        <v>1384</v>
      </c>
      <c r="C40" s="4" t="s">
        <v>297</v>
      </c>
      <c r="D40" s="4" t="s">
        <v>1419</v>
      </c>
    </row>
    <row r="41" spans="1:4" ht="15.6">
      <c r="A41" s="4" t="s">
        <v>497</v>
      </c>
      <c r="B41" s="4" t="s">
        <v>1384</v>
      </c>
      <c r="C41" s="4" t="s">
        <v>297</v>
      </c>
      <c r="D41" s="4" t="s">
        <v>1420</v>
      </c>
    </row>
    <row r="42" spans="1:4" ht="15.6">
      <c r="A42" s="4" t="s">
        <v>497</v>
      </c>
      <c r="B42" s="4" t="s">
        <v>1384</v>
      </c>
      <c r="C42" s="4" t="s">
        <v>297</v>
      </c>
      <c r="D42" s="4" t="s">
        <v>1421</v>
      </c>
    </row>
    <row r="43" spans="1:4" ht="15.6">
      <c r="A43" s="4" t="s">
        <v>497</v>
      </c>
      <c r="B43" s="4" t="s">
        <v>1384</v>
      </c>
      <c r="C43" s="4" t="s">
        <v>297</v>
      </c>
      <c r="D43" s="4" t="s">
        <v>1422</v>
      </c>
    </row>
    <row r="44" spans="1:4" ht="15.6">
      <c r="A44" s="4" t="s">
        <v>497</v>
      </c>
      <c r="B44" s="4" t="s">
        <v>1384</v>
      </c>
      <c r="C44" s="4" t="s">
        <v>297</v>
      </c>
      <c r="D44" s="4" t="s">
        <v>1423</v>
      </c>
    </row>
    <row r="45" spans="1:4" ht="15.6">
      <c r="A45" s="4" t="s">
        <v>497</v>
      </c>
      <c r="B45" s="4" t="s">
        <v>1384</v>
      </c>
      <c r="C45" s="4" t="s">
        <v>297</v>
      </c>
      <c r="D45" s="4" t="s">
        <v>1424</v>
      </c>
    </row>
    <row r="46" spans="1:4" ht="15.6">
      <c r="A46" s="4" t="s">
        <v>497</v>
      </c>
      <c r="B46" s="4" t="s">
        <v>1384</v>
      </c>
      <c r="C46" s="4" t="s">
        <v>297</v>
      </c>
      <c r="D46" s="4" t="s">
        <v>1425</v>
      </c>
    </row>
    <row r="47" spans="1:8" ht="15.6">
      <c r="A47" s="4" t="s">
        <v>497</v>
      </c>
      <c r="B47" s="4" t="s">
        <v>1389</v>
      </c>
      <c r="C47" s="4" t="s">
        <v>297</v>
      </c>
      <c r="D47" s="4" t="s">
        <v>1401</v>
      </c>
      <c r="F47" s="4" t="s">
        <v>1092</v>
      </c>
      <c r="G47" s="4" t="s">
        <v>1426</v>
      </c>
      <c r="H47" s="4" t="s">
        <v>1427</v>
      </c>
    </row>
    <row r="48" spans="1:8" ht="15.6">
      <c r="A48" s="4" t="s">
        <v>497</v>
      </c>
      <c r="B48" s="4" t="s">
        <v>1389</v>
      </c>
      <c r="C48" s="4" t="s">
        <v>297</v>
      </c>
      <c r="D48" s="4" t="s">
        <v>1402</v>
      </c>
      <c r="F48" s="4" t="s">
        <v>1094</v>
      </c>
      <c r="G48" s="4" t="s">
        <v>1426</v>
      </c>
      <c r="H48" s="4" t="s">
        <v>1427</v>
      </c>
    </row>
    <row r="49" spans="1:8" ht="15.6">
      <c r="A49" s="4" t="s">
        <v>497</v>
      </c>
      <c r="B49" s="4" t="s">
        <v>1389</v>
      </c>
      <c r="C49" s="4" t="s">
        <v>297</v>
      </c>
      <c r="D49" s="4" t="s">
        <v>1403</v>
      </c>
      <c r="F49" s="4" t="s">
        <v>1096</v>
      </c>
      <c r="G49" s="4" t="s">
        <v>1426</v>
      </c>
      <c r="H49" s="4" t="s">
        <v>1427</v>
      </c>
    </row>
    <row r="50" spans="1:8" ht="15.6">
      <c r="A50" s="4" t="s">
        <v>497</v>
      </c>
      <c r="B50" s="4" t="s">
        <v>1389</v>
      </c>
      <c r="C50" s="4" t="s">
        <v>297</v>
      </c>
      <c r="D50" s="4" t="s">
        <v>1404</v>
      </c>
      <c r="F50" s="4" t="s">
        <v>1098</v>
      </c>
      <c r="G50" s="4" t="s">
        <v>1426</v>
      </c>
      <c r="H50" s="4" t="s">
        <v>1427</v>
      </c>
    </row>
    <row r="51" spans="1:8" ht="15.6">
      <c r="A51" s="4" t="s">
        <v>497</v>
      </c>
      <c r="B51" s="4" t="s">
        <v>1389</v>
      </c>
      <c r="C51" s="4" t="s">
        <v>297</v>
      </c>
      <c r="D51" s="4" t="s">
        <v>1405</v>
      </c>
      <c r="F51" s="4" t="s">
        <v>1100</v>
      </c>
      <c r="G51" s="4" t="s">
        <v>1426</v>
      </c>
      <c r="H51" s="4" t="s">
        <v>1427</v>
      </c>
    </row>
    <row r="52" spans="1:8" ht="15.6">
      <c r="A52" s="4" t="s">
        <v>497</v>
      </c>
      <c r="B52" s="4" t="s">
        <v>1389</v>
      </c>
      <c r="C52" s="4" t="s">
        <v>297</v>
      </c>
      <c r="D52" s="4" t="s">
        <v>1406</v>
      </c>
      <c r="F52" s="4" t="s">
        <v>1102</v>
      </c>
      <c r="G52" s="4" t="s">
        <v>1426</v>
      </c>
      <c r="H52" s="4" t="s">
        <v>1427</v>
      </c>
    </row>
    <row r="53" spans="1:8" ht="15.6">
      <c r="A53" s="4" t="s">
        <v>497</v>
      </c>
      <c r="B53" s="4" t="s">
        <v>1389</v>
      </c>
      <c r="C53" s="4" t="s">
        <v>297</v>
      </c>
      <c r="D53" s="4" t="s">
        <v>1407</v>
      </c>
      <c r="F53" s="4" t="s">
        <v>1104</v>
      </c>
      <c r="G53" s="4" t="s">
        <v>1426</v>
      </c>
      <c r="H53" s="4" t="s">
        <v>1427</v>
      </c>
    </row>
    <row r="54" spans="1:8" ht="15.6">
      <c r="A54" s="4" t="s">
        <v>497</v>
      </c>
      <c r="B54" s="4" t="s">
        <v>1389</v>
      </c>
      <c r="C54" s="4" t="s">
        <v>297</v>
      </c>
      <c r="D54" s="4" t="s">
        <v>1408</v>
      </c>
      <c r="F54" s="4" t="s">
        <v>1106</v>
      </c>
      <c r="G54" s="4" t="s">
        <v>1426</v>
      </c>
      <c r="H54" s="4" t="s">
        <v>1427</v>
      </c>
    </row>
    <row r="55" spans="1:8" ht="15.6">
      <c r="A55" s="4" t="s">
        <v>497</v>
      </c>
      <c r="B55" s="4" t="s">
        <v>1389</v>
      </c>
      <c r="C55" s="4" t="s">
        <v>297</v>
      </c>
      <c r="D55" s="4" t="s">
        <v>1409</v>
      </c>
      <c r="F55" s="4" t="s">
        <v>1108</v>
      </c>
      <c r="G55" s="4" t="s">
        <v>1426</v>
      </c>
      <c r="H55" s="4" t="s">
        <v>1427</v>
      </c>
    </row>
    <row r="56" spans="1:8" ht="15.6">
      <c r="A56" s="4" t="s">
        <v>497</v>
      </c>
      <c r="B56" s="4" t="s">
        <v>1389</v>
      </c>
      <c r="C56" s="4" t="s">
        <v>297</v>
      </c>
      <c r="D56" s="4" t="s">
        <v>1410</v>
      </c>
      <c r="F56" s="4" t="s">
        <v>1110</v>
      </c>
      <c r="G56" s="4" t="s">
        <v>1426</v>
      </c>
      <c r="H56" s="4" t="s">
        <v>1427</v>
      </c>
    </row>
    <row r="57" spans="1:8" ht="15.6">
      <c r="A57" s="4" t="s">
        <v>497</v>
      </c>
      <c r="B57" s="4" t="s">
        <v>1389</v>
      </c>
      <c r="C57" s="4" t="s">
        <v>297</v>
      </c>
      <c r="D57" s="4" t="s">
        <v>1411</v>
      </c>
      <c r="F57" s="4" t="s">
        <v>1112</v>
      </c>
      <c r="G57" s="4" t="s">
        <v>1426</v>
      </c>
      <c r="H57" s="4" t="s">
        <v>1427</v>
      </c>
    </row>
    <row r="58" spans="1:8" ht="15.6">
      <c r="A58" s="4" t="s">
        <v>497</v>
      </c>
      <c r="B58" s="4" t="s">
        <v>1389</v>
      </c>
      <c r="C58" s="4" t="s">
        <v>297</v>
      </c>
      <c r="D58" s="4" t="s">
        <v>1412</v>
      </c>
      <c r="F58" s="4" t="s">
        <v>1114</v>
      </c>
      <c r="G58" s="4" t="s">
        <v>1426</v>
      </c>
      <c r="H58" s="4" t="s">
        <v>1427</v>
      </c>
    </row>
    <row r="59" spans="1:8" ht="15.6">
      <c r="A59" s="4" t="s">
        <v>497</v>
      </c>
      <c r="B59" s="4" t="s">
        <v>1389</v>
      </c>
      <c r="C59" s="4" t="s">
        <v>297</v>
      </c>
      <c r="D59" s="4" t="s">
        <v>1413</v>
      </c>
      <c r="F59" s="4" t="s">
        <v>1116</v>
      </c>
      <c r="G59" s="4" t="s">
        <v>1426</v>
      </c>
      <c r="H59" s="4" t="s">
        <v>1427</v>
      </c>
    </row>
    <row r="60" spans="1:8" ht="15.6">
      <c r="A60" s="4" t="s">
        <v>497</v>
      </c>
      <c r="B60" s="4" t="s">
        <v>1389</v>
      </c>
      <c r="C60" s="4" t="s">
        <v>297</v>
      </c>
      <c r="D60" s="4" t="s">
        <v>1414</v>
      </c>
      <c r="F60" s="4" t="s">
        <v>1118</v>
      </c>
      <c r="G60" s="4" t="s">
        <v>1426</v>
      </c>
      <c r="H60" s="4" t="s">
        <v>1427</v>
      </c>
    </row>
    <row r="61" spans="1:8" ht="15.6">
      <c r="A61" s="4" t="s">
        <v>497</v>
      </c>
      <c r="B61" s="4" t="s">
        <v>1389</v>
      </c>
      <c r="C61" s="4" t="s">
        <v>297</v>
      </c>
      <c r="D61" s="4" t="s">
        <v>1415</v>
      </c>
      <c r="F61" s="4" t="s">
        <v>1120</v>
      </c>
      <c r="G61" s="4" t="s">
        <v>1426</v>
      </c>
      <c r="H61" s="4" t="s">
        <v>1427</v>
      </c>
    </row>
    <row r="62" spans="1:8" ht="15.6">
      <c r="A62" s="4" t="s">
        <v>497</v>
      </c>
      <c r="B62" s="4" t="s">
        <v>1389</v>
      </c>
      <c r="C62" s="4" t="s">
        <v>297</v>
      </c>
      <c r="D62" s="4" t="s">
        <v>1416</v>
      </c>
      <c r="F62" s="4" t="s">
        <v>1122</v>
      </c>
      <c r="G62" s="4" t="s">
        <v>1426</v>
      </c>
      <c r="H62" s="4" t="s">
        <v>1427</v>
      </c>
    </row>
    <row r="63" spans="1:8" ht="15.6">
      <c r="A63" s="4" t="s">
        <v>497</v>
      </c>
      <c r="B63" s="4" t="s">
        <v>1389</v>
      </c>
      <c r="C63" s="4" t="s">
        <v>297</v>
      </c>
      <c r="D63" s="4" t="s">
        <v>1417</v>
      </c>
      <c r="F63" s="4" t="s">
        <v>1124</v>
      </c>
      <c r="G63" s="4" t="s">
        <v>1426</v>
      </c>
      <c r="H63" s="4" t="s">
        <v>1427</v>
      </c>
    </row>
    <row r="64" spans="1:8" ht="15.6">
      <c r="A64" s="4" t="s">
        <v>497</v>
      </c>
      <c r="B64" s="4" t="s">
        <v>1389</v>
      </c>
      <c r="C64" s="4" t="s">
        <v>297</v>
      </c>
      <c r="D64" s="4" t="s">
        <v>1418</v>
      </c>
      <c r="F64" s="4" t="s">
        <v>1126</v>
      </c>
      <c r="G64" s="4" t="s">
        <v>1426</v>
      </c>
      <c r="H64" s="4" t="s">
        <v>1427</v>
      </c>
    </row>
    <row r="65" spans="1:8" ht="15.6">
      <c r="A65" s="4" t="s">
        <v>497</v>
      </c>
      <c r="B65" s="4" t="s">
        <v>1389</v>
      </c>
      <c r="C65" s="4" t="s">
        <v>297</v>
      </c>
      <c r="D65" s="4" t="s">
        <v>1419</v>
      </c>
      <c r="F65" s="4" t="s">
        <v>1128</v>
      </c>
      <c r="G65" s="4" t="s">
        <v>1426</v>
      </c>
      <c r="H65" s="4" t="s">
        <v>1427</v>
      </c>
    </row>
    <row r="66" spans="1:8" ht="15.6">
      <c r="A66" s="4" t="s">
        <v>497</v>
      </c>
      <c r="B66" s="4" t="s">
        <v>1389</v>
      </c>
      <c r="C66" s="4" t="s">
        <v>297</v>
      </c>
      <c r="D66" s="4" t="s">
        <v>1420</v>
      </c>
      <c r="F66" s="4" t="s">
        <v>1130</v>
      </c>
      <c r="G66" s="4" t="s">
        <v>1426</v>
      </c>
      <c r="H66" s="4" t="s">
        <v>1427</v>
      </c>
    </row>
    <row r="67" spans="1:8" ht="15.6">
      <c r="A67" s="4" t="s">
        <v>497</v>
      </c>
      <c r="B67" s="4" t="s">
        <v>1389</v>
      </c>
      <c r="C67" s="4" t="s">
        <v>297</v>
      </c>
      <c r="D67" s="4" t="s">
        <v>1421</v>
      </c>
      <c r="F67" s="4" t="s">
        <v>1132</v>
      </c>
      <c r="G67" s="4" t="s">
        <v>1426</v>
      </c>
      <c r="H67" s="4" t="s">
        <v>1427</v>
      </c>
    </row>
    <row r="68" spans="1:8" ht="15.6">
      <c r="A68" s="4" t="s">
        <v>497</v>
      </c>
      <c r="B68" s="4" t="s">
        <v>1389</v>
      </c>
      <c r="C68" s="4" t="s">
        <v>297</v>
      </c>
      <c r="D68" s="4" t="s">
        <v>1422</v>
      </c>
      <c r="F68" s="4" t="s">
        <v>1134</v>
      </c>
      <c r="G68" s="4" t="s">
        <v>1426</v>
      </c>
      <c r="H68" s="4" t="s">
        <v>1427</v>
      </c>
    </row>
    <row r="69" spans="1:8" ht="15.6">
      <c r="A69" s="4" t="s">
        <v>497</v>
      </c>
      <c r="B69" s="4" t="s">
        <v>1389</v>
      </c>
      <c r="C69" s="4" t="s">
        <v>297</v>
      </c>
      <c r="D69" s="4" t="s">
        <v>1423</v>
      </c>
      <c r="F69" s="4" t="s">
        <v>1136</v>
      </c>
      <c r="G69" s="4" t="s">
        <v>1426</v>
      </c>
      <c r="H69" s="4" t="s">
        <v>1427</v>
      </c>
    </row>
    <row r="70" spans="1:8" ht="15.6">
      <c r="A70" s="4" t="s">
        <v>497</v>
      </c>
      <c r="B70" s="4" t="s">
        <v>1389</v>
      </c>
      <c r="C70" s="4" t="s">
        <v>297</v>
      </c>
      <c r="D70" s="4" t="s">
        <v>1424</v>
      </c>
      <c r="F70" s="4" t="s">
        <v>1138</v>
      </c>
      <c r="G70" s="4" t="s">
        <v>1426</v>
      </c>
      <c r="H70" s="4" t="s">
        <v>1427</v>
      </c>
    </row>
    <row r="71" spans="1:8" ht="15.6">
      <c r="A71" s="4" t="s">
        <v>497</v>
      </c>
      <c r="B71" s="4" t="s">
        <v>1389</v>
      </c>
      <c r="C71" s="4" t="s">
        <v>297</v>
      </c>
      <c r="D71" s="4" t="s">
        <v>1425</v>
      </c>
      <c r="F71" s="4" t="s">
        <v>1140</v>
      </c>
      <c r="G71" s="4" t="s">
        <v>1426</v>
      </c>
      <c r="H71" s="4" t="s">
        <v>1427</v>
      </c>
    </row>
    <row r="72" spans="1:2" ht="15.6">
      <c r="A72" s="4" t="s">
        <v>497</v>
      </c>
      <c r="B72" s="4" t="s">
        <v>1392</v>
      </c>
    </row>
    <row r="73" spans="1:5" s="718" customFormat="true" ht="15.6">
      <c r="A73" s="4" t="s">
        <v>497</v>
      </c>
      <c r="B73" s="672" t="s">
        <v>1386</v>
      </c>
      <c r="C73" s="672" t="s">
        <v>3358</v>
      </c>
      <c r="D73" s="672" t="s">
        <v>3359</v>
      </c>
      <c r="E73" s="672">
        <v>0</v>
      </c>
    </row>
    <row r="74" spans="1:2" ht="15.6">
      <c r="A74" s="4" t="s">
        <v>497</v>
      </c>
      <c r="B74" s="4" t="s">
        <v>399</v>
      </c>
    </row>
    <row r="75" spans="1:2" ht="15.6">
      <c r="A75" s="4" t="s">
        <v>497</v>
      </c>
      <c r="B75" s="4" t="s">
        <v>1392</v>
      </c>
    </row>
    <row r="76" spans="1:6" ht="15.6">
      <c r="A76" s="4" t="s">
        <v>497</v>
      </c>
      <c r="B76" s="4" t="s">
        <v>12</v>
      </c>
      <c r="C76" s="4" t="s">
        <v>31</v>
      </c>
      <c r="D76" s="4" t="s">
        <v>1428</v>
      </c>
      <c r="F76" s="4" t="s">
        <v>1398</v>
      </c>
    </row>
    <row r="77" spans="1:6" ht="15.6">
      <c r="A77" s="4" t="s">
        <v>497</v>
      </c>
      <c r="B77" s="4" t="s">
        <v>12</v>
      </c>
      <c r="C77" s="4" t="s">
        <v>31</v>
      </c>
      <c r="D77" s="4" t="s">
        <v>1429</v>
      </c>
      <c r="F77" s="4" t="s">
        <v>1400</v>
      </c>
    </row>
    <row r="78" spans="1:4" ht="15.6">
      <c r="A78" s="4" t="s">
        <v>533</v>
      </c>
      <c r="B78" s="4" t="s">
        <v>1384</v>
      </c>
      <c r="C78" s="4" t="s">
        <v>261</v>
      </c>
      <c r="D78" s="4" t="s">
        <v>1430</v>
      </c>
    </row>
    <row r="79" spans="1:4" ht="15.6">
      <c r="A79" s="4" t="s">
        <v>533</v>
      </c>
      <c r="B79" s="4" t="s">
        <v>1384</v>
      </c>
      <c r="C79" s="4" t="s">
        <v>261</v>
      </c>
      <c r="D79" s="4" t="s">
        <v>1431</v>
      </c>
    </row>
    <row r="80" spans="1:4" ht="15.6">
      <c r="A80" s="4" t="s">
        <v>533</v>
      </c>
      <c r="B80" s="4" t="s">
        <v>1384</v>
      </c>
      <c r="C80" s="4" t="s">
        <v>261</v>
      </c>
      <c r="D80" s="4" t="s">
        <v>1432</v>
      </c>
    </row>
    <row r="81" spans="1:4" ht="15.6">
      <c r="A81" s="4" t="s">
        <v>533</v>
      </c>
      <c r="B81" s="4" t="s">
        <v>1384</v>
      </c>
      <c r="C81" s="4" t="s">
        <v>261</v>
      </c>
      <c r="D81" s="4" t="s">
        <v>1433</v>
      </c>
    </row>
    <row r="82" spans="1:4" ht="15.6">
      <c r="A82" s="4" t="s">
        <v>533</v>
      </c>
      <c r="B82" s="4" t="s">
        <v>1384</v>
      </c>
      <c r="C82" s="4" t="s">
        <v>261</v>
      </c>
      <c r="D82" s="4" t="s">
        <v>1434</v>
      </c>
    </row>
    <row r="83" spans="1:4" ht="15.6">
      <c r="A83" s="4" t="s">
        <v>533</v>
      </c>
      <c r="B83" s="4" t="s">
        <v>1384</v>
      </c>
      <c r="C83" s="4" t="s">
        <v>261</v>
      </c>
      <c r="D83" s="4" t="s">
        <v>1435</v>
      </c>
    </row>
    <row r="84" spans="1:4" ht="15.6">
      <c r="A84" s="4" t="s">
        <v>533</v>
      </c>
      <c r="B84" s="4" t="s">
        <v>1384</v>
      </c>
      <c r="C84" s="4" t="s">
        <v>261</v>
      </c>
      <c r="D84" s="4" t="s">
        <v>1436</v>
      </c>
    </row>
    <row r="85" spans="1:4" ht="15.6">
      <c r="A85" s="4" t="s">
        <v>533</v>
      </c>
      <c r="B85" s="4" t="s">
        <v>1384</v>
      </c>
      <c r="C85" s="4" t="s">
        <v>261</v>
      </c>
      <c r="D85" s="4" t="s">
        <v>1437</v>
      </c>
    </row>
    <row r="86" spans="1:4" ht="15.6">
      <c r="A86" s="4" t="s">
        <v>533</v>
      </c>
      <c r="B86" s="4" t="s">
        <v>1384</v>
      </c>
      <c r="C86" s="4" t="s">
        <v>261</v>
      </c>
      <c r="D86" s="4" t="s">
        <v>1409</v>
      </c>
    </row>
    <row r="87" spans="1:4" ht="15.6">
      <c r="A87" s="4" t="s">
        <v>533</v>
      </c>
      <c r="B87" s="4" t="s">
        <v>1384</v>
      </c>
      <c r="C87" s="4" t="s">
        <v>261</v>
      </c>
      <c r="D87" s="4" t="s">
        <v>1438</v>
      </c>
    </row>
    <row r="88" spans="1:4" ht="15.6">
      <c r="A88" s="4" t="s">
        <v>533</v>
      </c>
      <c r="B88" s="4" t="s">
        <v>1384</v>
      </c>
      <c r="C88" s="4" t="s">
        <v>261</v>
      </c>
      <c r="D88" s="4" t="s">
        <v>1439</v>
      </c>
    </row>
    <row r="89" spans="1:4" ht="15.6">
      <c r="A89" s="4" t="s">
        <v>533</v>
      </c>
      <c r="B89" s="4" t="s">
        <v>1384</v>
      </c>
      <c r="C89" s="4" t="s">
        <v>261</v>
      </c>
      <c r="D89" s="4" t="s">
        <v>1440</v>
      </c>
    </row>
    <row r="90" spans="1:4" ht="15.6">
      <c r="A90" s="4" t="s">
        <v>533</v>
      </c>
      <c r="B90" s="4" t="s">
        <v>1384</v>
      </c>
      <c r="C90" s="4" t="s">
        <v>261</v>
      </c>
      <c r="D90" s="4" t="s">
        <v>1441</v>
      </c>
    </row>
    <row r="91" spans="1:4" ht="15.6">
      <c r="A91" s="4" t="s">
        <v>533</v>
      </c>
      <c r="B91" s="4" t="s">
        <v>1384</v>
      </c>
      <c r="C91" s="4" t="s">
        <v>261</v>
      </c>
      <c r="D91" s="4" t="s">
        <v>1442</v>
      </c>
    </row>
    <row r="92" spans="1:4" ht="15.6">
      <c r="A92" s="4" t="s">
        <v>533</v>
      </c>
      <c r="B92" s="4" t="s">
        <v>1384</v>
      </c>
      <c r="C92" s="4" t="s">
        <v>261</v>
      </c>
      <c r="D92" s="4" t="s">
        <v>1443</v>
      </c>
    </row>
    <row r="93" spans="1:8" ht="15.6">
      <c r="A93" s="4" t="s">
        <v>533</v>
      </c>
      <c r="B93" s="4" t="s">
        <v>1389</v>
      </c>
      <c r="C93" s="4" t="s">
        <v>261</v>
      </c>
      <c r="D93" s="4" t="s">
        <v>1430</v>
      </c>
      <c r="F93" s="4" t="s">
        <v>1187</v>
      </c>
      <c r="G93" s="4" t="s">
        <v>1426</v>
      </c>
      <c r="H93" s="4" t="s">
        <v>1427</v>
      </c>
    </row>
    <row r="94" spans="1:8" ht="15.6">
      <c r="A94" s="4" t="s">
        <v>533</v>
      </c>
      <c r="B94" s="4" t="s">
        <v>1389</v>
      </c>
      <c r="C94" s="4" t="s">
        <v>261</v>
      </c>
      <c r="D94" s="4" t="s">
        <v>1431</v>
      </c>
      <c r="F94" s="4" t="s">
        <v>1189</v>
      </c>
      <c r="G94" s="4" t="s">
        <v>1426</v>
      </c>
      <c r="H94" s="4" t="s">
        <v>1427</v>
      </c>
    </row>
    <row r="95" spans="1:8" ht="15.6">
      <c r="A95" s="4" t="s">
        <v>533</v>
      </c>
      <c r="B95" s="4" t="s">
        <v>1389</v>
      </c>
      <c r="C95" s="4" t="s">
        <v>261</v>
      </c>
      <c r="D95" s="4" t="s">
        <v>1432</v>
      </c>
      <c r="F95" s="4" t="s">
        <v>1191</v>
      </c>
      <c r="G95" s="4" t="s">
        <v>1426</v>
      </c>
      <c r="H95" s="4" t="s">
        <v>1427</v>
      </c>
    </row>
    <row r="96" spans="1:8" ht="15.6">
      <c r="A96" s="4" t="s">
        <v>533</v>
      </c>
      <c r="B96" s="4" t="s">
        <v>1389</v>
      </c>
      <c r="C96" s="4" t="s">
        <v>261</v>
      </c>
      <c r="D96" s="4" t="s">
        <v>1433</v>
      </c>
      <c r="F96" s="4" t="s">
        <v>1193</v>
      </c>
      <c r="G96" s="4" t="s">
        <v>1426</v>
      </c>
      <c r="H96" s="4" t="s">
        <v>1427</v>
      </c>
    </row>
    <row r="97" spans="1:8" ht="15.6">
      <c r="A97" s="4" t="s">
        <v>533</v>
      </c>
      <c r="B97" s="4" t="s">
        <v>1389</v>
      </c>
      <c r="C97" s="4" t="s">
        <v>261</v>
      </c>
      <c r="D97" s="4" t="s">
        <v>1434</v>
      </c>
      <c r="F97" s="4" t="s">
        <v>1195</v>
      </c>
      <c r="G97" s="4" t="s">
        <v>1426</v>
      </c>
      <c r="H97" s="4" t="s">
        <v>1427</v>
      </c>
    </row>
    <row r="98" spans="1:8" ht="15.6">
      <c r="A98" s="4" t="s">
        <v>533</v>
      </c>
      <c r="B98" s="4" t="s">
        <v>1389</v>
      </c>
      <c r="C98" s="4" t="s">
        <v>261</v>
      </c>
      <c r="D98" s="4" t="s">
        <v>1435</v>
      </c>
      <c r="F98" s="4" t="s">
        <v>1197</v>
      </c>
      <c r="G98" s="4" t="s">
        <v>1426</v>
      </c>
      <c r="H98" s="4" t="s">
        <v>1427</v>
      </c>
    </row>
    <row r="99" spans="1:8" ht="15.6">
      <c r="A99" s="4" t="s">
        <v>533</v>
      </c>
      <c r="B99" s="4" t="s">
        <v>1389</v>
      </c>
      <c r="C99" s="4" t="s">
        <v>261</v>
      </c>
      <c r="D99" s="4" t="s">
        <v>1436</v>
      </c>
      <c r="F99" s="4" t="s">
        <v>1199</v>
      </c>
      <c r="G99" s="4" t="s">
        <v>1426</v>
      </c>
      <c r="H99" s="4" t="s">
        <v>1427</v>
      </c>
    </row>
    <row r="100" spans="1:8" ht="15.6">
      <c r="A100" s="4" t="s">
        <v>533</v>
      </c>
      <c r="B100" s="4" t="s">
        <v>1389</v>
      </c>
      <c r="C100" s="4" t="s">
        <v>261</v>
      </c>
      <c r="D100" s="4" t="s">
        <v>1437</v>
      </c>
      <c r="F100" s="4" t="s">
        <v>1201</v>
      </c>
      <c r="G100" s="4" t="s">
        <v>1426</v>
      </c>
      <c r="H100" s="4" t="s">
        <v>1427</v>
      </c>
    </row>
    <row r="101" spans="1:8" ht="15.6">
      <c r="A101" s="4" t="s">
        <v>533</v>
      </c>
      <c r="B101" s="4" t="s">
        <v>1389</v>
      </c>
      <c r="C101" s="4" t="s">
        <v>261</v>
      </c>
      <c r="D101" s="4" t="s">
        <v>1409</v>
      </c>
      <c r="F101" s="4" t="s">
        <v>1108</v>
      </c>
      <c r="G101" s="4" t="s">
        <v>1426</v>
      </c>
      <c r="H101" s="4" t="s">
        <v>1427</v>
      </c>
    </row>
    <row r="102" spans="1:8" ht="15.6">
      <c r="A102" s="4" t="s">
        <v>533</v>
      </c>
      <c r="B102" s="4" t="s">
        <v>1389</v>
      </c>
      <c r="C102" s="4" t="s">
        <v>261</v>
      </c>
      <c r="D102" s="4" t="s">
        <v>1438</v>
      </c>
      <c r="F102" s="4" t="s">
        <v>1204</v>
      </c>
      <c r="G102" s="4" t="s">
        <v>1426</v>
      </c>
      <c r="H102" s="4" t="s">
        <v>1427</v>
      </c>
    </row>
    <row r="103" spans="1:8" ht="15.6">
      <c r="A103" s="4" t="s">
        <v>533</v>
      </c>
      <c r="B103" s="4" t="s">
        <v>1389</v>
      </c>
      <c r="C103" s="4" t="s">
        <v>261</v>
      </c>
      <c r="D103" s="4" t="s">
        <v>1439</v>
      </c>
      <c r="F103" s="4" t="s">
        <v>1206</v>
      </c>
      <c r="G103" s="4" t="s">
        <v>1426</v>
      </c>
      <c r="H103" s="4" t="s">
        <v>1427</v>
      </c>
    </row>
    <row r="104" spans="1:8" ht="15.6">
      <c r="A104" s="4" t="s">
        <v>533</v>
      </c>
      <c r="B104" s="4" t="s">
        <v>1389</v>
      </c>
      <c r="C104" s="4" t="s">
        <v>261</v>
      </c>
      <c r="D104" s="4" t="s">
        <v>1440</v>
      </c>
      <c r="F104" s="4" t="s">
        <v>1208</v>
      </c>
      <c r="G104" s="4" t="s">
        <v>1426</v>
      </c>
      <c r="H104" s="4" t="s">
        <v>1427</v>
      </c>
    </row>
    <row r="105" spans="1:8" ht="15.6">
      <c r="A105" s="4" t="s">
        <v>533</v>
      </c>
      <c r="B105" s="4" t="s">
        <v>1389</v>
      </c>
      <c r="C105" s="4" t="s">
        <v>261</v>
      </c>
      <c r="D105" s="4" t="s">
        <v>1441</v>
      </c>
      <c r="F105" s="4" t="s">
        <v>1210</v>
      </c>
      <c r="G105" s="4" t="s">
        <v>1426</v>
      </c>
      <c r="H105" s="4" t="s">
        <v>1427</v>
      </c>
    </row>
    <row r="106" spans="1:8" ht="15.6">
      <c r="A106" s="4" t="s">
        <v>533</v>
      </c>
      <c r="B106" s="4" t="s">
        <v>1389</v>
      </c>
      <c r="C106" s="4" t="s">
        <v>261</v>
      </c>
      <c r="D106" s="4" t="s">
        <v>1442</v>
      </c>
      <c r="F106" s="4" t="s">
        <v>1212</v>
      </c>
      <c r="G106" s="4" t="s">
        <v>1426</v>
      </c>
      <c r="H106" s="4" t="s">
        <v>1427</v>
      </c>
    </row>
    <row r="107" spans="1:8" ht="15.6">
      <c r="A107" s="4" t="s">
        <v>533</v>
      </c>
      <c r="B107" s="4" t="s">
        <v>1389</v>
      </c>
      <c r="C107" s="4" t="s">
        <v>261</v>
      </c>
      <c r="D107" s="4" t="s">
        <v>1443</v>
      </c>
      <c r="F107" s="4" t="s">
        <v>1214</v>
      </c>
      <c r="G107" s="4" t="s">
        <v>1426</v>
      </c>
      <c r="H107" s="4" t="s">
        <v>1427</v>
      </c>
    </row>
    <row r="108" spans="1:2" ht="15.6">
      <c r="A108" s="4" t="s">
        <v>533</v>
      </c>
      <c r="B108" s="4" t="s">
        <v>1392</v>
      </c>
    </row>
    <row r="109" spans="1:5" s="718" customFormat="true" ht="15.6">
      <c r="A109" s="4" t="s">
        <v>533</v>
      </c>
      <c r="B109" s="672" t="s">
        <v>1386</v>
      </c>
      <c r="C109" s="672" t="s">
        <v>3358</v>
      </c>
      <c r="D109" s="672" t="s">
        <v>3359</v>
      </c>
      <c r="E109" s="672">
        <v>0</v>
      </c>
    </row>
    <row r="110" spans="1:2" ht="15.6">
      <c r="A110" s="4" t="s">
        <v>533</v>
      </c>
      <c r="B110" s="4" t="s">
        <v>399</v>
      </c>
    </row>
    <row r="111" spans="1:2" ht="15.6">
      <c r="A111" s="4" t="s">
        <v>533</v>
      </c>
      <c r="B111" s="4" t="s">
        <v>1392</v>
      </c>
    </row>
    <row r="112" spans="1:6" ht="15.6">
      <c r="A112" s="4" t="s">
        <v>533</v>
      </c>
      <c r="B112" s="4" t="s">
        <v>12</v>
      </c>
      <c r="C112" s="4" t="s">
        <v>31</v>
      </c>
      <c r="D112" s="4" t="s">
        <v>1444</v>
      </c>
      <c r="F112" s="4" t="s">
        <v>1398</v>
      </c>
    </row>
    <row r="113" spans="1:6" ht="15.6">
      <c r="A113" s="4" t="s">
        <v>533</v>
      </c>
      <c r="B113" s="4" t="s">
        <v>12</v>
      </c>
      <c r="C113" s="4" t="s">
        <v>31</v>
      </c>
      <c r="D113" s="4" t="s">
        <v>1445</v>
      </c>
      <c r="F113" s="4" t="s">
        <v>1400</v>
      </c>
    </row>
    <row r="114" spans="1:4" ht="15.6">
      <c r="A114" s="4" t="s">
        <v>499</v>
      </c>
      <c r="B114" s="4" t="s">
        <v>1384</v>
      </c>
      <c r="C114" s="4" t="s">
        <v>297</v>
      </c>
      <c r="D114" s="673" t="s">
        <v>3360</v>
      </c>
    </row>
    <row r="115" spans="1:4" ht="15.6">
      <c r="A115" s="4" t="s">
        <v>499</v>
      </c>
      <c r="B115" s="4" t="s">
        <v>1384</v>
      </c>
      <c r="C115" s="4" t="s">
        <v>297</v>
      </c>
      <c r="D115" s="673" t="s">
        <v>3361</v>
      </c>
    </row>
    <row r="116" spans="1:4" ht="15.6">
      <c r="A116" s="4" t="s">
        <v>499</v>
      </c>
      <c r="B116" s="4" t="s">
        <v>1384</v>
      </c>
      <c r="C116" s="4" t="s">
        <v>297</v>
      </c>
      <c r="D116" s="673" t="s">
        <v>3362</v>
      </c>
    </row>
    <row r="117" spans="1:4" ht="15.6">
      <c r="A117" s="4" t="s">
        <v>499</v>
      </c>
      <c r="B117" s="4" t="s">
        <v>1384</v>
      </c>
      <c r="C117" s="4" t="s">
        <v>297</v>
      </c>
      <c r="D117" s="673" t="s">
        <v>3363</v>
      </c>
    </row>
    <row r="118" spans="1:4" ht="15.6">
      <c r="A118" s="4" t="s">
        <v>499</v>
      </c>
      <c r="B118" s="4" t="s">
        <v>1384</v>
      </c>
      <c r="C118" s="4" t="s">
        <v>297</v>
      </c>
      <c r="D118" s="673" t="s">
        <v>3364</v>
      </c>
    </row>
    <row r="119" spans="1:4" ht="15.6">
      <c r="A119" s="4" t="s">
        <v>499</v>
      </c>
      <c r="B119" s="4" t="s">
        <v>1384</v>
      </c>
      <c r="C119" s="4" t="s">
        <v>297</v>
      </c>
      <c r="D119" s="673" t="s">
        <v>3365</v>
      </c>
    </row>
    <row r="120" spans="1:4" ht="15.6">
      <c r="A120" s="4" t="s">
        <v>499</v>
      </c>
      <c r="B120" s="4" t="s">
        <v>1384</v>
      </c>
      <c r="C120" s="4" t="s">
        <v>297</v>
      </c>
      <c r="D120" s="673" t="s">
        <v>3366</v>
      </c>
    </row>
    <row r="121" spans="1:4" ht="15.6">
      <c r="A121" s="4" t="s">
        <v>499</v>
      </c>
      <c r="B121" s="4" t="s">
        <v>1384</v>
      </c>
      <c r="C121" s="4" t="s">
        <v>297</v>
      </c>
      <c r="D121" s="673" t="s">
        <v>3367</v>
      </c>
    </row>
    <row r="122" spans="1:4" ht="15.6">
      <c r="A122" s="4" t="s">
        <v>499</v>
      </c>
      <c r="B122" s="4" t="s">
        <v>1384</v>
      </c>
      <c r="C122" s="4" t="s">
        <v>297</v>
      </c>
      <c r="D122" s="673" t="s">
        <v>3368</v>
      </c>
    </row>
    <row r="123" spans="1:4" ht="15.6">
      <c r="A123" s="4" t="s">
        <v>499</v>
      </c>
      <c r="B123" s="4" t="s">
        <v>1384</v>
      </c>
      <c r="C123" s="4" t="s">
        <v>297</v>
      </c>
      <c r="D123" s="673" t="s">
        <v>3369</v>
      </c>
    </row>
    <row r="124" spans="1:4" ht="15.6">
      <c r="A124" s="4" t="s">
        <v>499</v>
      </c>
      <c r="B124" s="4" t="s">
        <v>1384</v>
      </c>
      <c r="C124" s="4" t="s">
        <v>297</v>
      </c>
      <c r="D124" s="673" t="s">
        <v>3370</v>
      </c>
    </row>
    <row r="125" spans="1:4" ht="15.6">
      <c r="A125" s="4" t="s">
        <v>499</v>
      </c>
      <c r="B125" s="4" t="s">
        <v>1384</v>
      </c>
      <c r="C125" s="4" t="s">
        <v>297</v>
      </c>
      <c r="D125" s="673" t="s">
        <v>3371</v>
      </c>
    </row>
    <row r="126" spans="1:4" ht="15.6">
      <c r="A126" s="4" t="s">
        <v>499</v>
      </c>
      <c r="B126" s="4" t="s">
        <v>1384</v>
      </c>
      <c r="C126" s="4" t="s">
        <v>297</v>
      </c>
      <c r="D126" s="673" t="s">
        <v>3372</v>
      </c>
    </row>
    <row r="127" spans="1:4" ht="15.6">
      <c r="A127" s="4" t="s">
        <v>499</v>
      </c>
      <c r="B127" s="4" t="s">
        <v>1384</v>
      </c>
      <c r="C127" s="4" t="s">
        <v>297</v>
      </c>
      <c r="D127" s="673" t="s">
        <v>3373</v>
      </c>
    </row>
    <row r="128" spans="1:4" ht="15.6">
      <c r="A128" s="4" t="s">
        <v>499</v>
      </c>
      <c r="B128" s="4" t="s">
        <v>1384</v>
      </c>
      <c r="C128" s="4" t="s">
        <v>297</v>
      </c>
      <c r="D128" s="673" t="s">
        <v>3374</v>
      </c>
    </row>
    <row r="129" spans="1:4" ht="15.6">
      <c r="A129" s="4" t="s">
        <v>499</v>
      </c>
      <c r="B129" s="4" t="s">
        <v>1384</v>
      </c>
      <c r="C129" s="4" t="s">
        <v>297</v>
      </c>
      <c r="D129" s="673" t="s">
        <v>3375</v>
      </c>
    </row>
    <row r="130" spans="1:4" ht="15.6">
      <c r="A130" s="4" t="s">
        <v>499</v>
      </c>
      <c r="B130" s="4" t="s">
        <v>1384</v>
      </c>
      <c r="C130" s="4" t="s">
        <v>297</v>
      </c>
      <c r="D130" s="673" t="s">
        <v>3376</v>
      </c>
    </row>
    <row r="131" spans="1:4" ht="15.6">
      <c r="A131" s="4" t="s">
        <v>499</v>
      </c>
      <c r="B131" s="4" t="s">
        <v>1384</v>
      </c>
      <c r="C131" s="4" t="s">
        <v>297</v>
      </c>
      <c r="D131" s="673" t="s">
        <v>3377</v>
      </c>
    </row>
    <row r="132" spans="1:4" ht="15.6">
      <c r="A132" s="4" t="s">
        <v>499</v>
      </c>
      <c r="B132" s="4" t="s">
        <v>1384</v>
      </c>
      <c r="C132" s="4" t="s">
        <v>297</v>
      </c>
      <c r="D132" s="673" t="s">
        <v>3378</v>
      </c>
    </row>
    <row r="133" spans="1:4" ht="15.6">
      <c r="A133" s="4" t="s">
        <v>499</v>
      </c>
      <c r="B133" s="4" t="s">
        <v>1384</v>
      </c>
      <c r="C133" s="4" t="s">
        <v>297</v>
      </c>
      <c r="D133" s="673" t="s">
        <v>3379</v>
      </c>
    </row>
    <row r="134" spans="1:4" ht="15.6">
      <c r="A134" s="4" t="s">
        <v>499</v>
      </c>
      <c r="B134" s="4" t="s">
        <v>1384</v>
      </c>
      <c r="C134" s="4" t="s">
        <v>297</v>
      </c>
      <c r="D134" s="673" t="s">
        <v>3380</v>
      </c>
    </row>
    <row r="135" spans="1:4" ht="15.6">
      <c r="A135" s="4" t="s">
        <v>499</v>
      </c>
      <c r="B135" s="4" t="s">
        <v>1384</v>
      </c>
      <c r="C135" s="4" t="s">
        <v>297</v>
      </c>
      <c r="D135" s="673" t="s">
        <v>3381</v>
      </c>
    </row>
    <row r="136" spans="1:4" ht="15.6">
      <c r="A136" s="4" t="s">
        <v>499</v>
      </c>
      <c r="B136" s="4" t="s">
        <v>1384</v>
      </c>
      <c r="C136" s="4" t="s">
        <v>297</v>
      </c>
      <c r="D136" s="673" t="s">
        <v>3382</v>
      </c>
    </row>
    <row r="137" spans="1:4" ht="15.6">
      <c r="A137" s="4" t="s">
        <v>499</v>
      </c>
      <c r="B137" s="4" t="s">
        <v>1384</v>
      </c>
      <c r="C137" s="4" t="s">
        <v>297</v>
      </c>
      <c r="D137" s="673" t="s">
        <v>3383</v>
      </c>
    </row>
    <row r="138" spans="1:4" ht="15.6">
      <c r="A138" s="4" t="s">
        <v>499</v>
      </c>
      <c r="B138" s="4" t="s">
        <v>1384</v>
      </c>
      <c r="C138" s="4" t="s">
        <v>297</v>
      </c>
      <c r="D138" s="673" t="s">
        <v>3384</v>
      </c>
    </row>
    <row r="139" spans="1:4" ht="15.6">
      <c r="A139" s="4" t="s">
        <v>499</v>
      </c>
      <c r="B139" s="4" t="s">
        <v>1384</v>
      </c>
      <c r="C139" s="4" t="s">
        <v>261</v>
      </c>
      <c r="D139" s="4" t="s">
        <v>1402</v>
      </c>
    </row>
    <row r="140" spans="1:4" ht="15.6">
      <c r="A140" s="4" t="s">
        <v>499</v>
      </c>
      <c r="B140" s="4" t="s">
        <v>1384</v>
      </c>
      <c r="C140" s="4" t="s">
        <v>261</v>
      </c>
      <c r="D140" s="4" t="s">
        <v>1446</v>
      </c>
    </row>
    <row r="141" spans="1:4" ht="15.6">
      <c r="A141" s="4" t="s">
        <v>499</v>
      </c>
      <c r="B141" s="4" t="s">
        <v>1384</v>
      </c>
      <c r="C141" s="4" t="s">
        <v>261</v>
      </c>
      <c r="D141" s="4" t="s">
        <v>1447</v>
      </c>
    </row>
    <row r="142" spans="1:4" ht="15.6">
      <c r="A142" s="4" t="s">
        <v>499</v>
      </c>
      <c r="B142" s="4" t="s">
        <v>1384</v>
      </c>
      <c r="C142" s="4" t="s">
        <v>261</v>
      </c>
      <c r="D142" s="4" t="s">
        <v>1448</v>
      </c>
    </row>
    <row r="143" spans="1:4" ht="15.6">
      <c r="A143" s="4" t="s">
        <v>499</v>
      </c>
      <c r="B143" s="4" t="s">
        <v>1384</v>
      </c>
      <c r="C143" s="4" t="s">
        <v>261</v>
      </c>
      <c r="D143" s="4" t="s">
        <v>1449</v>
      </c>
    </row>
    <row r="144" spans="1:4" ht="15.6">
      <c r="A144" s="4" t="s">
        <v>499</v>
      </c>
      <c r="B144" s="4" t="s">
        <v>1384</v>
      </c>
      <c r="C144" s="4" t="s">
        <v>261</v>
      </c>
      <c r="D144" s="4" t="s">
        <v>1450</v>
      </c>
    </row>
    <row r="145" spans="1:4" ht="15.6">
      <c r="A145" s="4" t="s">
        <v>499</v>
      </c>
      <c r="B145" s="4" t="s">
        <v>1384</v>
      </c>
      <c r="C145" s="4" t="s">
        <v>261</v>
      </c>
      <c r="D145" s="4" t="s">
        <v>1451</v>
      </c>
    </row>
    <row r="146" spans="1:4" ht="15.6">
      <c r="A146" s="4" t="s">
        <v>499</v>
      </c>
      <c r="B146" s="4" t="s">
        <v>1384</v>
      </c>
      <c r="C146" s="4" t="s">
        <v>261</v>
      </c>
      <c r="D146" s="4" t="s">
        <v>1452</v>
      </c>
    </row>
    <row r="147" spans="1:4" ht="15.6">
      <c r="A147" s="4" t="s">
        <v>499</v>
      </c>
      <c r="B147" s="4" t="s">
        <v>1384</v>
      </c>
      <c r="C147" s="4" t="s">
        <v>261</v>
      </c>
      <c r="D147" s="4" t="s">
        <v>1453</v>
      </c>
    </row>
    <row r="148" spans="1:4" ht="15.6">
      <c r="A148" s="4" t="s">
        <v>499</v>
      </c>
      <c r="B148" s="4" t="s">
        <v>1384</v>
      </c>
      <c r="C148" s="4" t="s">
        <v>261</v>
      </c>
      <c r="D148" s="4" t="s">
        <v>1454</v>
      </c>
    </row>
    <row r="149" spans="1:4" ht="15.6">
      <c r="A149" s="4" t="s">
        <v>499</v>
      </c>
      <c r="B149" s="4" t="s">
        <v>1384</v>
      </c>
      <c r="C149" s="4" t="s">
        <v>261</v>
      </c>
      <c r="D149" s="4" t="s">
        <v>1411</v>
      </c>
    </row>
    <row r="150" spans="1:4" ht="15.6">
      <c r="A150" s="4" t="s">
        <v>499</v>
      </c>
      <c r="B150" s="4" t="s">
        <v>1384</v>
      </c>
      <c r="C150" s="4" t="s">
        <v>261</v>
      </c>
      <c r="D150" s="4" t="s">
        <v>1455</v>
      </c>
    </row>
    <row r="151" spans="1:4" ht="15.6">
      <c r="A151" s="4" t="s">
        <v>499</v>
      </c>
      <c r="B151" s="4" t="s">
        <v>1384</v>
      </c>
      <c r="C151" s="4" t="s">
        <v>261</v>
      </c>
      <c r="D151" s="4" t="s">
        <v>1456</v>
      </c>
    </row>
    <row r="152" spans="1:4" ht="15.6">
      <c r="A152" s="4" t="s">
        <v>499</v>
      </c>
      <c r="B152" s="4" t="s">
        <v>1384</v>
      </c>
      <c r="C152" s="4" t="s">
        <v>261</v>
      </c>
      <c r="D152" s="4" t="s">
        <v>1457</v>
      </c>
    </row>
    <row r="153" spans="1:4" ht="15.6">
      <c r="A153" s="4" t="s">
        <v>499</v>
      </c>
      <c r="B153" s="4" t="s">
        <v>1384</v>
      </c>
      <c r="C153" s="4" t="s">
        <v>261</v>
      </c>
      <c r="D153" s="4" t="s">
        <v>1458</v>
      </c>
    </row>
    <row r="154" spans="1:8" ht="15.6">
      <c r="A154" s="4" t="s">
        <v>499</v>
      </c>
      <c r="B154" s="4" t="s">
        <v>1389</v>
      </c>
      <c r="C154" s="4" t="s">
        <v>297</v>
      </c>
      <c r="D154" s="673" t="s">
        <v>3360</v>
      </c>
      <c r="F154" s="4" t="s">
        <v>1092</v>
      </c>
      <c r="G154" s="4" t="s">
        <v>1426</v>
      </c>
      <c r="H154" s="4" t="s">
        <v>1427</v>
      </c>
    </row>
    <row r="155" spans="1:8" ht="15.6">
      <c r="A155" s="4" t="s">
        <v>499</v>
      </c>
      <c r="B155" s="4" t="s">
        <v>1389</v>
      </c>
      <c r="C155" s="4" t="s">
        <v>297</v>
      </c>
      <c r="D155" s="673" t="s">
        <v>3361</v>
      </c>
      <c r="F155" s="4" t="s">
        <v>1094</v>
      </c>
      <c r="G155" s="4" t="s">
        <v>1426</v>
      </c>
      <c r="H155" s="4" t="s">
        <v>1427</v>
      </c>
    </row>
    <row r="156" spans="1:8" ht="15.6">
      <c r="A156" s="4" t="s">
        <v>499</v>
      </c>
      <c r="B156" s="4" t="s">
        <v>1389</v>
      </c>
      <c r="C156" s="4" t="s">
        <v>297</v>
      </c>
      <c r="D156" s="673" t="s">
        <v>3362</v>
      </c>
      <c r="F156" s="4" t="s">
        <v>1096</v>
      </c>
      <c r="G156" s="4" t="s">
        <v>1426</v>
      </c>
      <c r="H156" s="4" t="s">
        <v>1427</v>
      </c>
    </row>
    <row r="157" spans="1:8" ht="15.6">
      <c r="A157" s="4" t="s">
        <v>499</v>
      </c>
      <c r="B157" s="4" t="s">
        <v>1389</v>
      </c>
      <c r="C157" s="4" t="s">
        <v>297</v>
      </c>
      <c r="D157" s="673" t="s">
        <v>3363</v>
      </c>
      <c r="F157" s="4" t="s">
        <v>1098</v>
      </c>
      <c r="G157" s="4" t="s">
        <v>1426</v>
      </c>
      <c r="H157" s="4" t="s">
        <v>1427</v>
      </c>
    </row>
    <row r="158" spans="1:8" ht="15.6">
      <c r="A158" s="4" t="s">
        <v>499</v>
      </c>
      <c r="B158" s="4" t="s">
        <v>1389</v>
      </c>
      <c r="C158" s="4" t="s">
        <v>297</v>
      </c>
      <c r="D158" s="673" t="s">
        <v>3364</v>
      </c>
      <c r="F158" s="4" t="s">
        <v>1100</v>
      </c>
      <c r="G158" s="4" t="s">
        <v>1426</v>
      </c>
      <c r="H158" s="4" t="s">
        <v>1427</v>
      </c>
    </row>
    <row r="159" spans="1:8" ht="15.6">
      <c r="A159" s="4" t="s">
        <v>499</v>
      </c>
      <c r="B159" s="4" t="s">
        <v>1389</v>
      </c>
      <c r="C159" s="4" t="s">
        <v>297</v>
      </c>
      <c r="D159" s="673" t="s">
        <v>3365</v>
      </c>
      <c r="F159" s="4" t="s">
        <v>1102</v>
      </c>
      <c r="G159" s="4" t="s">
        <v>1426</v>
      </c>
      <c r="H159" s="4" t="s">
        <v>1427</v>
      </c>
    </row>
    <row r="160" spans="1:8" ht="15.6">
      <c r="A160" s="4" t="s">
        <v>499</v>
      </c>
      <c r="B160" s="4" t="s">
        <v>1389</v>
      </c>
      <c r="C160" s="4" t="s">
        <v>297</v>
      </c>
      <c r="D160" s="673" t="s">
        <v>3366</v>
      </c>
      <c r="F160" s="4" t="s">
        <v>1104</v>
      </c>
      <c r="G160" s="4" t="s">
        <v>1426</v>
      </c>
      <c r="H160" s="4" t="s">
        <v>1427</v>
      </c>
    </row>
    <row r="161" spans="1:8" ht="15.6">
      <c r="A161" s="4" t="s">
        <v>499</v>
      </c>
      <c r="B161" s="4" t="s">
        <v>1389</v>
      </c>
      <c r="C161" s="4" t="s">
        <v>297</v>
      </c>
      <c r="D161" s="673" t="s">
        <v>3367</v>
      </c>
      <c r="F161" s="4" t="s">
        <v>1106</v>
      </c>
      <c r="G161" s="4" t="s">
        <v>1426</v>
      </c>
      <c r="H161" s="4" t="s">
        <v>1427</v>
      </c>
    </row>
    <row r="162" spans="1:8" ht="15.6">
      <c r="A162" s="4" t="s">
        <v>499</v>
      </c>
      <c r="B162" s="4" t="s">
        <v>1389</v>
      </c>
      <c r="C162" s="4" t="s">
        <v>297</v>
      </c>
      <c r="D162" s="673" t="s">
        <v>3368</v>
      </c>
      <c r="F162" s="4" t="s">
        <v>1108</v>
      </c>
      <c r="G162" s="4" t="s">
        <v>1426</v>
      </c>
      <c r="H162" s="4" t="s">
        <v>1427</v>
      </c>
    </row>
    <row r="163" spans="1:8" ht="15.6">
      <c r="A163" s="4" t="s">
        <v>499</v>
      </c>
      <c r="B163" s="4" t="s">
        <v>1389</v>
      </c>
      <c r="C163" s="4" t="s">
        <v>297</v>
      </c>
      <c r="D163" s="673" t="s">
        <v>3369</v>
      </c>
      <c r="F163" s="4" t="s">
        <v>1110</v>
      </c>
      <c r="G163" s="4" t="s">
        <v>1426</v>
      </c>
      <c r="H163" s="4" t="s">
        <v>1427</v>
      </c>
    </row>
    <row r="164" spans="1:8" ht="15.6">
      <c r="A164" s="4" t="s">
        <v>499</v>
      </c>
      <c r="B164" s="4" t="s">
        <v>1389</v>
      </c>
      <c r="C164" s="4" t="s">
        <v>297</v>
      </c>
      <c r="D164" s="673" t="s">
        <v>3370</v>
      </c>
      <c r="F164" s="4" t="s">
        <v>1112</v>
      </c>
      <c r="G164" s="4" t="s">
        <v>1426</v>
      </c>
      <c r="H164" s="4" t="s">
        <v>1427</v>
      </c>
    </row>
    <row r="165" spans="1:8" ht="15.6">
      <c r="A165" s="4" t="s">
        <v>499</v>
      </c>
      <c r="B165" s="4" t="s">
        <v>1389</v>
      </c>
      <c r="C165" s="4" t="s">
        <v>297</v>
      </c>
      <c r="D165" s="673" t="s">
        <v>3371</v>
      </c>
      <c r="F165" s="4" t="s">
        <v>1114</v>
      </c>
      <c r="G165" s="4" t="s">
        <v>1426</v>
      </c>
      <c r="H165" s="4" t="s">
        <v>1427</v>
      </c>
    </row>
    <row r="166" spans="1:8" ht="15.6">
      <c r="A166" s="4" t="s">
        <v>499</v>
      </c>
      <c r="B166" s="4" t="s">
        <v>1389</v>
      </c>
      <c r="C166" s="4" t="s">
        <v>297</v>
      </c>
      <c r="D166" s="673" t="s">
        <v>3372</v>
      </c>
      <c r="F166" s="4" t="s">
        <v>1116</v>
      </c>
      <c r="G166" s="4" t="s">
        <v>1426</v>
      </c>
      <c r="H166" s="4" t="s">
        <v>1427</v>
      </c>
    </row>
    <row r="167" spans="1:8" ht="15.6">
      <c r="A167" s="4" t="s">
        <v>499</v>
      </c>
      <c r="B167" s="4" t="s">
        <v>1389</v>
      </c>
      <c r="C167" s="4" t="s">
        <v>297</v>
      </c>
      <c r="D167" s="673" t="s">
        <v>3373</v>
      </c>
      <c r="F167" s="4" t="s">
        <v>1118</v>
      </c>
      <c r="G167" s="4" t="s">
        <v>1426</v>
      </c>
      <c r="H167" s="4" t="s">
        <v>1427</v>
      </c>
    </row>
    <row r="168" spans="1:8" ht="15.6">
      <c r="A168" s="4" t="s">
        <v>499</v>
      </c>
      <c r="B168" s="4" t="s">
        <v>1389</v>
      </c>
      <c r="C168" s="4" t="s">
        <v>297</v>
      </c>
      <c r="D168" s="673" t="s">
        <v>3374</v>
      </c>
      <c r="F168" s="4" t="s">
        <v>1120</v>
      </c>
      <c r="G168" s="4" t="s">
        <v>1426</v>
      </c>
      <c r="H168" s="4" t="s">
        <v>1427</v>
      </c>
    </row>
    <row r="169" spans="1:8" ht="15.6">
      <c r="A169" s="4" t="s">
        <v>499</v>
      </c>
      <c r="B169" s="4" t="s">
        <v>1389</v>
      </c>
      <c r="C169" s="4" t="s">
        <v>297</v>
      </c>
      <c r="D169" s="673" t="s">
        <v>3375</v>
      </c>
      <c r="F169" s="4" t="s">
        <v>1122</v>
      </c>
      <c r="G169" s="4" t="s">
        <v>1426</v>
      </c>
      <c r="H169" s="4" t="s">
        <v>1427</v>
      </c>
    </row>
    <row r="170" spans="1:8" ht="15.6">
      <c r="A170" s="4" t="s">
        <v>499</v>
      </c>
      <c r="B170" s="4" t="s">
        <v>1389</v>
      </c>
      <c r="C170" s="4" t="s">
        <v>297</v>
      </c>
      <c r="D170" s="673" t="s">
        <v>3376</v>
      </c>
      <c r="F170" s="4" t="s">
        <v>1124</v>
      </c>
      <c r="G170" s="4" t="s">
        <v>1426</v>
      </c>
      <c r="H170" s="4" t="s">
        <v>1427</v>
      </c>
    </row>
    <row r="171" spans="1:8" ht="15.6">
      <c r="A171" s="4" t="s">
        <v>499</v>
      </c>
      <c r="B171" s="4" t="s">
        <v>1389</v>
      </c>
      <c r="C171" s="4" t="s">
        <v>297</v>
      </c>
      <c r="D171" s="673" t="s">
        <v>3377</v>
      </c>
      <c r="F171" s="4" t="s">
        <v>1126</v>
      </c>
      <c r="G171" s="4" t="s">
        <v>1426</v>
      </c>
      <c r="H171" s="4" t="s">
        <v>1427</v>
      </c>
    </row>
    <row r="172" spans="1:8" ht="15.6">
      <c r="A172" s="4" t="s">
        <v>499</v>
      </c>
      <c r="B172" s="4" t="s">
        <v>1389</v>
      </c>
      <c r="C172" s="4" t="s">
        <v>297</v>
      </c>
      <c r="D172" s="673" t="s">
        <v>3378</v>
      </c>
      <c r="F172" s="4" t="s">
        <v>1128</v>
      </c>
      <c r="G172" s="4" t="s">
        <v>1426</v>
      </c>
      <c r="H172" s="4" t="s">
        <v>1427</v>
      </c>
    </row>
    <row r="173" spans="1:8" ht="15.6">
      <c r="A173" s="4" t="s">
        <v>499</v>
      </c>
      <c r="B173" s="4" t="s">
        <v>1389</v>
      </c>
      <c r="C173" s="4" t="s">
        <v>297</v>
      </c>
      <c r="D173" s="673" t="s">
        <v>3379</v>
      </c>
      <c r="F173" s="4" t="s">
        <v>1130</v>
      </c>
      <c r="G173" s="4" t="s">
        <v>1426</v>
      </c>
      <c r="H173" s="4" t="s">
        <v>1427</v>
      </c>
    </row>
    <row r="174" spans="1:8" ht="15.6">
      <c r="A174" s="4" t="s">
        <v>499</v>
      </c>
      <c r="B174" s="4" t="s">
        <v>1389</v>
      </c>
      <c r="C174" s="4" t="s">
        <v>297</v>
      </c>
      <c r="D174" s="673" t="s">
        <v>3380</v>
      </c>
      <c r="F174" s="4" t="s">
        <v>1132</v>
      </c>
      <c r="G174" s="4" t="s">
        <v>1426</v>
      </c>
      <c r="H174" s="4" t="s">
        <v>1427</v>
      </c>
    </row>
    <row r="175" spans="1:8" ht="15.6">
      <c r="A175" s="4" t="s">
        <v>499</v>
      </c>
      <c r="B175" s="4" t="s">
        <v>1389</v>
      </c>
      <c r="C175" s="4" t="s">
        <v>297</v>
      </c>
      <c r="D175" s="673" t="s">
        <v>3381</v>
      </c>
      <c r="F175" s="4" t="s">
        <v>1134</v>
      </c>
      <c r="G175" s="4" t="s">
        <v>1426</v>
      </c>
      <c r="H175" s="4" t="s">
        <v>1427</v>
      </c>
    </row>
    <row r="176" spans="1:8" ht="15.6">
      <c r="A176" s="4" t="s">
        <v>499</v>
      </c>
      <c r="B176" s="4" t="s">
        <v>1389</v>
      </c>
      <c r="C176" s="4" t="s">
        <v>297</v>
      </c>
      <c r="D176" s="673" t="s">
        <v>3382</v>
      </c>
      <c r="F176" s="4" t="s">
        <v>1136</v>
      </c>
      <c r="G176" s="4" t="s">
        <v>1426</v>
      </c>
      <c r="H176" s="4" t="s">
        <v>1427</v>
      </c>
    </row>
    <row r="177" spans="1:8" ht="15.6">
      <c r="A177" s="4" t="s">
        <v>499</v>
      </c>
      <c r="B177" s="4" t="s">
        <v>1389</v>
      </c>
      <c r="C177" s="4" t="s">
        <v>297</v>
      </c>
      <c r="D177" s="673" t="s">
        <v>3383</v>
      </c>
      <c r="F177" s="4" t="s">
        <v>1138</v>
      </c>
      <c r="G177" s="4" t="s">
        <v>1426</v>
      </c>
      <c r="H177" s="4" t="s">
        <v>1427</v>
      </c>
    </row>
    <row r="178" spans="1:8" ht="15.6">
      <c r="A178" s="4" t="s">
        <v>499</v>
      </c>
      <c r="B178" s="4" t="s">
        <v>1389</v>
      </c>
      <c r="C178" s="4" t="s">
        <v>297</v>
      </c>
      <c r="D178" s="673" t="s">
        <v>3384</v>
      </c>
      <c r="F178" s="4" t="s">
        <v>1140</v>
      </c>
      <c r="G178" s="4" t="s">
        <v>1426</v>
      </c>
      <c r="H178" s="4" t="s">
        <v>1427</v>
      </c>
    </row>
    <row r="179" spans="1:8" ht="15.6">
      <c r="A179" s="4" t="s">
        <v>499</v>
      </c>
      <c r="B179" s="4" t="s">
        <v>1389</v>
      </c>
      <c r="C179" s="4" t="s">
        <v>261</v>
      </c>
      <c r="D179" s="4" t="s">
        <v>1402</v>
      </c>
      <c r="F179" s="4" t="s">
        <v>1187</v>
      </c>
      <c r="G179" s="4" t="s">
        <v>1426</v>
      </c>
      <c r="H179" s="4" t="s">
        <v>1427</v>
      </c>
    </row>
    <row r="180" spans="1:8" ht="15.6">
      <c r="A180" s="4" t="s">
        <v>499</v>
      </c>
      <c r="B180" s="4" t="s">
        <v>1389</v>
      </c>
      <c r="C180" s="4" t="s">
        <v>261</v>
      </c>
      <c r="D180" s="4" t="s">
        <v>1446</v>
      </c>
      <c r="F180" s="4" t="s">
        <v>1189</v>
      </c>
      <c r="G180" s="4" t="s">
        <v>1426</v>
      </c>
      <c r="H180" s="4" t="s">
        <v>1427</v>
      </c>
    </row>
    <row r="181" spans="1:8" ht="15.6">
      <c r="A181" s="4" t="s">
        <v>499</v>
      </c>
      <c r="B181" s="4" t="s">
        <v>1389</v>
      </c>
      <c r="C181" s="4" t="s">
        <v>261</v>
      </c>
      <c r="D181" s="4" t="s">
        <v>1447</v>
      </c>
      <c r="F181" s="4" t="s">
        <v>1191</v>
      </c>
      <c r="G181" s="4" t="s">
        <v>1426</v>
      </c>
      <c r="H181" s="4" t="s">
        <v>1427</v>
      </c>
    </row>
    <row r="182" spans="1:8" ht="15.6">
      <c r="A182" s="4" t="s">
        <v>499</v>
      </c>
      <c r="B182" s="4" t="s">
        <v>1389</v>
      </c>
      <c r="C182" s="4" t="s">
        <v>261</v>
      </c>
      <c r="D182" s="4" t="s">
        <v>1448</v>
      </c>
      <c r="F182" s="4" t="s">
        <v>1193</v>
      </c>
      <c r="G182" s="4" t="s">
        <v>1426</v>
      </c>
      <c r="H182" s="4" t="s">
        <v>1427</v>
      </c>
    </row>
    <row r="183" spans="1:8" ht="15.6">
      <c r="A183" s="4" t="s">
        <v>499</v>
      </c>
      <c r="B183" s="4" t="s">
        <v>1389</v>
      </c>
      <c r="C183" s="4" t="s">
        <v>261</v>
      </c>
      <c r="D183" s="4" t="s">
        <v>1449</v>
      </c>
      <c r="F183" s="4" t="s">
        <v>1195</v>
      </c>
      <c r="G183" s="4" t="s">
        <v>1426</v>
      </c>
      <c r="H183" s="4" t="s">
        <v>1427</v>
      </c>
    </row>
    <row r="184" spans="1:8" ht="15.6">
      <c r="A184" s="4" t="s">
        <v>499</v>
      </c>
      <c r="B184" s="4" t="s">
        <v>1389</v>
      </c>
      <c r="C184" s="4" t="s">
        <v>261</v>
      </c>
      <c r="D184" s="4" t="s">
        <v>1450</v>
      </c>
      <c r="F184" s="4" t="s">
        <v>1197</v>
      </c>
      <c r="G184" s="4" t="s">
        <v>1426</v>
      </c>
      <c r="H184" s="4" t="s">
        <v>1427</v>
      </c>
    </row>
    <row r="185" spans="1:8" ht="15.6">
      <c r="A185" s="4" t="s">
        <v>499</v>
      </c>
      <c r="B185" s="4" t="s">
        <v>1389</v>
      </c>
      <c r="C185" s="4" t="s">
        <v>261</v>
      </c>
      <c r="D185" s="4" t="s">
        <v>1451</v>
      </c>
      <c r="F185" s="4" t="s">
        <v>1199</v>
      </c>
      <c r="G185" s="4" t="s">
        <v>1426</v>
      </c>
      <c r="H185" s="4" t="s">
        <v>1427</v>
      </c>
    </row>
    <row r="186" spans="1:8" ht="15.6">
      <c r="A186" s="4" t="s">
        <v>499</v>
      </c>
      <c r="B186" s="4" t="s">
        <v>1389</v>
      </c>
      <c r="C186" s="4" t="s">
        <v>261</v>
      </c>
      <c r="D186" s="4" t="s">
        <v>1452</v>
      </c>
      <c r="F186" s="4" t="s">
        <v>1201</v>
      </c>
      <c r="G186" s="4" t="s">
        <v>1426</v>
      </c>
      <c r="H186" s="4" t="s">
        <v>1427</v>
      </c>
    </row>
    <row r="187" spans="1:8" ht="15.6">
      <c r="A187" s="4" t="s">
        <v>499</v>
      </c>
      <c r="B187" s="4" t="s">
        <v>1389</v>
      </c>
      <c r="C187" s="4" t="s">
        <v>261</v>
      </c>
      <c r="D187" s="4" t="s">
        <v>1453</v>
      </c>
      <c r="F187" s="4" t="s">
        <v>1108</v>
      </c>
      <c r="G187" s="4" t="s">
        <v>1426</v>
      </c>
      <c r="H187" s="4" t="s">
        <v>1427</v>
      </c>
    </row>
    <row r="188" spans="1:8" ht="15.6">
      <c r="A188" s="4" t="s">
        <v>499</v>
      </c>
      <c r="B188" s="4" t="s">
        <v>1389</v>
      </c>
      <c r="C188" s="4" t="s">
        <v>261</v>
      </c>
      <c r="D188" s="4" t="s">
        <v>1454</v>
      </c>
      <c r="F188" s="4" t="s">
        <v>1204</v>
      </c>
      <c r="G188" s="4" t="s">
        <v>1426</v>
      </c>
      <c r="H188" s="4" t="s">
        <v>1427</v>
      </c>
    </row>
    <row r="189" spans="1:8" ht="15.6">
      <c r="A189" s="4" t="s">
        <v>499</v>
      </c>
      <c r="B189" s="4" t="s">
        <v>1389</v>
      </c>
      <c r="C189" s="4" t="s">
        <v>261</v>
      </c>
      <c r="D189" s="4" t="s">
        <v>1411</v>
      </c>
      <c r="F189" s="4" t="s">
        <v>1206</v>
      </c>
      <c r="G189" s="4" t="s">
        <v>1426</v>
      </c>
      <c r="H189" s="4" t="s">
        <v>1427</v>
      </c>
    </row>
    <row r="190" spans="1:8" ht="15.6">
      <c r="A190" s="4" t="s">
        <v>499</v>
      </c>
      <c r="B190" s="4" t="s">
        <v>1389</v>
      </c>
      <c r="C190" s="4" t="s">
        <v>261</v>
      </c>
      <c r="D190" s="4" t="s">
        <v>1455</v>
      </c>
      <c r="F190" s="4" t="s">
        <v>1208</v>
      </c>
      <c r="G190" s="4" t="s">
        <v>1426</v>
      </c>
      <c r="H190" s="4" t="s">
        <v>1427</v>
      </c>
    </row>
    <row r="191" spans="1:8" ht="15.6">
      <c r="A191" s="4" t="s">
        <v>499</v>
      </c>
      <c r="B191" s="4" t="s">
        <v>1389</v>
      </c>
      <c r="C191" s="4" t="s">
        <v>261</v>
      </c>
      <c r="D191" s="4" t="s">
        <v>1456</v>
      </c>
      <c r="F191" s="4" t="s">
        <v>1210</v>
      </c>
      <c r="G191" s="4" t="s">
        <v>1426</v>
      </c>
      <c r="H191" s="4" t="s">
        <v>1427</v>
      </c>
    </row>
    <row r="192" spans="1:8" ht="15.6">
      <c r="A192" s="4" t="s">
        <v>499</v>
      </c>
      <c r="B192" s="4" t="s">
        <v>1389</v>
      </c>
      <c r="C192" s="4" t="s">
        <v>261</v>
      </c>
      <c r="D192" s="4" t="s">
        <v>1457</v>
      </c>
      <c r="F192" s="4" t="s">
        <v>1212</v>
      </c>
      <c r="G192" s="4" t="s">
        <v>1426</v>
      </c>
      <c r="H192" s="4" t="s">
        <v>1427</v>
      </c>
    </row>
    <row r="193" spans="1:8" ht="15.6">
      <c r="A193" s="4" t="s">
        <v>499</v>
      </c>
      <c r="B193" s="4" t="s">
        <v>1389</v>
      </c>
      <c r="C193" s="4" t="s">
        <v>261</v>
      </c>
      <c r="D193" s="4" t="s">
        <v>1458</v>
      </c>
      <c r="F193" s="4" t="s">
        <v>1214</v>
      </c>
      <c r="G193" s="4" t="s">
        <v>1426</v>
      </c>
      <c r="H193" s="4" t="s">
        <v>1427</v>
      </c>
    </row>
    <row r="194" spans="1:2" ht="15.6">
      <c r="A194" s="4" t="s">
        <v>499</v>
      </c>
      <c r="B194" s="4" t="s">
        <v>1392</v>
      </c>
    </row>
    <row r="195" spans="1:5" s="718" customFormat="true" ht="15.6">
      <c r="A195" s="4" t="s">
        <v>499</v>
      </c>
      <c r="B195" s="672" t="s">
        <v>1386</v>
      </c>
      <c r="C195" s="672" t="s">
        <v>3358</v>
      </c>
      <c r="D195" s="672" t="s">
        <v>3359</v>
      </c>
      <c r="E195" s="672">
        <v>0</v>
      </c>
    </row>
    <row r="196" spans="1:2" ht="15.6">
      <c r="A196" s="4" t="s">
        <v>499</v>
      </c>
      <c r="B196" s="4" t="s">
        <v>399</v>
      </c>
    </row>
    <row r="197" spans="1:2" ht="15.6">
      <c r="A197" s="4" t="s">
        <v>499</v>
      </c>
      <c r="B197" s="4" t="s">
        <v>1392</v>
      </c>
    </row>
    <row r="198" spans="1:6" ht="15.6">
      <c r="A198" s="4" t="s">
        <v>499</v>
      </c>
      <c r="B198" s="4" t="s">
        <v>12</v>
      </c>
      <c r="C198" s="4" t="s">
        <v>31</v>
      </c>
      <c r="D198" s="4" t="s">
        <v>1459</v>
      </c>
      <c r="F198" s="4" t="s">
        <v>1398</v>
      </c>
    </row>
    <row r="199" spans="1:6" ht="15.6">
      <c r="A199" s="4" t="s">
        <v>499</v>
      </c>
      <c r="B199" s="4" t="s">
        <v>12</v>
      </c>
      <c r="C199" s="4" t="s">
        <v>31</v>
      </c>
      <c r="D199" s="4" t="s">
        <v>1460</v>
      </c>
      <c r="F199" s="4" t="s">
        <v>1400</v>
      </c>
    </row>
    <row r="200" spans="1:6" ht="15.6">
      <c r="A200" s="4" t="s">
        <v>500</v>
      </c>
      <c r="B200" s="4" t="s">
        <v>1381</v>
      </c>
      <c r="C200" s="4" t="s">
        <v>9</v>
      </c>
      <c r="D200" s="4" t="s">
        <v>1382</v>
      </c>
      <c r="F200" s="4" t="s">
        <v>1383</v>
      </c>
    </row>
    <row r="201" spans="1:4" s="718" customFormat="true" ht="15.6">
      <c r="A201" s="4" t="s">
        <v>500</v>
      </c>
      <c r="B201" s="561" t="s">
        <v>1384</v>
      </c>
      <c r="C201" s="561" t="s">
        <v>259</v>
      </c>
      <c r="D201" s="561" t="s">
        <v>1385</v>
      </c>
    </row>
    <row r="202" spans="1:5" s="718" customFormat="true" ht="15.6">
      <c r="A202" s="4" t="s">
        <v>500</v>
      </c>
      <c r="B202" s="561" t="s">
        <v>1386</v>
      </c>
      <c r="C202" s="670" t="s">
        <v>259</v>
      </c>
      <c r="D202" s="561" t="s">
        <v>1387</v>
      </c>
      <c r="E202" s="561" t="s">
        <v>1388</v>
      </c>
    </row>
    <row r="203" spans="1:4" s="718" customFormat="true" ht="15.6">
      <c r="A203" s="4" t="s">
        <v>500</v>
      </c>
      <c r="B203" s="561" t="s">
        <v>1384</v>
      </c>
      <c r="C203" s="670" t="s">
        <v>259</v>
      </c>
      <c r="D203" s="561" t="s">
        <v>1387</v>
      </c>
    </row>
    <row r="204" spans="1:4" ht="15.6">
      <c r="A204" s="4" t="s">
        <v>500</v>
      </c>
      <c r="B204" s="4" t="s">
        <v>1384</v>
      </c>
      <c r="C204" s="4" t="s">
        <v>9</v>
      </c>
      <c r="D204" s="4" t="s">
        <v>1461</v>
      </c>
    </row>
    <row r="205" spans="1:4" ht="15.6">
      <c r="A205" s="4" t="s">
        <v>500</v>
      </c>
      <c r="B205" s="4" t="s">
        <v>1384</v>
      </c>
      <c r="C205" s="4" t="s">
        <v>9</v>
      </c>
      <c r="D205" s="4" t="s">
        <v>1462</v>
      </c>
    </row>
    <row r="206" spans="1:4" ht="15.6">
      <c r="A206" s="4" t="s">
        <v>500</v>
      </c>
      <c r="B206" s="4" t="s">
        <v>1384</v>
      </c>
      <c r="C206" s="4" t="s">
        <v>9</v>
      </c>
      <c r="D206" s="4" t="s">
        <v>1463</v>
      </c>
    </row>
    <row r="207" spans="1:4" ht="15.6">
      <c r="A207" s="4" t="s">
        <v>500</v>
      </c>
      <c r="B207" s="4" t="s">
        <v>1389</v>
      </c>
      <c r="C207" s="4" t="s">
        <v>9</v>
      </c>
      <c r="D207" s="4" t="s">
        <v>1461</v>
      </c>
    </row>
    <row r="208" spans="1:4" ht="15.6">
      <c r="A208" s="4" t="s">
        <v>500</v>
      </c>
      <c r="B208" s="4" t="s">
        <v>1389</v>
      </c>
      <c r="C208" s="4" t="s">
        <v>9</v>
      </c>
      <c r="D208" s="4" t="s">
        <v>1462</v>
      </c>
    </row>
    <row r="209" spans="1:4" ht="15.6">
      <c r="A209" s="4" t="s">
        <v>500</v>
      </c>
      <c r="B209" s="4" t="s">
        <v>1389</v>
      </c>
      <c r="C209" s="4" t="s">
        <v>9</v>
      </c>
      <c r="D209" s="4" t="s">
        <v>1463</v>
      </c>
    </row>
    <row r="210" spans="1:2" ht="15.6">
      <c r="A210" s="4" t="s">
        <v>500</v>
      </c>
      <c r="B210" s="4" t="s">
        <v>1392</v>
      </c>
    </row>
    <row r="211" spans="1:3" ht="15.6">
      <c r="A211" s="4" t="s">
        <v>500</v>
      </c>
      <c r="B211" s="4" t="s">
        <v>1395</v>
      </c>
      <c r="C211" s="671" t="b">
        <v>1</v>
      </c>
    </row>
    <row r="212" spans="1:4" ht="15.6">
      <c r="A212" s="4" t="s">
        <v>500</v>
      </c>
      <c r="B212" s="4" t="s">
        <v>1384</v>
      </c>
      <c r="C212" s="4" t="s">
        <v>9</v>
      </c>
      <c r="D212" s="4" t="s">
        <v>1393</v>
      </c>
    </row>
    <row r="213" spans="1:4" ht="15.6">
      <c r="A213" s="4" t="s">
        <v>500</v>
      </c>
      <c r="B213" s="4" t="s">
        <v>1384</v>
      </c>
      <c r="C213" s="4" t="s">
        <v>9</v>
      </c>
      <c r="D213" s="4" t="s">
        <v>1394</v>
      </c>
    </row>
    <row r="214" spans="1:5" ht="15.6">
      <c r="A214" s="4" t="s">
        <v>500</v>
      </c>
      <c r="B214" s="4" t="s">
        <v>1386</v>
      </c>
      <c r="C214" s="4" t="s">
        <v>9</v>
      </c>
      <c r="D214" s="4" t="s">
        <v>1393</v>
      </c>
      <c r="E214" s="672" t="s">
        <v>3356</v>
      </c>
    </row>
    <row r="215" spans="1:5" ht="15.6">
      <c r="A215" s="4" t="s">
        <v>500</v>
      </c>
      <c r="B215" s="4" t="s">
        <v>1386</v>
      </c>
      <c r="C215" s="4" t="s">
        <v>9</v>
      </c>
      <c r="D215" s="4" t="s">
        <v>1394</v>
      </c>
      <c r="E215" s="672" t="s">
        <v>3357</v>
      </c>
    </row>
    <row r="216" spans="1:2" ht="15.6">
      <c r="A216" s="4" t="s">
        <v>500</v>
      </c>
      <c r="B216" s="4" t="s">
        <v>1392</v>
      </c>
    </row>
    <row r="217" spans="1:5" s="718" customFormat="true" ht="15.6">
      <c r="A217" s="4" t="s">
        <v>500</v>
      </c>
      <c r="B217" s="561" t="s">
        <v>1396</v>
      </c>
      <c r="C217" s="561" t="s">
        <v>259</v>
      </c>
      <c r="D217" s="561" t="s">
        <v>1385</v>
      </c>
      <c r="E217" s="561" t="s">
        <v>1397</v>
      </c>
    </row>
    <row r="218" spans="1:2" s="718" customFormat="true" ht="15.6">
      <c r="A218" s="4" t="s">
        <v>500</v>
      </c>
      <c r="B218" s="561" t="s">
        <v>1392</v>
      </c>
    </row>
    <row r="219" spans="1:5" s="718" customFormat="true" ht="15.6">
      <c r="A219" s="4" t="s">
        <v>500</v>
      </c>
      <c r="B219" s="672" t="s">
        <v>1386</v>
      </c>
      <c r="C219" s="672" t="s">
        <v>3358</v>
      </c>
      <c r="D219" s="672" t="s">
        <v>3359</v>
      </c>
      <c r="E219" s="672">
        <v>0</v>
      </c>
    </row>
    <row r="220" spans="1:2" ht="15.6">
      <c r="A220" s="4" t="s">
        <v>500</v>
      </c>
      <c r="B220" s="4" t="s">
        <v>399</v>
      </c>
    </row>
    <row r="221" spans="1:2" s="718" customFormat="true" ht="15.6">
      <c r="A221" s="4" t="s">
        <v>500</v>
      </c>
      <c r="B221" s="561" t="s">
        <v>1392</v>
      </c>
    </row>
    <row r="222" spans="1:6" ht="15.6">
      <c r="A222" s="4" t="s">
        <v>500</v>
      </c>
      <c r="B222" s="4" t="s">
        <v>12</v>
      </c>
      <c r="C222" s="4" t="s">
        <v>31</v>
      </c>
      <c r="D222" s="4" t="s">
        <v>1464</v>
      </c>
      <c r="F222" s="4" t="s">
        <v>1398</v>
      </c>
    </row>
    <row r="223" spans="1:6" ht="15.6">
      <c r="A223" s="4" t="s">
        <v>500</v>
      </c>
      <c r="B223" s="4" t="s">
        <v>12</v>
      </c>
      <c r="C223" s="4" t="s">
        <v>31</v>
      </c>
      <c r="D223" s="4" t="s">
        <v>1465</v>
      </c>
      <c r="F223" s="4" t="s">
        <v>1400</v>
      </c>
    </row>
    <row r="224" spans="1:6" ht="15.6">
      <c r="A224" s="4" t="s">
        <v>534</v>
      </c>
      <c r="B224" s="4" t="s">
        <v>1381</v>
      </c>
      <c r="C224" s="4" t="s">
        <v>9</v>
      </c>
      <c r="D224" s="4" t="s">
        <v>1382</v>
      </c>
      <c r="F224" s="4" t="s">
        <v>1383</v>
      </c>
    </row>
    <row r="225" spans="1:4" s="718" customFormat="true" ht="15.6">
      <c r="A225" s="4" t="s">
        <v>534</v>
      </c>
      <c r="B225" s="561" t="s">
        <v>1384</v>
      </c>
      <c r="C225" s="561" t="s">
        <v>259</v>
      </c>
      <c r="D225" s="561" t="s">
        <v>1385</v>
      </c>
    </row>
    <row r="226" spans="1:5" s="718" customFormat="true" ht="15.6">
      <c r="A226" s="4" t="s">
        <v>534</v>
      </c>
      <c r="B226" s="561" t="s">
        <v>1386</v>
      </c>
      <c r="C226" s="670" t="s">
        <v>259</v>
      </c>
      <c r="D226" s="561" t="s">
        <v>1387</v>
      </c>
      <c r="E226" s="561" t="s">
        <v>1388</v>
      </c>
    </row>
    <row r="227" spans="1:4" s="718" customFormat="true" ht="15.6">
      <c r="A227" s="4" t="s">
        <v>534</v>
      </c>
      <c r="B227" s="561" t="s">
        <v>1384</v>
      </c>
      <c r="C227" s="670" t="s">
        <v>259</v>
      </c>
      <c r="D227" s="561" t="s">
        <v>1387</v>
      </c>
    </row>
    <row r="228" spans="1:5" ht="15.6">
      <c r="A228" s="4" t="s">
        <v>534</v>
      </c>
      <c r="B228" s="4" t="s">
        <v>1396</v>
      </c>
      <c r="C228" s="4" t="s">
        <v>263</v>
      </c>
      <c r="D228" s="4" t="s">
        <v>1466</v>
      </c>
      <c r="E228" s="4" t="s">
        <v>1467</v>
      </c>
    </row>
    <row r="229" spans="1:6" ht="15.6">
      <c r="A229" s="4" t="s">
        <v>534</v>
      </c>
      <c r="B229" s="4" t="s">
        <v>1381</v>
      </c>
      <c r="C229" s="4" t="s">
        <v>263</v>
      </c>
      <c r="D229" s="4" t="s">
        <v>1468</v>
      </c>
      <c r="F229" s="4" t="s">
        <v>1469</v>
      </c>
    </row>
    <row r="230" spans="1:6" ht="15.6">
      <c r="A230" s="4" t="s">
        <v>534</v>
      </c>
      <c r="B230" s="4" t="s">
        <v>1381</v>
      </c>
      <c r="C230" s="4" t="s">
        <v>263</v>
      </c>
      <c r="D230" s="4" t="s">
        <v>1470</v>
      </c>
      <c r="F230" s="4" t="s">
        <v>1471</v>
      </c>
    </row>
    <row r="231" spans="1:6" ht="15.6">
      <c r="A231" s="4" t="s">
        <v>534</v>
      </c>
      <c r="B231" s="4" t="s">
        <v>1381</v>
      </c>
      <c r="C231" s="4" t="s">
        <v>263</v>
      </c>
      <c r="D231" s="4" t="s">
        <v>1472</v>
      </c>
      <c r="F231" s="4" t="s">
        <v>1473</v>
      </c>
    </row>
    <row r="232" spans="1:6" ht="15.6">
      <c r="A232" s="4" t="s">
        <v>534</v>
      </c>
      <c r="B232" s="4" t="s">
        <v>1381</v>
      </c>
      <c r="C232" s="4" t="s">
        <v>263</v>
      </c>
      <c r="D232" s="4" t="s">
        <v>1474</v>
      </c>
      <c r="F232" s="4" t="s">
        <v>1475</v>
      </c>
    </row>
    <row r="233" spans="1:4" ht="15.6">
      <c r="A233" s="4" t="s">
        <v>534</v>
      </c>
      <c r="B233" s="4" t="s">
        <v>1389</v>
      </c>
      <c r="C233" s="4" t="s">
        <v>263</v>
      </c>
      <c r="D233" s="4" t="s">
        <v>1466</v>
      </c>
    </row>
    <row r="234" spans="1:2" ht="15.6">
      <c r="A234" s="4" t="s">
        <v>534</v>
      </c>
      <c r="B234" s="4" t="s">
        <v>1392</v>
      </c>
    </row>
    <row r="235" spans="1:4" ht="15.6">
      <c r="A235" s="4" t="s">
        <v>534</v>
      </c>
      <c r="B235" s="4" t="s">
        <v>1384</v>
      </c>
      <c r="C235" s="4" t="s">
        <v>263</v>
      </c>
      <c r="D235" s="4" t="s">
        <v>1466</v>
      </c>
    </row>
    <row r="236" spans="1:5" ht="15.6">
      <c r="A236" s="4" t="s">
        <v>534</v>
      </c>
      <c r="B236" s="4" t="s">
        <v>1476</v>
      </c>
      <c r="C236" s="4" t="s">
        <v>263</v>
      </c>
      <c r="D236" s="4" t="s">
        <v>1477</v>
      </c>
      <c r="E236" s="4" t="s">
        <v>1478</v>
      </c>
    </row>
    <row r="237" spans="1:5" ht="15.6">
      <c r="A237" s="4" t="s">
        <v>534</v>
      </c>
      <c r="B237" s="4" t="s">
        <v>1476</v>
      </c>
      <c r="C237" s="4" t="s">
        <v>263</v>
      </c>
      <c r="D237" s="4" t="s">
        <v>1479</v>
      </c>
      <c r="E237" s="4" t="s">
        <v>1480</v>
      </c>
    </row>
    <row r="238" spans="1:5" ht="15.6">
      <c r="A238" s="4" t="s">
        <v>534</v>
      </c>
      <c r="B238" s="4" t="s">
        <v>1476</v>
      </c>
      <c r="C238" s="4" t="s">
        <v>263</v>
      </c>
      <c r="D238" s="4" t="s">
        <v>1481</v>
      </c>
      <c r="E238" s="4" t="s">
        <v>1482</v>
      </c>
    </row>
    <row r="239" spans="1:5" ht="15.6">
      <c r="A239" s="4" t="s">
        <v>534</v>
      </c>
      <c r="B239" s="4" t="s">
        <v>1476</v>
      </c>
      <c r="C239" s="4" t="s">
        <v>263</v>
      </c>
      <c r="D239" s="4" t="s">
        <v>1483</v>
      </c>
      <c r="E239" s="4" t="s">
        <v>1484</v>
      </c>
    </row>
    <row r="240" spans="1:2" ht="15.6">
      <c r="A240" s="4" t="s">
        <v>534</v>
      </c>
      <c r="B240" s="4" t="s">
        <v>1392</v>
      </c>
    </row>
    <row r="241" spans="1:3" ht="15.6">
      <c r="A241" s="4" t="s">
        <v>534</v>
      </c>
      <c r="B241" s="4" t="s">
        <v>1395</v>
      </c>
      <c r="C241" s="671" t="b">
        <v>1</v>
      </c>
    </row>
    <row r="242" spans="1:4" ht="15.6">
      <c r="A242" s="4" t="s">
        <v>534</v>
      </c>
      <c r="B242" s="4" t="s">
        <v>1384</v>
      </c>
      <c r="C242" s="4" t="s">
        <v>9</v>
      </c>
      <c r="D242" s="4" t="s">
        <v>1393</v>
      </c>
    </row>
    <row r="243" spans="1:4" ht="15.6">
      <c r="A243" s="4" t="s">
        <v>534</v>
      </c>
      <c r="B243" s="4" t="s">
        <v>1384</v>
      </c>
      <c r="C243" s="4" t="s">
        <v>9</v>
      </c>
      <c r="D243" s="4" t="s">
        <v>1394</v>
      </c>
    </row>
    <row r="244" spans="1:5" ht="15.6">
      <c r="A244" s="4" t="s">
        <v>534</v>
      </c>
      <c r="B244" s="4" t="s">
        <v>1386</v>
      </c>
      <c r="C244" s="4" t="s">
        <v>9</v>
      </c>
      <c r="D244" s="4" t="s">
        <v>1393</v>
      </c>
      <c r="E244" s="672" t="s">
        <v>3356</v>
      </c>
    </row>
    <row r="245" spans="1:5" ht="15.6">
      <c r="A245" s="4" t="s">
        <v>534</v>
      </c>
      <c r="B245" s="4" t="s">
        <v>1386</v>
      </c>
      <c r="C245" s="4" t="s">
        <v>9</v>
      </c>
      <c r="D245" s="4" t="s">
        <v>1394</v>
      </c>
      <c r="E245" s="672" t="s">
        <v>3357</v>
      </c>
    </row>
    <row r="246" spans="1:2" ht="15.6">
      <c r="A246" s="4" t="s">
        <v>534</v>
      </c>
      <c r="B246" s="4" t="s">
        <v>1392</v>
      </c>
    </row>
    <row r="247" spans="1:5" s="718" customFormat="true" ht="15.6">
      <c r="A247" s="4" t="s">
        <v>534</v>
      </c>
      <c r="B247" s="561" t="s">
        <v>1396</v>
      </c>
      <c r="C247" s="561" t="s">
        <v>259</v>
      </c>
      <c r="D247" s="561" t="s">
        <v>1385</v>
      </c>
      <c r="E247" s="561" t="s">
        <v>1397</v>
      </c>
    </row>
    <row r="248" spans="1:2" s="718" customFormat="true" ht="15.6">
      <c r="A248" s="4" t="s">
        <v>534</v>
      </c>
      <c r="B248" s="561" t="s">
        <v>1392</v>
      </c>
    </row>
    <row r="249" spans="1:3" ht="15.6">
      <c r="A249" s="4" t="s">
        <v>534</v>
      </c>
      <c r="B249" s="4" t="s">
        <v>1395</v>
      </c>
      <c r="C249" s="671" t="b">
        <v>0</v>
      </c>
    </row>
    <row r="250" spans="1:4" ht="15.6">
      <c r="A250" s="4" t="s">
        <v>534</v>
      </c>
      <c r="B250" s="4" t="s">
        <v>1389</v>
      </c>
      <c r="C250" s="4" t="s">
        <v>292</v>
      </c>
      <c r="D250" s="4" t="s">
        <v>1485</v>
      </c>
    </row>
    <row r="251" spans="1:2" s="718" customFormat="true" ht="15.6">
      <c r="A251" s="4" t="s">
        <v>534</v>
      </c>
      <c r="B251" s="561" t="s">
        <v>1392</v>
      </c>
    </row>
    <row r="252" spans="1:5" s="718" customFormat="true" ht="15.6">
      <c r="A252" s="4" t="s">
        <v>534</v>
      </c>
      <c r="B252" s="672" t="s">
        <v>1386</v>
      </c>
      <c r="C252" s="672" t="s">
        <v>3358</v>
      </c>
      <c r="D252" s="672" t="s">
        <v>3359</v>
      </c>
      <c r="E252" s="672">
        <v>0</v>
      </c>
    </row>
    <row r="253" spans="1:2" ht="15.6">
      <c r="A253" s="4" t="s">
        <v>534</v>
      </c>
      <c r="B253" s="4" t="s">
        <v>399</v>
      </c>
    </row>
    <row r="254" spans="1:2" s="718" customFormat="true" ht="15.6">
      <c r="A254" s="4" t="s">
        <v>534</v>
      </c>
      <c r="B254" s="561" t="s">
        <v>1392</v>
      </c>
    </row>
    <row r="255" spans="1:4" ht="15.6">
      <c r="A255" s="4" t="s">
        <v>535</v>
      </c>
      <c r="B255" s="4" t="s">
        <v>1384</v>
      </c>
      <c r="C255" s="4" t="s">
        <v>297</v>
      </c>
      <c r="D255" s="4" t="s">
        <v>1401</v>
      </c>
    </row>
    <row r="256" spans="1:4" ht="15.6">
      <c r="A256" s="4" t="s">
        <v>535</v>
      </c>
      <c r="B256" s="4" t="s">
        <v>1384</v>
      </c>
      <c r="C256" s="4" t="s">
        <v>297</v>
      </c>
      <c r="D256" s="4" t="s">
        <v>1402</v>
      </c>
    </row>
    <row r="257" spans="1:4" ht="15.6">
      <c r="A257" s="4" t="s">
        <v>535</v>
      </c>
      <c r="B257" s="4" t="s">
        <v>1384</v>
      </c>
      <c r="C257" s="4" t="s">
        <v>297</v>
      </c>
      <c r="D257" s="4" t="s">
        <v>1403</v>
      </c>
    </row>
    <row r="258" spans="1:4" ht="15.6">
      <c r="A258" s="4" t="s">
        <v>535</v>
      </c>
      <c r="B258" s="4" t="s">
        <v>1384</v>
      </c>
      <c r="C258" s="4" t="s">
        <v>297</v>
      </c>
      <c r="D258" s="4" t="s">
        <v>1404</v>
      </c>
    </row>
    <row r="259" spans="1:4" ht="15.6">
      <c r="A259" s="4" t="s">
        <v>535</v>
      </c>
      <c r="B259" s="4" t="s">
        <v>1384</v>
      </c>
      <c r="C259" s="4" t="s">
        <v>297</v>
      </c>
      <c r="D259" s="4" t="s">
        <v>1405</v>
      </c>
    </row>
    <row r="260" spans="1:4" ht="15.6">
      <c r="A260" s="4" t="s">
        <v>535</v>
      </c>
      <c r="B260" s="4" t="s">
        <v>1384</v>
      </c>
      <c r="C260" s="4" t="s">
        <v>297</v>
      </c>
      <c r="D260" s="4" t="s">
        <v>1406</v>
      </c>
    </row>
    <row r="261" spans="1:4" ht="15.6">
      <c r="A261" s="4" t="s">
        <v>535</v>
      </c>
      <c r="B261" s="4" t="s">
        <v>1384</v>
      </c>
      <c r="C261" s="4" t="s">
        <v>297</v>
      </c>
      <c r="D261" s="4" t="s">
        <v>1407</v>
      </c>
    </row>
    <row r="262" spans="1:4" ht="15.6">
      <c r="A262" s="4" t="s">
        <v>535</v>
      </c>
      <c r="B262" s="4" t="s">
        <v>1384</v>
      </c>
      <c r="C262" s="4" t="s">
        <v>297</v>
      </c>
      <c r="D262" s="4" t="s">
        <v>1408</v>
      </c>
    </row>
    <row r="263" spans="1:4" ht="15.6">
      <c r="A263" s="4" t="s">
        <v>535</v>
      </c>
      <c r="B263" s="4" t="s">
        <v>1384</v>
      </c>
      <c r="C263" s="4" t="s">
        <v>297</v>
      </c>
      <c r="D263" s="4" t="s">
        <v>1409</v>
      </c>
    </row>
    <row r="264" spans="1:4" ht="15.6">
      <c r="A264" s="4" t="s">
        <v>535</v>
      </c>
      <c r="B264" s="4" t="s">
        <v>1384</v>
      </c>
      <c r="C264" s="4" t="s">
        <v>297</v>
      </c>
      <c r="D264" s="4" t="s">
        <v>1410</v>
      </c>
    </row>
    <row r="265" spans="1:4" ht="15.6">
      <c r="A265" s="4" t="s">
        <v>535</v>
      </c>
      <c r="B265" s="4" t="s">
        <v>1384</v>
      </c>
      <c r="C265" s="4" t="s">
        <v>297</v>
      </c>
      <c r="D265" s="4" t="s">
        <v>1411</v>
      </c>
    </row>
    <row r="266" spans="1:4" ht="15.6">
      <c r="A266" s="4" t="s">
        <v>535</v>
      </c>
      <c r="B266" s="4" t="s">
        <v>1384</v>
      </c>
      <c r="C266" s="4" t="s">
        <v>297</v>
      </c>
      <c r="D266" s="4" t="s">
        <v>1412</v>
      </c>
    </row>
    <row r="267" spans="1:4" ht="15.6">
      <c r="A267" s="4" t="s">
        <v>535</v>
      </c>
      <c r="B267" s="4" t="s">
        <v>1384</v>
      </c>
      <c r="C267" s="4" t="s">
        <v>297</v>
      </c>
      <c r="D267" s="4" t="s">
        <v>1413</v>
      </c>
    </row>
    <row r="268" spans="1:4" ht="15.6">
      <c r="A268" s="4" t="s">
        <v>535</v>
      </c>
      <c r="B268" s="4" t="s">
        <v>1384</v>
      </c>
      <c r="C268" s="4" t="s">
        <v>297</v>
      </c>
      <c r="D268" s="4" t="s">
        <v>1414</v>
      </c>
    </row>
    <row r="269" spans="1:4" ht="15.6">
      <c r="A269" s="4" t="s">
        <v>535</v>
      </c>
      <c r="B269" s="4" t="s">
        <v>1384</v>
      </c>
      <c r="C269" s="4" t="s">
        <v>297</v>
      </c>
      <c r="D269" s="4" t="s">
        <v>1415</v>
      </c>
    </row>
    <row r="270" spans="1:4" ht="15.6">
      <c r="A270" s="4" t="s">
        <v>535</v>
      </c>
      <c r="B270" s="4" t="s">
        <v>1384</v>
      </c>
      <c r="C270" s="4" t="s">
        <v>297</v>
      </c>
      <c r="D270" s="4" t="s">
        <v>1416</v>
      </c>
    </row>
    <row r="271" spans="1:4" ht="15.6">
      <c r="A271" s="4" t="s">
        <v>535</v>
      </c>
      <c r="B271" s="4" t="s">
        <v>1384</v>
      </c>
      <c r="C271" s="4" t="s">
        <v>297</v>
      </c>
      <c r="D271" s="4" t="s">
        <v>1417</v>
      </c>
    </row>
    <row r="272" spans="1:4" ht="15.6">
      <c r="A272" s="4" t="s">
        <v>535</v>
      </c>
      <c r="B272" s="4" t="s">
        <v>1384</v>
      </c>
      <c r="C272" s="4" t="s">
        <v>297</v>
      </c>
      <c r="D272" s="4" t="s">
        <v>1418</v>
      </c>
    </row>
    <row r="273" spans="1:4" ht="15.6">
      <c r="A273" s="4" t="s">
        <v>535</v>
      </c>
      <c r="B273" s="4" t="s">
        <v>1384</v>
      </c>
      <c r="C273" s="4" t="s">
        <v>297</v>
      </c>
      <c r="D273" s="4" t="s">
        <v>1419</v>
      </c>
    </row>
    <row r="274" spans="1:4" ht="15.6">
      <c r="A274" s="4" t="s">
        <v>535</v>
      </c>
      <c r="B274" s="4" t="s">
        <v>1384</v>
      </c>
      <c r="C274" s="4" t="s">
        <v>297</v>
      </c>
      <c r="D274" s="4" t="s">
        <v>1420</v>
      </c>
    </row>
    <row r="275" spans="1:4" ht="15.6">
      <c r="A275" s="4" t="s">
        <v>535</v>
      </c>
      <c r="B275" s="4" t="s">
        <v>1384</v>
      </c>
      <c r="C275" s="4" t="s">
        <v>297</v>
      </c>
      <c r="D275" s="4" t="s">
        <v>1421</v>
      </c>
    </row>
    <row r="276" spans="1:4" ht="15.6">
      <c r="A276" s="4" t="s">
        <v>535</v>
      </c>
      <c r="B276" s="4" t="s">
        <v>1384</v>
      </c>
      <c r="C276" s="4" t="s">
        <v>297</v>
      </c>
      <c r="D276" s="4" t="s">
        <v>1422</v>
      </c>
    </row>
    <row r="277" spans="1:4" ht="15.6">
      <c r="A277" s="4" t="s">
        <v>535</v>
      </c>
      <c r="B277" s="4" t="s">
        <v>1384</v>
      </c>
      <c r="C277" s="4" t="s">
        <v>297</v>
      </c>
      <c r="D277" s="4" t="s">
        <v>1423</v>
      </c>
    </row>
    <row r="278" spans="1:4" ht="15.6">
      <c r="A278" s="4" t="s">
        <v>535</v>
      </c>
      <c r="B278" s="4" t="s">
        <v>1384</v>
      </c>
      <c r="C278" s="4" t="s">
        <v>297</v>
      </c>
      <c r="D278" s="4" t="s">
        <v>1424</v>
      </c>
    </row>
    <row r="279" spans="1:4" ht="15.6">
      <c r="A279" s="4" t="s">
        <v>535</v>
      </c>
      <c r="B279" s="4" t="s">
        <v>1384</v>
      </c>
      <c r="C279" s="4" t="s">
        <v>297</v>
      </c>
      <c r="D279" s="4" t="s">
        <v>1425</v>
      </c>
    </row>
    <row r="280" spans="1:4" ht="15.6">
      <c r="A280" s="4" t="s">
        <v>535</v>
      </c>
      <c r="B280" s="4" t="s">
        <v>1384</v>
      </c>
      <c r="C280" s="4" t="s">
        <v>261</v>
      </c>
      <c r="D280" s="4" t="s">
        <v>1430</v>
      </c>
    </row>
    <row r="281" spans="1:4" ht="15.6">
      <c r="A281" s="4" t="s">
        <v>535</v>
      </c>
      <c r="B281" s="4" t="s">
        <v>1384</v>
      </c>
      <c r="C281" s="4" t="s">
        <v>261</v>
      </c>
      <c r="D281" s="4" t="s">
        <v>1431</v>
      </c>
    </row>
    <row r="282" spans="1:4" ht="15.6">
      <c r="A282" s="4" t="s">
        <v>535</v>
      </c>
      <c r="B282" s="4" t="s">
        <v>1384</v>
      </c>
      <c r="C282" s="4" t="s">
        <v>261</v>
      </c>
      <c r="D282" s="4" t="s">
        <v>1432</v>
      </c>
    </row>
    <row r="283" spans="1:4" ht="15.6">
      <c r="A283" s="4" t="s">
        <v>535</v>
      </c>
      <c r="B283" s="4" t="s">
        <v>1384</v>
      </c>
      <c r="C283" s="4" t="s">
        <v>261</v>
      </c>
      <c r="D283" s="4" t="s">
        <v>1433</v>
      </c>
    </row>
    <row r="284" spans="1:4" ht="15.6">
      <c r="A284" s="4" t="s">
        <v>535</v>
      </c>
      <c r="B284" s="4" t="s">
        <v>1384</v>
      </c>
      <c r="C284" s="4" t="s">
        <v>261</v>
      </c>
      <c r="D284" s="4" t="s">
        <v>1434</v>
      </c>
    </row>
    <row r="285" spans="1:4" ht="15.6">
      <c r="A285" s="4" t="s">
        <v>535</v>
      </c>
      <c r="B285" s="4" t="s">
        <v>1384</v>
      </c>
      <c r="C285" s="4" t="s">
        <v>261</v>
      </c>
      <c r="D285" s="4" t="s">
        <v>1435</v>
      </c>
    </row>
    <row r="286" spans="1:4" ht="15.6">
      <c r="A286" s="4" t="s">
        <v>535</v>
      </c>
      <c r="B286" s="4" t="s">
        <v>1384</v>
      </c>
      <c r="C286" s="4" t="s">
        <v>261</v>
      </c>
      <c r="D286" s="4" t="s">
        <v>1436</v>
      </c>
    </row>
    <row r="287" spans="1:4" ht="15.6">
      <c r="A287" s="4" t="s">
        <v>535</v>
      </c>
      <c r="B287" s="4" t="s">
        <v>1384</v>
      </c>
      <c r="C287" s="4" t="s">
        <v>261</v>
      </c>
      <c r="D287" s="4" t="s">
        <v>1437</v>
      </c>
    </row>
    <row r="288" spans="1:4" ht="15.6">
      <c r="A288" s="4" t="s">
        <v>535</v>
      </c>
      <c r="B288" s="4" t="s">
        <v>1384</v>
      </c>
      <c r="C288" s="4" t="s">
        <v>261</v>
      </c>
      <c r="D288" s="4" t="s">
        <v>1409</v>
      </c>
    </row>
    <row r="289" spans="1:4" ht="15.6">
      <c r="A289" s="4" t="s">
        <v>535</v>
      </c>
      <c r="B289" s="4" t="s">
        <v>1384</v>
      </c>
      <c r="C289" s="4" t="s">
        <v>261</v>
      </c>
      <c r="D289" s="4" t="s">
        <v>1438</v>
      </c>
    </row>
    <row r="290" spans="1:4" ht="15.6">
      <c r="A290" s="4" t="s">
        <v>535</v>
      </c>
      <c r="B290" s="4" t="s">
        <v>1384</v>
      </c>
      <c r="C290" s="4" t="s">
        <v>261</v>
      </c>
      <c r="D290" s="4" t="s">
        <v>1439</v>
      </c>
    </row>
    <row r="291" spans="1:4" ht="15.6">
      <c r="A291" s="4" t="s">
        <v>535</v>
      </c>
      <c r="B291" s="4" t="s">
        <v>1384</v>
      </c>
      <c r="C291" s="4" t="s">
        <v>261</v>
      </c>
      <c r="D291" s="4" t="s">
        <v>1440</v>
      </c>
    </row>
    <row r="292" spans="1:4" ht="15.6">
      <c r="A292" s="4" t="s">
        <v>535</v>
      </c>
      <c r="B292" s="4" t="s">
        <v>1384</v>
      </c>
      <c r="C292" s="4" t="s">
        <v>261</v>
      </c>
      <c r="D292" s="4" t="s">
        <v>1441</v>
      </c>
    </row>
    <row r="293" spans="1:4" ht="15.6">
      <c r="A293" s="4" t="s">
        <v>535</v>
      </c>
      <c r="B293" s="4" t="s">
        <v>1384</v>
      </c>
      <c r="C293" s="4" t="s">
        <v>261</v>
      </c>
      <c r="D293" s="4" t="s">
        <v>1442</v>
      </c>
    </row>
    <row r="294" spans="1:4" ht="15.6">
      <c r="A294" s="4" t="s">
        <v>535</v>
      </c>
      <c r="B294" s="4" t="s">
        <v>1384</v>
      </c>
      <c r="C294" s="4" t="s">
        <v>261</v>
      </c>
      <c r="D294" s="4" t="s">
        <v>1443</v>
      </c>
    </row>
    <row r="295" spans="1:4" ht="15.6">
      <c r="A295" s="4" t="s">
        <v>535</v>
      </c>
      <c r="B295" s="4" t="s">
        <v>1384</v>
      </c>
      <c r="C295" s="4" t="s">
        <v>275</v>
      </c>
      <c r="D295" s="4" t="s">
        <v>1486</v>
      </c>
    </row>
    <row r="296" spans="1:4" ht="15.6">
      <c r="A296" s="4" t="s">
        <v>535</v>
      </c>
      <c r="B296" s="4" t="s">
        <v>1384</v>
      </c>
      <c r="C296" s="4" t="s">
        <v>275</v>
      </c>
      <c r="D296" s="4" t="s">
        <v>1487</v>
      </c>
    </row>
    <row r="297" spans="1:8" ht="15.6">
      <c r="A297" s="4" t="s">
        <v>535</v>
      </c>
      <c r="B297" s="4" t="s">
        <v>1389</v>
      </c>
      <c r="C297" s="4" t="s">
        <v>297</v>
      </c>
      <c r="D297" s="4" t="s">
        <v>1401</v>
      </c>
      <c r="F297" s="4" t="s">
        <v>1092</v>
      </c>
      <c r="G297" s="4" t="s">
        <v>1426</v>
      </c>
      <c r="H297" s="4" t="s">
        <v>1427</v>
      </c>
    </row>
    <row r="298" spans="1:8" ht="15.6">
      <c r="A298" s="4" t="s">
        <v>535</v>
      </c>
      <c r="B298" s="4" t="s">
        <v>1389</v>
      </c>
      <c r="C298" s="4" t="s">
        <v>297</v>
      </c>
      <c r="D298" s="4" t="s">
        <v>1402</v>
      </c>
      <c r="F298" s="4" t="s">
        <v>1094</v>
      </c>
      <c r="G298" s="4" t="s">
        <v>1426</v>
      </c>
      <c r="H298" s="4" t="s">
        <v>1427</v>
      </c>
    </row>
    <row r="299" spans="1:8" ht="15.6">
      <c r="A299" s="4" t="s">
        <v>535</v>
      </c>
      <c r="B299" s="4" t="s">
        <v>1389</v>
      </c>
      <c r="C299" s="4" t="s">
        <v>297</v>
      </c>
      <c r="D299" s="4" t="s">
        <v>1403</v>
      </c>
      <c r="F299" s="4" t="s">
        <v>1096</v>
      </c>
      <c r="G299" s="4" t="s">
        <v>1426</v>
      </c>
      <c r="H299" s="4" t="s">
        <v>1427</v>
      </c>
    </row>
    <row r="300" spans="1:8" ht="15.6">
      <c r="A300" s="4" t="s">
        <v>535</v>
      </c>
      <c r="B300" s="4" t="s">
        <v>1389</v>
      </c>
      <c r="C300" s="4" t="s">
        <v>297</v>
      </c>
      <c r="D300" s="4" t="s">
        <v>1404</v>
      </c>
      <c r="F300" s="4" t="s">
        <v>1098</v>
      </c>
      <c r="G300" s="4" t="s">
        <v>1426</v>
      </c>
      <c r="H300" s="4" t="s">
        <v>1427</v>
      </c>
    </row>
    <row r="301" spans="1:8" ht="15.6">
      <c r="A301" s="4" t="s">
        <v>535</v>
      </c>
      <c r="B301" s="4" t="s">
        <v>1389</v>
      </c>
      <c r="C301" s="4" t="s">
        <v>297</v>
      </c>
      <c r="D301" s="4" t="s">
        <v>1405</v>
      </c>
      <c r="F301" s="4" t="s">
        <v>1100</v>
      </c>
      <c r="G301" s="4" t="s">
        <v>1426</v>
      </c>
      <c r="H301" s="4" t="s">
        <v>1427</v>
      </c>
    </row>
    <row r="302" spans="1:8" ht="15.6">
      <c r="A302" s="4" t="s">
        <v>535</v>
      </c>
      <c r="B302" s="4" t="s">
        <v>1389</v>
      </c>
      <c r="C302" s="4" t="s">
        <v>297</v>
      </c>
      <c r="D302" s="4" t="s">
        <v>1406</v>
      </c>
      <c r="F302" s="4" t="s">
        <v>1102</v>
      </c>
      <c r="G302" s="4" t="s">
        <v>1426</v>
      </c>
      <c r="H302" s="4" t="s">
        <v>1427</v>
      </c>
    </row>
    <row r="303" spans="1:8" ht="15.6">
      <c r="A303" s="4" t="s">
        <v>535</v>
      </c>
      <c r="B303" s="4" t="s">
        <v>1389</v>
      </c>
      <c r="C303" s="4" t="s">
        <v>297</v>
      </c>
      <c r="D303" s="4" t="s">
        <v>1407</v>
      </c>
      <c r="F303" s="4" t="s">
        <v>1104</v>
      </c>
      <c r="G303" s="4" t="s">
        <v>1426</v>
      </c>
      <c r="H303" s="4" t="s">
        <v>1427</v>
      </c>
    </row>
    <row r="304" spans="1:8" ht="15.6">
      <c r="A304" s="4" t="s">
        <v>535</v>
      </c>
      <c r="B304" s="4" t="s">
        <v>1389</v>
      </c>
      <c r="C304" s="4" t="s">
        <v>297</v>
      </c>
      <c r="D304" s="4" t="s">
        <v>1408</v>
      </c>
      <c r="F304" s="4" t="s">
        <v>1106</v>
      </c>
      <c r="G304" s="4" t="s">
        <v>1426</v>
      </c>
      <c r="H304" s="4" t="s">
        <v>1427</v>
      </c>
    </row>
    <row r="305" spans="1:8" ht="15.6">
      <c r="A305" s="4" t="s">
        <v>535</v>
      </c>
      <c r="B305" s="4" t="s">
        <v>1389</v>
      </c>
      <c r="C305" s="4" t="s">
        <v>297</v>
      </c>
      <c r="D305" s="4" t="s">
        <v>1409</v>
      </c>
      <c r="F305" s="4" t="s">
        <v>1108</v>
      </c>
      <c r="G305" s="4" t="s">
        <v>1426</v>
      </c>
      <c r="H305" s="4" t="s">
        <v>1427</v>
      </c>
    </row>
    <row r="306" spans="1:8" ht="15.6">
      <c r="A306" s="4" t="s">
        <v>535</v>
      </c>
      <c r="B306" s="4" t="s">
        <v>1389</v>
      </c>
      <c r="C306" s="4" t="s">
        <v>297</v>
      </c>
      <c r="D306" s="4" t="s">
        <v>1410</v>
      </c>
      <c r="F306" s="4" t="s">
        <v>1110</v>
      </c>
      <c r="G306" s="4" t="s">
        <v>1426</v>
      </c>
      <c r="H306" s="4" t="s">
        <v>1427</v>
      </c>
    </row>
    <row r="307" spans="1:8" ht="15.6">
      <c r="A307" s="4" t="s">
        <v>535</v>
      </c>
      <c r="B307" s="4" t="s">
        <v>1389</v>
      </c>
      <c r="C307" s="4" t="s">
        <v>297</v>
      </c>
      <c r="D307" s="4" t="s">
        <v>1411</v>
      </c>
      <c r="F307" s="4" t="s">
        <v>1112</v>
      </c>
      <c r="G307" s="4" t="s">
        <v>1426</v>
      </c>
      <c r="H307" s="4" t="s">
        <v>1427</v>
      </c>
    </row>
    <row r="308" spans="1:8" ht="15.6">
      <c r="A308" s="4" t="s">
        <v>535</v>
      </c>
      <c r="B308" s="4" t="s">
        <v>1389</v>
      </c>
      <c r="C308" s="4" t="s">
        <v>297</v>
      </c>
      <c r="D308" s="4" t="s">
        <v>1412</v>
      </c>
      <c r="F308" s="4" t="s">
        <v>1114</v>
      </c>
      <c r="G308" s="4" t="s">
        <v>1426</v>
      </c>
      <c r="H308" s="4" t="s">
        <v>1427</v>
      </c>
    </row>
    <row r="309" spans="1:8" ht="15.6">
      <c r="A309" s="4" t="s">
        <v>535</v>
      </c>
      <c r="B309" s="4" t="s">
        <v>1389</v>
      </c>
      <c r="C309" s="4" t="s">
        <v>297</v>
      </c>
      <c r="D309" s="4" t="s">
        <v>1413</v>
      </c>
      <c r="F309" s="4" t="s">
        <v>1116</v>
      </c>
      <c r="G309" s="4" t="s">
        <v>1426</v>
      </c>
      <c r="H309" s="4" t="s">
        <v>1427</v>
      </c>
    </row>
    <row r="310" spans="1:8" ht="15.6">
      <c r="A310" s="4" t="s">
        <v>535</v>
      </c>
      <c r="B310" s="4" t="s">
        <v>1389</v>
      </c>
      <c r="C310" s="4" t="s">
        <v>297</v>
      </c>
      <c r="D310" s="4" t="s">
        <v>1414</v>
      </c>
      <c r="F310" s="4" t="s">
        <v>1118</v>
      </c>
      <c r="G310" s="4" t="s">
        <v>1426</v>
      </c>
      <c r="H310" s="4" t="s">
        <v>1427</v>
      </c>
    </row>
    <row r="311" spans="1:8" ht="15.6">
      <c r="A311" s="4" t="s">
        <v>535</v>
      </c>
      <c r="B311" s="4" t="s">
        <v>1389</v>
      </c>
      <c r="C311" s="4" t="s">
        <v>297</v>
      </c>
      <c r="D311" s="4" t="s">
        <v>1415</v>
      </c>
      <c r="F311" s="4" t="s">
        <v>1120</v>
      </c>
      <c r="G311" s="4" t="s">
        <v>1426</v>
      </c>
      <c r="H311" s="4" t="s">
        <v>1427</v>
      </c>
    </row>
    <row r="312" spans="1:8" ht="15.6">
      <c r="A312" s="4" t="s">
        <v>535</v>
      </c>
      <c r="B312" s="4" t="s">
        <v>1389</v>
      </c>
      <c r="C312" s="4" t="s">
        <v>297</v>
      </c>
      <c r="D312" s="4" t="s">
        <v>1416</v>
      </c>
      <c r="F312" s="4" t="s">
        <v>1122</v>
      </c>
      <c r="G312" s="4" t="s">
        <v>1426</v>
      </c>
      <c r="H312" s="4" t="s">
        <v>1427</v>
      </c>
    </row>
    <row r="313" spans="1:8" ht="15.6">
      <c r="A313" s="4" t="s">
        <v>535</v>
      </c>
      <c r="B313" s="4" t="s">
        <v>1389</v>
      </c>
      <c r="C313" s="4" t="s">
        <v>297</v>
      </c>
      <c r="D313" s="4" t="s">
        <v>1417</v>
      </c>
      <c r="F313" s="4" t="s">
        <v>1124</v>
      </c>
      <c r="G313" s="4" t="s">
        <v>1426</v>
      </c>
      <c r="H313" s="4" t="s">
        <v>1427</v>
      </c>
    </row>
    <row r="314" spans="1:8" ht="15.6">
      <c r="A314" s="4" t="s">
        <v>535</v>
      </c>
      <c r="B314" s="4" t="s">
        <v>1389</v>
      </c>
      <c r="C314" s="4" t="s">
        <v>297</v>
      </c>
      <c r="D314" s="4" t="s">
        <v>1418</v>
      </c>
      <c r="F314" s="4" t="s">
        <v>1126</v>
      </c>
      <c r="G314" s="4" t="s">
        <v>1426</v>
      </c>
      <c r="H314" s="4" t="s">
        <v>1427</v>
      </c>
    </row>
    <row r="315" spans="1:8" ht="15.6">
      <c r="A315" s="4" t="s">
        <v>535</v>
      </c>
      <c r="B315" s="4" t="s">
        <v>1389</v>
      </c>
      <c r="C315" s="4" t="s">
        <v>297</v>
      </c>
      <c r="D315" s="4" t="s">
        <v>1419</v>
      </c>
      <c r="F315" s="4" t="s">
        <v>1128</v>
      </c>
      <c r="G315" s="4" t="s">
        <v>1426</v>
      </c>
      <c r="H315" s="4" t="s">
        <v>1427</v>
      </c>
    </row>
    <row r="316" spans="1:8" ht="15.6">
      <c r="A316" s="4" t="s">
        <v>535</v>
      </c>
      <c r="B316" s="4" t="s">
        <v>1389</v>
      </c>
      <c r="C316" s="4" t="s">
        <v>297</v>
      </c>
      <c r="D316" s="4" t="s">
        <v>1420</v>
      </c>
      <c r="F316" s="4" t="s">
        <v>1130</v>
      </c>
      <c r="G316" s="4" t="s">
        <v>1426</v>
      </c>
      <c r="H316" s="4" t="s">
        <v>1427</v>
      </c>
    </row>
    <row r="317" spans="1:8" ht="15.6">
      <c r="A317" s="4" t="s">
        <v>535</v>
      </c>
      <c r="B317" s="4" t="s">
        <v>1389</v>
      </c>
      <c r="C317" s="4" t="s">
        <v>297</v>
      </c>
      <c r="D317" s="4" t="s">
        <v>1421</v>
      </c>
      <c r="F317" s="4" t="s">
        <v>1132</v>
      </c>
      <c r="G317" s="4" t="s">
        <v>1426</v>
      </c>
      <c r="H317" s="4" t="s">
        <v>1427</v>
      </c>
    </row>
    <row r="318" spans="1:8" ht="15.6">
      <c r="A318" s="4" t="s">
        <v>535</v>
      </c>
      <c r="B318" s="4" t="s">
        <v>1389</v>
      </c>
      <c r="C318" s="4" t="s">
        <v>297</v>
      </c>
      <c r="D318" s="4" t="s">
        <v>1422</v>
      </c>
      <c r="F318" s="4" t="s">
        <v>1134</v>
      </c>
      <c r="G318" s="4" t="s">
        <v>1426</v>
      </c>
      <c r="H318" s="4" t="s">
        <v>1427</v>
      </c>
    </row>
    <row r="319" spans="1:8" ht="15.6">
      <c r="A319" s="4" t="s">
        <v>535</v>
      </c>
      <c r="B319" s="4" t="s">
        <v>1389</v>
      </c>
      <c r="C319" s="4" t="s">
        <v>297</v>
      </c>
      <c r="D319" s="4" t="s">
        <v>1423</v>
      </c>
      <c r="F319" s="4" t="s">
        <v>1136</v>
      </c>
      <c r="G319" s="4" t="s">
        <v>1426</v>
      </c>
      <c r="H319" s="4" t="s">
        <v>1427</v>
      </c>
    </row>
    <row r="320" spans="1:8" ht="15.6">
      <c r="A320" s="4" t="s">
        <v>535</v>
      </c>
      <c r="B320" s="4" t="s">
        <v>1389</v>
      </c>
      <c r="C320" s="4" t="s">
        <v>297</v>
      </c>
      <c r="D320" s="4" t="s">
        <v>1424</v>
      </c>
      <c r="F320" s="4" t="s">
        <v>1138</v>
      </c>
      <c r="G320" s="4" t="s">
        <v>1426</v>
      </c>
      <c r="H320" s="4" t="s">
        <v>1427</v>
      </c>
    </row>
    <row r="321" spans="1:8" ht="15.6">
      <c r="A321" s="4" t="s">
        <v>535</v>
      </c>
      <c r="B321" s="4" t="s">
        <v>1389</v>
      </c>
      <c r="C321" s="4" t="s">
        <v>297</v>
      </c>
      <c r="D321" s="4" t="s">
        <v>1425</v>
      </c>
      <c r="F321" s="4" t="s">
        <v>1140</v>
      </c>
      <c r="G321" s="4" t="s">
        <v>1426</v>
      </c>
      <c r="H321" s="4" t="s">
        <v>1427</v>
      </c>
    </row>
    <row r="322" spans="1:8" ht="15.6">
      <c r="A322" s="4" t="s">
        <v>535</v>
      </c>
      <c r="B322" s="4" t="s">
        <v>1389</v>
      </c>
      <c r="C322" s="4" t="s">
        <v>261</v>
      </c>
      <c r="D322" s="4" t="s">
        <v>1430</v>
      </c>
      <c r="F322" s="4" t="s">
        <v>1187</v>
      </c>
      <c r="G322" s="4" t="s">
        <v>1426</v>
      </c>
      <c r="H322" s="4" t="s">
        <v>1427</v>
      </c>
    </row>
    <row r="323" spans="1:8" ht="15.6">
      <c r="A323" s="4" t="s">
        <v>535</v>
      </c>
      <c r="B323" s="4" t="s">
        <v>1389</v>
      </c>
      <c r="C323" s="4" t="s">
        <v>261</v>
      </c>
      <c r="D323" s="4" t="s">
        <v>1431</v>
      </c>
      <c r="F323" s="4" t="s">
        <v>1189</v>
      </c>
      <c r="G323" s="4" t="s">
        <v>1426</v>
      </c>
      <c r="H323" s="4" t="s">
        <v>1427</v>
      </c>
    </row>
    <row r="324" spans="1:8" ht="15.6">
      <c r="A324" s="4" t="s">
        <v>535</v>
      </c>
      <c r="B324" s="4" t="s">
        <v>1389</v>
      </c>
      <c r="C324" s="4" t="s">
        <v>261</v>
      </c>
      <c r="D324" s="4" t="s">
        <v>1432</v>
      </c>
      <c r="F324" s="4" t="s">
        <v>1191</v>
      </c>
      <c r="G324" s="4" t="s">
        <v>1426</v>
      </c>
      <c r="H324" s="4" t="s">
        <v>1427</v>
      </c>
    </row>
    <row r="325" spans="1:8" ht="15.6">
      <c r="A325" s="4" t="s">
        <v>535</v>
      </c>
      <c r="B325" s="4" t="s">
        <v>1389</v>
      </c>
      <c r="C325" s="4" t="s">
        <v>261</v>
      </c>
      <c r="D325" s="4" t="s">
        <v>1433</v>
      </c>
      <c r="F325" s="4" t="s">
        <v>1193</v>
      </c>
      <c r="G325" s="4" t="s">
        <v>1426</v>
      </c>
      <c r="H325" s="4" t="s">
        <v>1427</v>
      </c>
    </row>
    <row r="326" spans="1:8" ht="15.6">
      <c r="A326" s="4" t="s">
        <v>535</v>
      </c>
      <c r="B326" s="4" t="s">
        <v>1389</v>
      </c>
      <c r="C326" s="4" t="s">
        <v>261</v>
      </c>
      <c r="D326" s="4" t="s">
        <v>1434</v>
      </c>
      <c r="F326" s="4" t="s">
        <v>1195</v>
      </c>
      <c r="G326" s="4" t="s">
        <v>1426</v>
      </c>
      <c r="H326" s="4" t="s">
        <v>1427</v>
      </c>
    </row>
    <row r="327" spans="1:8" ht="15.6">
      <c r="A327" s="4" t="s">
        <v>535</v>
      </c>
      <c r="B327" s="4" t="s">
        <v>1389</v>
      </c>
      <c r="C327" s="4" t="s">
        <v>261</v>
      </c>
      <c r="D327" s="4" t="s">
        <v>1435</v>
      </c>
      <c r="F327" s="4" t="s">
        <v>1197</v>
      </c>
      <c r="G327" s="4" t="s">
        <v>1426</v>
      </c>
      <c r="H327" s="4" t="s">
        <v>1427</v>
      </c>
    </row>
    <row r="328" spans="1:8" ht="15.6">
      <c r="A328" s="4" t="s">
        <v>535</v>
      </c>
      <c r="B328" s="4" t="s">
        <v>1389</v>
      </c>
      <c r="C328" s="4" t="s">
        <v>261</v>
      </c>
      <c r="D328" s="4" t="s">
        <v>1436</v>
      </c>
      <c r="F328" s="4" t="s">
        <v>1199</v>
      </c>
      <c r="G328" s="4" t="s">
        <v>1426</v>
      </c>
      <c r="H328" s="4" t="s">
        <v>1427</v>
      </c>
    </row>
    <row r="329" spans="1:8" ht="15.6">
      <c r="A329" s="4" t="s">
        <v>535</v>
      </c>
      <c r="B329" s="4" t="s">
        <v>1389</v>
      </c>
      <c r="C329" s="4" t="s">
        <v>261</v>
      </c>
      <c r="D329" s="4" t="s">
        <v>1437</v>
      </c>
      <c r="F329" s="4" t="s">
        <v>1201</v>
      </c>
      <c r="G329" s="4" t="s">
        <v>1426</v>
      </c>
      <c r="H329" s="4" t="s">
        <v>1427</v>
      </c>
    </row>
    <row r="330" spans="1:8" ht="15.6">
      <c r="A330" s="4" t="s">
        <v>535</v>
      </c>
      <c r="B330" s="4" t="s">
        <v>1389</v>
      </c>
      <c r="C330" s="4" t="s">
        <v>261</v>
      </c>
      <c r="D330" s="4" t="s">
        <v>1409</v>
      </c>
      <c r="F330" s="4" t="s">
        <v>1108</v>
      </c>
      <c r="G330" s="4" t="s">
        <v>1426</v>
      </c>
      <c r="H330" s="4" t="s">
        <v>1427</v>
      </c>
    </row>
    <row r="331" spans="1:8" ht="15.6">
      <c r="A331" s="4" t="s">
        <v>535</v>
      </c>
      <c r="B331" s="4" t="s">
        <v>1389</v>
      </c>
      <c r="C331" s="4" t="s">
        <v>261</v>
      </c>
      <c r="D331" s="4" t="s">
        <v>1438</v>
      </c>
      <c r="F331" s="4" t="s">
        <v>1204</v>
      </c>
      <c r="G331" s="4" t="s">
        <v>1426</v>
      </c>
      <c r="H331" s="4" t="s">
        <v>1427</v>
      </c>
    </row>
    <row r="332" spans="1:8" ht="15.6">
      <c r="A332" s="4" t="s">
        <v>535</v>
      </c>
      <c r="B332" s="4" t="s">
        <v>1389</v>
      </c>
      <c r="C332" s="4" t="s">
        <v>261</v>
      </c>
      <c r="D332" s="4" t="s">
        <v>1439</v>
      </c>
      <c r="F332" s="4" t="s">
        <v>1206</v>
      </c>
      <c r="G332" s="4" t="s">
        <v>1426</v>
      </c>
      <c r="H332" s="4" t="s">
        <v>1427</v>
      </c>
    </row>
    <row r="333" spans="1:8" ht="15.6">
      <c r="A333" s="4" t="s">
        <v>535</v>
      </c>
      <c r="B333" s="4" t="s">
        <v>1389</v>
      </c>
      <c r="C333" s="4" t="s">
        <v>261</v>
      </c>
      <c r="D333" s="4" t="s">
        <v>1440</v>
      </c>
      <c r="F333" s="4" t="s">
        <v>1208</v>
      </c>
      <c r="G333" s="4" t="s">
        <v>1426</v>
      </c>
      <c r="H333" s="4" t="s">
        <v>1427</v>
      </c>
    </row>
    <row r="334" spans="1:8" ht="15.6">
      <c r="A334" s="4" t="s">
        <v>535</v>
      </c>
      <c r="B334" s="4" t="s">
        <v>1389</v>
      </c>
      <c r="C334" s="4" t="s">
        <v>261</v>
      </c>
      <c r="D334" s="4" t="s">
        <v>1441</v>
      </c>
      <c r="F334" s="4" t="s">
        <v>1210</v>
      </c>
      <c r="G334" s="4" t="s">
        <v>1426</v>
      </c>
      <c r="H334" s="4" t="s">
        <v>1427</v>
      </c>
    </row>
    <row r="335" spans="1:8" ht="15.6">
      <c r="A335" s="4" t="s">
        <v>535</v>
      </c>
      <c r="B335" s="4" t="s">
        <v>1389</v>
      </c>
      <c r="C335" s="4" t="s">
        <v>261</v>
      </c>
      <c r="D335" s="4" t="s">
        <v>1442</v>
      </c>
      <c r="F335" s="4" t="s">
        <v>1212</v>
      </c>
      <c r="G335" s="4" t="s">
        <v>1426</v>
      </c>
      <c r="H335" s="4" t="s">
        <v>1427</v>
      </c>
    </row>
    <row r="336" spans="1:8" ht="15.6">
      <c r="A336" s="4" t="s">
        <v>535</v>
      </c>
      <c r="B336" s="4" t="s">
        <v>1389</v>
      </c>
      <c r="C336" s="4" t="s">
        <v>261</v>
      </c>
      <c r="D336" s="4" t="s">
        <v>1443</v>
      </c>
      <c r="F336" s="4" t="s">
        <v>1214</v>
      </c>
      <c r="G336" s="4" t="s">
        <v>1426</v>
      </c>
      <c r="H336" s="4" t="s">
        <v>1427</v>
      </c>
    </row>
    <row r="337" spans="1:4" ht="15.6">
      <c r="A337" s="4" t="s">
        <v>535</v>
      </c>
      <c r="B337" s="4" t="s">
        <v>1389</v>
      </c>
      <c r="C337" s="4" t="s">
        <v>275</v>
      </c>
      <c r="D337" s="4" t="s">
        <v>1486</v>
      </c>
    </row>
    <row r="338" spans="1:4" ht="15.6">
      <c r="A338" s="4" t="s">
        <v>535</v>
      </c>
      <c r="B338" s="4" t="s">
        <v>1389</v>
      </c>
      <c r="C338" s="4" t="s">
        <v>275</v>
      </c>
      <c r="D338" s="4" t="s">
        <v>1487</v>
      </c>
    </row>
    <row r="339" spans="1:2" ht="15.6">
      <c r="A339" s="4" t="s">
        <v>535</v>
      </c>
      <c r="B339" s="4" t="s">
        <v>1392</v>
      </c>
    </row>
    <row r="340" spans="1:5" s="718" customFormat="true" ht="15.6">
      <c r="A340" s="4" t="s">
        <v>535</v>
      </c>
      <c r="B340" s="672" t="s">
        <v>1386</v>
      </c>
      <c r="C340" s="672" t="s">
        <v>3358</v>
      </c>
      <c r="D340" s="672" t="s">
        <v>3359</v>
      </c>
      <c r="E340" s="672">
        <v>0</v>
      </c>
    </row>
    <row r="341" spans="1:2" ht="15.6">
      <c r="A341" s="4" t="s">
        <v>535</v>
      </c>
      <c r="B341" s="672" t="s">
        <v>399</v>
      </c>
    </row>
    <row r="342" spans="1:2" ht="15.6">
      <c r="A342" s="4" t="s">
        <v>535</v>
      </c>
      <c r="B342" s="4" t="s">
        <v>1392</v>
      </c>
    </row>
  </sheetData>
  <sheetProtection/>
  <pageMargins left="0.75" right="0.75" top="1" bottom="1" header="0.5" footer="0.5"/>
  <pageSetup orientation="portrait"/>
  <headerFooter alignWithMargins="false"/>
</worksheet>
</file>

<file path=xl/worksheets/sheet43.xml><?xml version="1.0" encoding="utf-8"?>
<worksheet xmlns="http://schemas.openxmlformats.org/spreadsheetml/2006/main">
  <sheetPr/>
  <dimension ref="A1"/>
  <sheetViews>
    <sheetView showGridLines="true" topLeftCell="A1" workbookViewId="0"/>
  </sheetViews>
  <sheetFormatPr defaultColWidth="8.66406" defaultRowHeight="15.75"/>
  <sheetData>
    <row r="1" spans="1:1" ht="15.6">
      <c r="A1" s="4" t="s">
        <v>796</v>
      </c>
    </row>
  </sheetData>
  <sheetProtection/>
  <pageMargins left="0.7" right="0.7" top="0.75" bottom="0.75" header="0.3" footer="0.3"/>
  <pageSetup orientation="portrait"/>
</worksheet>
</file>

<file path=xl/worksheets/sheet5.xml><?xml version="1.0" encoding="utf-8"?>
<worksheet xmlns:r="http://schemas.openxmlformats.org/officeDocument/2006/relationships" xmlns="http://schemas.openxmlformats.org/spreadsheetml/2006/main">
  <sheetPr/>
  <dimension ref="AA62"/>
  <sheetViews>
    <sheetView showGridLines="false" showZeros="false" showOutlineSymbols="false" topLeftCell="A1" workbookViewId="0">
      <pane xSplit="3" ySplit="4" topLeftCell="D26" activePane="bottomRight" state="frozen"/>
    </sheetView>
  </sheetViews>
  <sheetFormatPr defaultColWidth="9" defaultRowHeight="12" customHeight="true"/>
  <cols>
    <col min="1" max="1" width="6.625" style="698"/>
    <col min="2" max="2" width="26.75" style="698"/>
    <col min="3" max="3" width="10.625" style="698"/>
    <col min="4" max="4" width="12.375" style="698"/>
    <col min="5" max="5" width="9" style="698"/>
    <col min="6" max="25" width="10.625" style="698"/>
    <col min="26" max="26" width="42.125" style="698"/>
  </cols>
  <sheetData>
    <row r="1" spans="1:25" ht="12" customHeight="true">
      <c r="A1" s="347" t="s"/>
      <c r="B1" s="348" t="s"/>
      <c r="C1" s="348" t="s"/>
      <c r="D1" s="348" t="s">
        <v>914</v>
      </c>
      <c r="E1" s="348" t="s"/>
      <c r="F1" s="348" t="s"/>
      <c r="G1" s="348" t="s"/>
      <c r="H1" s="348" t="s"/>
      <c r="I1" s="348" t="s"/>
      <c r="J1" s="348" t="s"/>
      <c r="K1" s="348" t="s"/>
      <c r="L1" s="348" t="s"/>
      <c r="M1" s="348" t="s"/>
      <c r="N1" s="348" t="s"/>
      <c r="O1" s="348" t="s"/>
      <c r="P1" s="348" t="s"/>
      <c r="Q1" s="348" t="s"/>
      <c r="R1" s="348" t="s"/>
      <c r="S1" s="348" t="s"/>
      <c r="T1" s="348" t="s"/>
      <c r="U1" s="348" t="s"/>
      <c r="V1" s="348" t="s"/>
      <c r="W1" s="348" t="s"/>
      <c r="X1" s="348" t="s"/>
      <c r="Y1" s="348" t="s"/>
    </row>
    <row r="2" spans="1:25" ht="12" customHeight="true">
      <c r="A2" s="502" t="s">
        <v>915</v>
      </c>
      <c r="B2" s="502" t="s"/>
      <c r="C2" s="350" t="s"/>
      <c r="D2" s="350" t="s">
        <v>438</v>
      </c>
      <c r="E2" s="350" t="s"/>
      <c r="F2" s="350" t="s"/>
      <c r="G2" s="350" t="s"/>
      <c r="H2" s="350" t="s"/>
      <c r="I2" s="350" t="s"/>
      <c r="J2" s="350" t="s"/>
      <c r="K2" s="350" t="s"/>
      <c r="L2" s="350" t="s"/>
      <c r="M2" s="350" t="s"/>
      <c r="N2" s="350" t="s"/>
      <c r="O2" s="350" t="s"/>
      <c r="P2" s="350" t="s"/>
      <c r="Q2" s="350" t="s"/>
      <c r="R2" s="350" t="s"/>
      <c r="S2" s="350" t="s"/>
      <c r="T2" s="350" t="s"/>
      <c r="U2" s="350" t="s"/>
      <c r="V2" s="350" t="s"/>
      <c r="W2" s="350" t="s"/>
      <c r="X2" s="350" t="s"/>
      <c r="Y2" s="350" t="s"/>
    </row>
    <row r="3" spans="1:25" ht="12" customHeight="true">
      <c r="A3" s="294" t="s">
        <v>525</v>
      </c>
      <c r="B3" s="294" t="s">
        <v>618</v>
      </c>
      <c r="C3" s="294" t="s">
        <v>619</v>
      </c>
      <c r="D3" s="352" t="s">
        <v>620</v>
      </c>
      <c r="E3" s="353" t="s"/>
      <c r="F3" s="352" t="s">
        <v>621</v>
      </c>
      <c r="G3" s="503" t="s"/>
      <c r="H3" s="503" t="s"/>
      <c r="I3" s="503" t="s"/>
      <c r="J3" s="503" t="s"/>
      <c r="K3" s="503" t="s"/>
      <c r="L3" s="503" t="s"/>
      <c r="M3" s="503" t="s"/>
      <c r="N3" s="503" t="s"/>
      <c r="O3" s="503" t="s"/>
      <c r="P3" s="503" t="s"/>
      <c r="Q3" s="503" t="s"/>
      <c r="R3" s="503" t="s"/>
      <c r="S3" s="503" t="s"/>
      <c r="T3" s="503" t="s"/>
      <c r="U3" s="503" t="s"/>
      <c r="V3" s="503" t="s"/>
      <c r="W3" s="503" t="s"/>
      <c r="X3" s="503" t="s"/>
      <c r="Y3" s="503" t="s"/>
    </row>
    <row r="4" spans="1:25" ht="12" customHeight="true">
      <c r="A4" s="294" t="s"/>
      <c r="B4" s="294" t="s"/>
      <c r="C4" s="294" t="s"/>
      <c r="D4" s="256" t="s">
        <v>622</v>
      </c>
      <c r="E4" s="256" t="s">
        <v>623</v>
      </c>
      <c r="F4" s="256" t="s">
        <v>622</v>
      </c>
      <c r="G4" s="256" t="s">
        <v>623</v>
      </c>
      <c r="H4" s="256" t="s">
        <v>624</v>
      </c>
      <c r="I4" s="256" t="s">
        <v>625</v>
      </c>
      <c r="J4" s="256" t="s">
        <v>626</v>
      </c>
      <c r="K4" s="256" t="s">
        <v>627</v>
      </c>
      <c r="L4" s="256" t="s">
        <v>628</v>
      </c>
      <c r="M4" s="256" t="s">
        <v>629</v>
      </c>
      <c r="N4" s="256" t="s">
        <v>630</v>
      </c>
      <c r="O4" s="256" t="s">
        <v>631</v>
      </c>
      <c r="P4" s="256" t="s">
        <v>632</v>
      </c>
      <c r="Q4" s="256" t="s">
        <v>633</v>
      </c>
      <c r="R4" s="256" t="s">
        <v>634</v>
      </c>
      <c r="S4" s="256" t="s">
        <v>635</v>
      </c>
      <c r="T4" s="256" t="s">
        <v>636</v>
      </c>
      <c r="U4" s="256" t="s">
        <v>702</v>
      </c>
      <c r="V4" s="256" t="s">
        <v>703</v>
      </c>
      <c r="W4" s="256" t="s">
        <v>637</v>
      </c>
      <c r="X4" s="256" t="s">
        <v>638</v>
      </c>
      <c r="Y4" s="256" t="s">
        <v>639</v>
      </c>
    </row>
    <row r="5" spans="1:25" ht="12" customHeight="true">
      <c r="A5" s="294" t="s"/>
      <c r="B5" s="361" t="s">
        <v>642</v>
      </c>
      <c r="C5" s="371" t="s"/>
      <c r="D5" s="504" t="s"/>
      <c r="E5" s="504">
        <v>0</v>
      </c>
      <c r="F5" s="504">
        <v>0</v>
      </c>
      <c r="G5" s="504">
        <v>0</v>
      </c>
      <c r="H5" s="504" t="s"/>
      <c r="I5" s="504" t="s"/>
      <c r="J5" s="504" t="s"/>
      <c r="K5" s="504">
        <v>0.05</v>
      </c>
      <c r="L5" s="504" t="s"/>
      <c r="M5" s="504">
        <v>0.05</v>
      </c>
      <c r="N5" s="504" t="s"/>
      <c r="O5" s="504" t="s"/>
      <c r="P5" s="504">
        <v>0.05</v>
      </c>
      <c r="Q5" s="504" t="s"/>
      <c r="R5" s="504" t="s"/>
      <c r="S5" s="504" t="s"/>
      <c r="T5" s="504" t="s"/>
      <c r="U5" s="504" t="s"/>
      <c r="V5" s="504" t="s"/>
      <c r="W5" s="504" t="s"/>
      <c r="X5" s="504" t="s"/>
      <c r="Y5" s="504" t="s"/>
    </row>
    <row r="6" spans="1:26" ht="12" customHeight="true">
      <c r="A6" s="297" t="s">
        <v>51</v>
      </c>
      <c r="B6" s="361" t="s">
        <v>741</v>
      </c>
      <c r="C6" s="410" t="s"/>
      <c r="D6" s="504" t="s"/>
      <c r="E6" s="504">
        <v>0</v>
      </c>
      <c r="F6" s="505">
        <f>=(1-1%)*辅助表7单因素敏感性分析表!N12</f>
        <v>0.99</v>
      </c>
      <c r="G6" s="505">
        <f>=97.6%*辅助表7单因素敏感性分析表!N12</f>
        <v>0.976</v>
      </c>
      <c r="H6" s="505">
        <f>=97.2%*辅助表7单因素敏感性分析表!N12</f>
        <v>0.972</v>
      </c>
      <c r="I6" s="505">
        <f>=96.8%*辅助表7单因素敏感性分析表!N12</f>
        <v>0.968</v>
      </c>
      <c r="J6" s="505">
        <f>=96.4%*辅助表7单因素敏感性分析表!N12</f>
        <v>0.964</v>
      </c>
      <c r="K6" s="505">
        <f>=96%*辅助表7单因素敏感性分析表!N12</f>
        <v>0.96</v>
      </c>
      <c r="L6" s="505">
        <f>=95.6%*辅助表7单因素敏感性分析表!N12</f>
        <v>0.956</v>
      </c>
      <c r="M6" s="505">
        <f>=95.2%*辅助表7单因素敏感性分析表!N12</f>
        <v>0.952</v>
      </c>
      <c r="N6" s="505">
        <f>=94.8%*辅助表7单因素敏感性分析表!N12</f>
        <v>0.948</v>
      </c>
      <c r="O6" s="505">
        <f>=94.4%*辅助表7单因素敏感性分析表!N12</f>
        <v>0.944</v>
      </c>
      <c r="P6" s="504">
        <v>0.94</v>
      </c>
      <c r="Q6" s="505">
        <v>0.936</v>
      </c>
      <c r="R6" s="504" t="s"/>
      <c r="S6" s="505" t="s"/>
      <c r="T6" s="504" t="s"/>
      <c r="U6" s="504" t="s"/>
      <c r="V6" s="504" t="s"/>
      <c r="W6" s="504" t="s"/>
      <c r="X6" s="504" t="s"/>
      <c r="Y6" s="504" t="s"/>
      <c r="Z6" s="188" t="s">
        <v>916</v>
      </c>
    </row>
    <row r="7" spans="1:26" ht="12" customHeight="true">
      <c r="A7" s="297" t="s">
        <v>51</v>
      </c>
      <c r="B7" s="361" t="s">
        <v>742</v>
      </c>
      <c r="C7" s="410" t="s"/>
      <c r="D7" s="504">
        <v>0</v>
      </c>
      <c r="E7" s="504">
        <v>0</v>
      </c>
      <c r="F7" s="505">
        <f>=92%*辅助表7单因素敏感性分析表!N12</f>
        <v>0.92</v>
      </c>
      <c r="G7" s="505">
        <v>0.92</v>
      </c>
      <c r="H7" s="505">
        <f>=G7</f>
        <v>0.92</v>
      </c>
      <c r="I7" s="505">
        <f>=H7</f>
        <v>0.92</v>
      </c>
      <c r="J7" s="505">
        <f>=I7</f>
        <v>0.92</v>
      </c>
      <c r="K7" s="505">
        <f>=J7</f>
        <v>0.92</v>
      </c>
      <c r="L7" s="505">
        <f>=K7</f>
        <v>0.92</v>
      </c>
      <c r="M7" s="505">
        <f>=L7</f>
        <v>0.92</v>
      </c>
      <c r="N7" s="505">
        <f>=M7</f>
        <v>0.92</v>
      </c>
      <c r="O7" s="505">
        <f>=N7</f>
        <v>0.92</v>
      </c>
      <c r="P7" s="505">
        <f>=O7</f>
        <v>0.92</v>
      </c>
      <c r="Q7" s="505">
        <f>=P7</f>
        <v>0.92</v>
      </c>
      <c r="R7" s="505" t="s"/>
      <c r="S7" s="505" t="s"/>
      <c r="T7" s="505" t="s"/>
      <c r="U7" s="504" t="s"/>
      <c r="V7" s="504" t="s"/>
      <c r="W7" s="504" t="s"/>
      <c r="X7" s="504" t="s"/>
      <c r="Y7" s="504" t="s"/>
      <c r="Z7" s="188" t="s">
        <v>917</v>
      </c>
    </row>
    <row r="8" spans="1:25" ht="12" customHeight="true">
      <c r="A8" s="297" t="s">
        <v>51</v>
      </c>
      <c r="B8" s="361" t="s">
        <v>743</v>
      </c>
      <c r="C8" s="410" t="s"/>
      <c r="D8" s="504" t="s"/>
      <c r="E8" s="504" t="s"/>
      <c r="F8" s="504" t="s"/>
      <c r="G8" s="504" t="s"/>
      <c r="H8" s="504" t="s"/>
      <c r="I8" s="504" t="s"/>
      <c r="J8" s="504" t="s"/>
      <c r="K8" s="504">
        <v>0.03</v>
      </c>
      <c r="L8" s="504" t="s"/>
      <c r="M8" s="504" t="s"/>
      <c r="N8" s="504" t="s"/>
      <c r="O8" s="504" t="s"/>
      <c r="P8" s="504">
        <v>0.03</v>
      </c>
      <c r="Q8" s="504" t="s"/>
      <c r="R8" s="504" t="s"/>
      <c r="S8" s="504" t="s"/>
      <c r="T8" s="504" t="s"/>
      <c r="U8" s="504" t="s"/>
      <c r="V8" s="504" t="s"/>
      <c r="W8" s="504" t="s"/>
      <c r="X8" s="504" t="s"/>
      <c r="Y8" s="504" t="s"/>
    </row>
    <row r="9" spans="1:25" ht="12" customHeight="true">
      <c r="A9" s="297" t="s">
        <v>51</v>
      </c>
      <c r="B9" s="361" t="s">
        <v>744</v>
      </c>
      <c r="C9" s="410" t="s"/>
      <c r="D9" s="504" t="s"/>
      <c r="E9" s="504" t="s"/>
      <c r="F9" s="504">
        <v>0.5</v>
      </c>
      <c r="G9" s="504">
        <v>0.6</v>
      </c>
      <c r="H9" s="504">
        <v>0.7</v>
      </c>
      <c r="I9" s="504">
        <v>0.8</v>
      </c>
      <c r="J9" s="504">
        <v>0.9</v>
      </c>
      <c r="K9" s="504">
        <v>0.95</v>
      </c>
      <c r="L9" s="504">
        <v>0.95</v>
      </c>
      <c r="M9" s="504">
        <v>0.95</v>
      </c>
      <c r="N9" s="504">
        <v>0.95</v>
      </c>
      <c r="O9" s="504">
        <v>0.95</v>
      </c>
      <c r="P9" s="504">
        <v>0.95</v>
      </c>
      <c r="Q9" s="504">
        <v>0.95</v>
      </c>
      <c r="R9" s="504" t="s"/>
      <c r="S9" s="504">
        <f>=R9</f>
        <v>0</v>
      </c>
      <c r="T9" s="504">
        <f>=S9</f>
        <v>0</v>
      </c>
      <c r="U9" s="504" t="s"/>
      <c r="V9" s="504" t="s"/>
      <c r="W9" s="504" t="s"/>
      <c r="X9" s="504" t="s"/>
      <c r="Y9" s="504" t="s"/>
    </row>
    <row r="10" spans="1:25" ht="12" customHeight="true">
      <c r="A10" s="297" t="s">
        <v>51</v>
      </c>
      <c r="B10" s="361" t="s">
        <v>745</v>
      </c>
      <c r="C10" s="410" t="s"/>
      <c r="D10" s="504" t="s"/>
      <c r="E10" s="504" t="s"/>
      <c r="F10" s="504" t="s"/>
      <c r="G10" s="504" t="s"/>
      <c r="H10" s="504" t="s"/>
      <c r="I10" s="504" t="s"/>
      <c r="J10" s="504" t="s"/>
      <c r="K10" s="504">
        <f>=J10</f>
        <v>0</v>
      </c>
      <c r="L10" s="504">
        <f>=K10</f>
        <v>0</v>
      </c>
      <c r="M10" s="504">
        <f>=L10</f>
        <v>0</v>
      </c>
      <c r="N10" s="504" t="s"/>
      <c r="O10" s="504" t="s"/>
      <c r="P10" s="504" t="s"/>
      <c r="Q10" s="504" t="s"/>
      <c r="R10" s="504" t="s"/>
      <c r="S10" s="504" t="s"/>
      <c r="T10" s="504" t="s"/>
      <c r="U10" s="504" t="s"/>
      <c r="V10" s="504" t="s"/>
      <c r="W10" s="504" t="s"/>
      <c r="X10" s="504" t="s"/>
      <c r="Y10" s="504" t="s"/>
    </row>
    <row r="11" spans="1:26" s="699" customFormat="true" ht="12" customHeight="true">
      <c r="A11" s="373" t="s">
        <v>442</v>
      </c>
      <c r="B11" s="506" t="s">
        <v>918</v>
      </c>
      <c r="C11" s="376">
        <f>=SUM(D11:Y11)</f>
        <v>8699.62910463352</v>
      </c>
      <c r="D11" s="376">
        <f>=D12+D20+D23+D24</f>
        <v>0</v>
      </c>
      <c r="E11" s="376">
        <f>=E12+E20+E23+E24</f>
        <v>0</v>
      </c>
      <c r="F11" s="376">
        <f>=F12+F20+F23+F24</f>
        <v>248.903904756135</v>
      </c>
      <c r="G11" s="376">
        <f>=G12+G20+G23+G24</f>
        <v>497.847809512271</v>
      </c>
      <c r="H11" s="376">
        <f>=H12+H20+H23+H24</f>
        <v>497.847809512271</v>
      </c>
      <c r="I11" s="376">
        <f>=I12+I20+I23+I24</f>
        <v>500.847809512271</v>
      </c>
      <c r="J11" s="376">
        <f>=J12+J20+J23+J24</f>
        <v>500.847809512271</v>
      </c>
      <c r="K11" s="376">
        <f>=K12+K20+K23+K24</f>
        <v>503.997809512271</v>
      </c>
      <c r="L11" s="376">
        <f>=L12+L20+L23+L24</f>
        <v>503.997809512271</v>
      </c>
      <c r="M11" s="376">
        <f>=M12+M20+M23+M24</f>
        <v>503.997809512271</v>
      </c>
      <c r="N11" s="376">
        <f>=N12+N20+N23+N24</f>
        <v>503.997809512271</v>
      </c>
      <c r="O11" s="376">
        <f>=O12+O20+O23+O24</f>
        <v>503.997809512271</v>
      </c>
      <c r="P11" s="376">
        <f>=P12+P20+P23+P24</f>
        <v>507.305309512271</v>
      </c>
      <c r="Q11" s="376">
        <f>=Q12+Q20+Q23+Q24</f>
        <v>507.305309512271</v>
      </c>
      <c r="R11" s="376">
        <f>=R12+R20+R23+R24</f>
        <v>364.841786905301</v>
      </c>
      <c r="S11" s="376">
        <f>=S12+S20+S23+S24</f>
        <v>364.841786905301</v>
      </c>
      <c r="T11" s="376">
        <f>=T12+T20+T23+T24</f>
        <v>364.841786905301</v>
      </c>
      <c r="U11" s="376">
        <f>=U12+U20+U23+U24</f>
        <v>364.841786905301</v>
      </c>
      <c r="V11" s="376">
        <f>=V12+V20+V23+V24</f>
        <v>364.841786905301</v>
      </c>
      <c r="W11" s="376">
        <f>=W12+W20+W23+W24</f>
        <v>364.841786905301</v>
      </c>
      <c r="X11" s="376">
        <f>=X12+X20+X23+X24</f>
        <v>364.841786905301</v>
      </c>
      <c r="Y11" s="376">
        <f>=Y12+Y20+Y23+Y24</f>
        <v>364.841786905301</v>
      </c>
      <c r="Z11" s="399" t="s">
        <v>919</v>
      </c>
    </row>
    <row r="12" spans="1:25" s="699" customFormat="true" ht="12" customHeight="true">
      <c r="A12" s="373">
        <v>1</v>
      </c>
      <c r="B12" s="374" t="s">
        <v>920</v>
      </c>
      <c r="C12" s="376">
        <f>=SUM(D12:Y12)</f>
        <v>494.02</v>
      </c>
      <c r="D12" s="376">
        <f>=SUM(D13:D19)</f>
        <v>0</v>
      </c>
      <c r="E12" s="376">
        <f>=SUM(E13:E19)</f>
        <v>0</v>
      </c>
      <c r="F12" s="376">
        <f>=SUM(F13:F19)</f>
        <v>21.46</v>
      </c>
      <c r="G12" s="376">
        <f>=SUM(G13:G19)</f>
        <v>42.96</v>
      </c>
      <c r="H12" s="376">
        <f>=SUM(H13:H19)</f>
        <v>42.96</v>
      </c>
      <c r="I12" s="376">
        <f>=SUM(I13:I19)</f>
        <v>42.96</v>
      </c>
      <c r="J12" s="376">
        <f>=SUM(J13:J19)</f>
        <v>42.96</v>
      </c>
      <c r="K12" s="376">
        <f>=SUM(K13:K19)</f>
        <v>42.96</v>
      </c>
      <c r="L12" s="376">
        <f>=SUM(L13:L19)</f>
        <v>42.96</v>
      </c>
      <c r="M12" s="376">
        <f>=SUM(M13:M19)</f>
        <v>42.96</v>
      </c>
      <c r="N12" s="376">
        <f>=SUM(N13:N19)</f>
        <v>42.96</v>
      </c>
      <c r="O12" s="376">
        <f>=SUM(O13:O19)</f>
        <v>42.96</v>
      </c>
      <c r="P12" s="376">
        <f>=SUM(P13:P19)</f>
        <v>42.96</v>
      </c>
      <c r="Q12" s="376">
        <f>=SUM(Q13:Q19)</f>
        <v>42.96</v>
      </c>
      <c r="R12" s="376">
        <f>=SUM(R13:R19)</f>
        <v>0</v>
      </c>
      <c r="S12" s="376">
        <f>=SUM(S13:S19)</f>
        <v>0</v>
      </c>
      <c r="T12" s="376">
        <f>=SUM(T13:T19)</f>
        <v>0</v>
      </c>
      <c r="U12" s="376">
        <f>=SUM(U13:U19)</f>
        <v>0</v>
      </c>
      <c r="V12" s="376">
        <f>=SUM(V13:V19)</f>
        <v>0</v>
      </c>
      <c r="W12" s="376">
        <f>=SUM(W13:W19)</f>
        <v>0</v>
      </c>
      <c r="X12" s="376">
        <f>=SUM(X13:X19)</f>
        <v>0</v>
      </c>
      <c r="Y12" s="376">
        <f>=SUM(Y13:Y19)</f>
        <v>0</v>
      </c>
    </row>
    <row r="13" spans="1:26" s="699" customFormat="true" ht="12" customHeight="true">
      <c r="A13" s="373">
        <v>1.1</v>
      </c>
      <c r="B13" s="374" t="s">
        <v>921</v>
      </c>
      <c r="C13" s="376">
        <f>=SUM(D13:Y13)</f>
        <v>0</v>
      </c>
      <c r="D13" s="376">
        <f>=辅助表2生产投入物估算表!E18</f>
        <v>0</v>
      </c>
      <c r="E13" s="376">
        <f>=辅助表2生产投入物估算表!F18</f>
        <v>0</v>
      </c>
      <c r="F13" s="376">
        <f>=辅助表2生产投入物估算表!G18</f>
        <v>0</v>
      </c>
      <c r="G13" s="376">
        <f>=辅助表2生产投入物估算表!H18</f>
        <v>0</v>
      </c>
      <c r="H13" s="376">
        <f>=辅助表2生产投入物估算表!I18</f>
        <v>0</v>
      </c>
      <c r="I13" s="376">
        <f>=辅助表2生产投入物估算表!J18</f>
        <v>0</v>
      </c>
      <c r="J13" s="376">
        <f>=辅助表2生产投入物估算表!K18</f>
        <v>0</v>
      </c>
      <c r="K13" s="376">
        <f>=辅助表2生产投入物估算表!L18</f>
        <v>0</v>
      </c>
      <c r="L13" s="376">
        <f>=辅助表2生产投入物估算表!M18</f>
        <v>0</v>
      </c>
      <c r="M13" s="376">
        <f>=辅助表2生产投入物估算表!N18</f>
        <v>0</v>
      </c>
      <c r="N13" s="376">
        <f>=辅助表2生产投入物估算表!O18</f>
        <v>0</v>
      </c>
      <c r="O13" s="376">
        <f>=辅助表2生产投入物估算表!P18</f>
        <v>0</v>
      </c>
      <c r="P13" s="376">
        <f>=辅助表2生产投入物估算表!Q18</f>
        <v>0</v>
      </c>
      <c r="Q13" s="376">
        <f>=辅助表2生产投入物估算表!R18</f>
        <v>0</v>
      </c>
      <c r="R13" s="376">
        <f>=辅助表2生产投入物估算表!S18</f>
        <v>0</v>
      </c>
      <c r="S13" s="376">
        <f>=辅助表2生产投入物估算表!T18</f>
        <v>0</v>
      </c>
      <c r="T13" s="376">
        <f>=辅助表2生产投入物估算表!U18</f>
        <v>0</v>
      </c>
      <c r="U13" s="376">
        <f>=辅助表2生产投入物估算表!V18</f>
        <v>0</v>
      </c>
      <c r="V13" s="376">
        <f>=辅助表2生产投入物估算表!W18</f>
        <v>0</v>
      </c>
      <c r="W13" s="376">
        <f>=辅助表2生产投入物估算表!X18</f>
        <v>0</v>
      </c>
      <c r="X13" s="376">
        <f>=辅助表2生产投入物估算表!Y18</f>
        <v>0</v>
      </c>
      <c r="Y13" s="376">
        <f>=辅助表2生产投入物估算表!Z18</f>
        <v>0</v>
      </c>
      <c r="Z13" s="399" t="s">
        <v>922</v>
      </c>
    </row>
    <row r="14" spans="1:26" s="699" customFormat="true" ht="12" customHeight="true">
      <c r="A14" s="373">
        <v>1.2</v>
      </c>
      <c r="B14" s="374" t="s">
        <v>923</v>
      </c>
      <c r="C14" s="376">
        <f>=SUM(D14:Y14)</f>
        <v>0</v>
      </c>
      <c r="D14" s="376">
        <f>=辅助表2生产投入物估算表!E129</f>
        <v>0</v>
      </c>
      <c r="E14" s="376">
        <f>=辅助表2生产投入物估算表!F129</f>
        <v>0</v>
      </c>
      <c r="F14" s="376">
        <f>=辅助表2生产投入物估算表!G129</f>
        <v>0</v>
      </c>
      <c r="G14" s="376">
        <f>=辅助表2生产投入物估算表!H129</f>
        <v>0</v>
      </c>
      <c r="H14" s="376">
        <f>=辅助表2生产投入物估算表!I129</f>
        <v>0</v>
      </c>
      <c r="I14" s="376">
        <f>=辅助表2生产投入物估算表!J129</f>
        <v>0</v>
      </c>
      <c r="J14" s="376">
        <f>=辅助表2生产投入物估算表!K129</f>
        <v>0</v>
      </c>
      <c r="K14" s="376">
        <f>=辅助表2生产投入物估算表!L129</f>
        <v>0</v>
      </c>
      <c r="L14" s="376">
        <f>=辅助表2生产投入物估算表!M129</f>
        <v>0</v>
      </c>
      <c r="M14" s="376">
        <f>=辅助表2生产投入物估算表!N129</f>
        <v>0</v>
      </c>
      <c r="N14" s="376">
        <f>=辅助表2生产投入物估算表!O129</f>
        <v>0</v>
      </c>
      <c r="O14" s="376">
        <f>=辅助表2生产投入物估算表!P129</f>
        <v>0</v>
      </c>
      <c r="P14" s="376">
        <f>=辅助表2生产投入物估算表!Q129</f>
        <v>0</v>
      </c>
      <c r="Q14" s="376">
        <f>=辅助表2生产投入物估算表!R129</f>
        <v>0</v>
      </c>
      <c r="R14" s="376">
        <f>=辅助表2生产投入物估算表!S129</f>
        <v>0</v>
      </c>
      <c r="S14" s="376">
        <f>=辅助表2生产投入物估算表!T129</f>
        <v>0</v>
      </c>
      <c r="T14" s="376">
        <f>=辅助表2生产投入物估算表!U129</f>
        <v>0</v>
      </c>
      <c r="U14" s="376">
        <f>=辅助表2生产投入物估算表!V129</f>
        <v>0</v>
      </c>
      <c r="V14" s="376">
        <f>=辅助表2生产投入物估算表!W129</f>
        <v>0</v>
      </c>
      <c r="W14" s="376">
        <f>=辅助表2生产投入物估算表!X129</f>
        <v>0</v>
      </c>
      <c r="X14" s="376">
        <f>=辅助表2生产投入物估算表!Y129</f>
        <v>0</v>
      </c>
      <c r="Y14" s="376">
        <f>=辅助表2生产投入物估算表!Z129</f>
        <v>0</v>
      </c>
      <c r="Z14" s="399" t="s">
        <v>922</v>
      </c>
    </row>
    <row r="15" spans="1:26" s="699" customFormat="true" ht="12" customHeight="true">
      <c r="A15" s="373">
        <v>1.3</v>
      </c>
      <c r="B15" s="374" t="s">
        <v>924</v>
      </c>
      <c r="C15" s="376">
        <f>=SUM(D15:Y15)</f>
        <v>0</v>
      </c>
      <c r="D15" s="376">
        <f>=辅助表2生产投入物估算表!E185</f>
        <v>0</v>
      </c>
      <c r="E15" s="376">
        <f>=辅助表2生产投入物估算表!F185</f>
        <v>0</v>
      </c>
      <c r="F15" s="376">
        <f>=辅助表2生产投入物估算表!G185</f>
        <v>0</v>
      </c>
      <c r="G15" s="376">
        <f>=F15</f>
        <v>0</v>
      </c>
      <c r="H15" s="376">
        <f>=G15</f>
        <v>0</v>
      </c>
      <c r="I15" s="376">
        <f>=H15</f>
        <v>0</v>
      </c>
      <c r="J15" s="376">
        <f>=I15</f>
        <v>0</v>
      </c>
      <c r="K15" s="376">
        <f>=J15</f>
        <v>0</v>
      </c>
      <c r="L15" s="376">
        <f>=K15</f>
        <v>0</v>
      </c>
      <c r="M15" s="376">
        <f>=L15</f>
        <v>0</v>
      </c>
      <c r="N15" s="376">
        <f>=M15</f>
        <v>0</v>
      </c>
      <c r="O15" s="376">
        <f>=N15</f>
        <v>0</v>
      </c>
      <c r="P15" s="376">
        <f>=O15</f>
        <v>0</v>
      </c>
      <c r="Q15" s="376">
        <f>=P15</f>
        <v>0</v>
      </c>
      <c r="R15" s="376">
        <f>=Q15</f>
        <v>0</v>
      </c>
      <c r="S15" s="376">
        <f>=辅助表2生产投入物估算表!T185</f>
        <v>0</v>
      </c>
      <c r="T15" s="376">
        <f>=辅助表2生产投入物估算表!U185</f>
        <v>0</v>
      </c>
      <c r="U15" s="376">
        <f>=辅助表2生产投入物估算表!V185</f>
        <v>0</v>
      </c>
      <c r="V15" s="376">
        <f>=辅助表2生产投入物估算表!W185</f>
        <v>0</v>
      </c>
      <c r="W15" s="376">
        <f>=辅助表2生产投入物估算表!X185</f>
        <v>0</v>
      </c>
      <c r="X15" s="376">
        <f>=辅助表2生产投入物估算表!Y185</f>
        <v>0</v>
      </c>
      <c r="Y15" s="376">
        <f>=辅助表2生产投入物估算表!Z185</f>
        <v>0</v>
      </c>
      <c r="Z15" s="399" t="s">
        <v>922</v>
      </c>
    </row>
    <row r="16" spans="1:26" s="699" customFormat="true" ht="12" customHeight="true">
      <c r="A16" s="373">
        <v>1.4</v>
      </c>
      <c r="B16" s="374" t="s">
        <v>925</v>
      </c>
      <c r="C16" s="376">
        <f>=SUM(D16:Y16)</f>
        <v>0</v>
      </c>
      <c r="D16" s="376">
        <f>=辅助表2生产投入物估算表!E208</f>
        <v>0</v>
      </c>
      <c r="E16" s="376">
        <f>=辅助表2生产投入物估算表!F208</f>
        <v>0</v>
      </c>
      <c r="F16" s="376">
        <f>=辅助表2生产投入物估算表!G208</f>
        <v>0</v>
      </c>
      <c r="G16" s="376">
        <f>=辅助表2生产投入物估算表!H208</f>
        <v>0</v>
      </c>
      <c r="H16" s="376">
        <f>=辅助表2生产投入物估算表!I208</f>
        <v>0</v>
      </c>
      <c r="I16" s="376">
        <f>=辅助表2生产投入物估算表!J208</f>
        <v>0</v>
      </c>
      <c r="J16" s="376">
        <f>=辅助表2生产投入物估算表!K208</f>
        <v>0</v>
      </c>
      <c r="K16" s="376">
        <f>=辅助表2生产投入物估算表!L208</f>
        <v>0</v>
      </c>
      <c r="L16" s="376">
        <f>=辅助表2生产投入物估算表!M208</f>
        <v>0</v>
      </c>
      <c r="M16" s="376">
        <f>=辅助表2生产投入物估算表!N208</f>
        <v>0</v>
      </c>
      <c r="N16" s="376">
        <f>=辅助表2生产投入物估算表!O208</f>
        <v>0</v>
      </c>
      <c r="O16" s="376">
        <f>=辅助表2生产投入物估算表!P208</f>
        <v>0</v>
      </c>
      <c r="P16" s="376">
        <f>=辅助表2生产投入物估算表!Q208</f>
        <v>0</v>
      </c>
      <c r="Q16" s="376">
        <f>=辅助表2生产投入物估算表!R208</f>
        <v>0</v>
      </c>
      <c r="R16" s="376">
        <f>=辅助表2生产投入物估算表!S208</f>
        <v>0</v>
      </c>
      <c r="S16" s="376">
        <f>=辅助表2生产投入物估算表!T208</f>
        <v>0</v>
      </c>
      <c r="T16" s="376">
        <f>=辅助表2生产投入物估算表!U208</f>
        <v>0</v>
      </c>
      <c r="U16" s="376">
        <f>=辅助表2生产投入物估算表!V208</f>
        <v>0</v>
      </c>
      <c r="V16" s="376">
        <f>=辅助表2生产投入物估算表!W208</f>
        <v>0</v>
      </c>
      <c r="W16" s="376">
        <f>=辅助表2生产投入物估算表!X208</f>
        <v>0</v>
      </c>
      <c r="X16" s="376">
        <f>=辅助表2生产投入物估算表!Y208</f>
        <v>0</v>
      </c>
      <c r="Y16" s="376">
        <f>=辅助表2生产投入物估算表!Z208</f>
        <v>0</v>
      </c>
      <c r="Z16" s="399" t="s">
        <v>922</v>
      </c>
    </row>
    <row r="17" spans="1:26" s="700" customFormat="true" ht="12" customHeight="true">
      <c r="A17" s="507">
        <v>1.5</v>
      </c>
      <c r="B17" s="508" t="s">
        <v>926</v>
      </c>
      <c r="C17" s="405">
        <f>=SUM(D17:Y17)</f>
        <v>494.02</v>
      </c>
      <c r="D17" s="405">
        <f>=辅助表2生产投入物估算表!E231</f>
        <v>0</v>
      </c>
      <c r="E17" s="405">
        <f>=辅助表2生产投入物估算表!F231</f>
        <v>0</v>
      </c>
      <c r="F17" s="405">
        <f>=辅助表2生产投入物估算表!G231</f>
        <v>21.46</v>
      </c>
      <c r="G17" s="405">
        <f>=辅助表2生产投入物估算表!H231</f>
        <v>42.96</v>
      </c>
      <c r="H17" s="405">
        <f>=辅助表2生产投入物估算表!I231</f>
        <v>42.96</v>
      </c>
      <c r="I17" s="405">
        <f>=辅助表2生产投入物估算表!J231</f>
        <v>42.96</v>
      </c>
      <c r="J17" s="405">
        <f>=辅助表2生产投入物估算表!K231</f>
        <v>42.96</v>
      </c>
      <c r="K17" s="405">
        <f>=辅助表2生产投入物估算表!L231</f>
        <v>42.96</v>
      </c>
      <c r="L17" s="405">
        <f>=辅助表2生产投入物估算表!M231</f>
        <v>42.96</v>
      </c>
      <c r="M17" s="405">
        <f>=辅助表2生产投入物估算表!N231</f>
        <v>42.96</v>
      </c>
      <c r="N17" s="405">
        <f>=辅助表2生产投入物估算表!O231</f>
        <v>42.96</v>
      </c>
      <c r="O17" s="405">
        <f>=辅助表2生产投入物估算表!P231</f>
        <v>42.96</v>
      </c>
      <c r="P17" s="405">
        <f>=辅助表2生产投入物估算表!Q231</f>
        <v>42.96</v>
      </c>
      <c r="Q17" s="405">
        <f>=辅助表2生产投入物估算表!R231</f>
        <v>42.96</v>
      </c>
      <c r="R17" s="405">
        <f>=辅助表2生产投入物估算表!S231</f>
        <v>0</v>
      </c>
      <c r="S17" s="405">
        <f>=辅助表2生产投入物估算表!T231</f>
        <v>0</v>
      </c>
      <c r="T17" s="405">
        <f>=辅助表2生产投入物估算表!U231</f>
        <v>0</v>
      </c>
      <c r="U17" s="405">
        <f>=辅助表2生产投入物估算表!V231</f>
        <v>0</v>
      </c>
      <c r="V17" s="405">
        <f>=辅助表2生产投入物估算表!W231</f>
        <v>0</v>
      </c>
      <c r="W17" s="405">
        <f>=辅助表2生产投入物估算表!X231</f>
        <v>0</v>
      </c>
      <c r="X17" s="405">
        <f>=辅助表2生产投入物估算表!Y231</f>
        <v>0</v>
      </c>
      <c r="Y17" s="405">
        <f>=辅助表2生产投入物估算表!Z231</f>
        <v>0</v>
      </c>
      <c r="Z17" s="509" t="s">
        <v>922</v>
      </c>
    </row>
    <row r="18" spans="1:26" s="700" customFormat="true" ht="12" customHeight="true">
      <c r="A18" s="507">
        <v>1.6</v>
      </c>
      <c r="B18" s="508" t="s">
        <v>927</v>
      </c>
      <c r="C18" s="405">
        <f>=SUM(D18:Y18)</f>
        <v>0</v>
      </c>
      <c r="D18" s="405">
        <f>=辅助表2生产投入物估算表!E254</f>
        <v>0</v>
      </c>
      <c r="E18" s="405">
        <f>=辅助表2生产投入物估算表!F254</f>
        <v>0</v>
      </c>
      <c r="F18" s="405">
        <f>=辅助表2生产投入物估算表!G254</f>
        <v>0</v>
      </c>
      <c r="G18" s="405">
        <f>=辅助表2生产投入物估算表!H254</f>
        <v>0</v>
      </c>
      <c r="H18" s="405">
        <f>=辅助表2生产投入物估算表!I254</f>
        <v>0</v>
      </c>
      <c r="I18" s="405">
        <f>=辅助表2生产投入物估算表!J254</f>
        <v>0</v>
      </c>
      <c r="J18" s="405">
        <f>=辅助表2生产投入物估算表!K254</f>
        <v>0</v>
      </c>
      <c r="K18" s="405">
        <f>=辅助表2生产投入物估算表!L254</f>
        <v>0</v>
      </c>
      <c r="L18" s="405">
        <f>=辅助表2生产投入物估算表!M254</f>
        <v>0</v>
      </c>
      <c r="M18" s="405">
        <f>=辅助表2生产投入物估算表!N254</f>
        <v>0</v>
      </c>
      <c r="N18" s="405">
        <f>=辅助表2生产投入物估算表!O254</f>
        <v>0</v>
      </c>
      <c r="O18" s="405">
        <f>=辅助表2生产投入物估算表!P254</f>
        <v>0</v>
      </c>
      <c r="P18" s="405">
        <f>=辅助表2生产投入物估算表!Q254</f>
        <v>0</v>
      </c>
      <c r="Q18" s="405">
        <f>=辅助表2生产投入物估算表!R254</f>
        <v>0</v>
      </c>
      <c r="R18" s="405">
        <f>=辅助表2生产投入物估算表!S254</f>
        <v>0</v>
      </c>
      <c r="S18" s="405">
        <f>=辅助表2生产投入物估算表!T254</f>
        <v>0</v>
      </c>
      <c r="T18" s="405">
        <f>=辅助表2生产投入物估算表!U254</f>
        <v>0</v>
      </c>
      <c r="U18" s="405">
        <f>=辅助表2生产投入物估算表!V254</f>
        <v>0</v>
      </c>
      <c r="V18" s="405">
        <f>=辅助表2生产投入物估算表!W254</f>
        <v>0</v>
      </c>
      <c r="W18" s="405">
        <f>=辅助表2生产投入物估算表!X254</f>
        <v>0</v>
      </c>
      <c r="X18" s="405">
        <f>=辅助表2生产投入物估算表!Y254</f>
        <v>0</v>
      </c>
      <c r="Y18" s="405">
        <f>=辅助表2生产投入物估算表!Z254</f>
        <v>0</v>
      </c>
      <c r="Z18" s="509" t="s">
        <v>922</v>
      </c>
    </row>
    <row r="19" spans="1:26" s="700" customFormat="true" ht="12" customHeight="true">
      <c r="A19" s="507">
        <v>1.7</v>
      </c>
      <c r="B19" s="508" t="s">
        <v>928</v>
      </c>
      <c r="C19" s="405">
        <f>=SUM(D19:Y19)</f>
        <v>0</v>
      </c>
      <c r="D19" s="405">
        <f>=辅助表2生产投入物估算表!E277</f>
        <v>0</v>
      </c>
      <c r="E19" s="405">
        <f>=辅助表2生产投入物估算表!F277</f>
        <v>0</v>
      </c>
      <c r="F19" s="405">
        <f>=辅助表2生产投入物估算表!G277</f>
        <v>0</v>
      </c>
      <c r="G19" s="405">
        <f>=辅助表2生产投入物估算表!H277</f>
        <v>0</v>
      </c>
      <c r="H19" s="405">
        <f>=辅助表2生产投入物估算表!I277</f>
        <v>0</v>
      </c>
      <c r="I19" s="405">
        <f>=辅助表2生产投入物估算表!J277</f>
        <v>0</v>
      </c>
      <c r="J19" s="405">
        <f>=辅助表2生产投入物估算表!K277</f>
        <v>0</v>
      </c>
      <c r="K19" s="405">
        <f>=辅助表2生产投入物估算表!L277</f>
        <v>0</v>
      </c>
      <c r="L19" s="405">
        <f>=辅助表2生产投入物估算表!M277</f>
        <v>0</v>
      </c>
      <c r="M19" s="405">
        <f>=辅助表2生产投入物估算表!N277</f>
        <v>0</v>
      </c>
      <c r="N19" s="405">
        <f>=辅助表2生产投入物估算表!O277</f>
        <v>0</v>
      </c>
      <c r="O19" s="405">
        <f>=辅助表2生产投入物估算表!P277</f>
        <v>0</v>
      </c>
      <c r="P19" s="405">
        <f>=辅助表2生产投入物估算表!Q277</f>
        <v>0</v>
      </c>
      <c r="Q19" s="405">
        <f>=辅助表2生产投入物估算表!R277</f>
        <v>0</v>
      </c>
      <c r="R19" s="405">
        <f>=辅助表2生产投入物估算表!S277</f>
        <v>0</v>
      </c>
      <c r="S19" s="405">
        <f>=辅助表2生产投入物估算表!T277</f>
        <v>0</v>
      </c>
      <c r="T19" s="405">
        <f>=辅助表2生产投入物估算表!U277</f>
        <v>0</v>
      </c>
      <c r="U19" s="405">
        <f>=辅助表2生产投入物估算表!V277</f>
        <v>0</v>
      </c>
      <c r="V19" s="405">
        <f>=辅助表2生产投入物估算表!W277</f>
        <v>0</v>
      </c>
      <c r="W19" s="405">
        <f>=辅助表2生产投入物估算表!X277</f>
        <v>0</v>
      </c>
      <c r="X19" s="405">
        <f>=辅助表2生产投入物估算表!Y277</f>
        <v>0</v>
      </c>
      <c r="Y19" s="405">
        <f>=辅助表2生产投入物估算表!Z277</f>
        <v>0</v>
      </c>
      <c r="Z19" s="509" t="s">
        <v>922</v>
      </c>
    </row>
    <row r="20" spans="1:25" s="700" customFormat="true" ht="12" customHeight="true">
      <c r="A20" s="507">
        <v>2</v>
      </c>
      <c r="B20" s="510" t="s">
        <v>929</v>
      </c>
      <c r="C20" s="405">
        <f>=SUM(D20:Y20)</f>
        <v>745.665</v>
      </c>
      <c r="D20" s="405">
        <f>=SUM(D21:D22)</f>
        <v>0</v>
      </c>
      <c r="E20" s="405">
        <f>=SUM(E21:E22)</f>
        <v>0</v>
      </c>
      <c r="F20" s="405">
        <f>=SUM(F21:F22)</f>
        <v>30</v>
      </c>
      <c r="G20" s="405">
        <f>=SUM(G21:G22)</f>
        <v>60</v>
      </c>
      <c r="H20" s="405">
        <f>=SUM(H21:H22)</f>
        <v>60</v>
      </c>
      <c r="I20" s="405">
        <f>=SUM(I21:I22)</f>
        <v>63</v>
      </c>
      <c r="J20" s="405">
        <f>=SUM(J21:J22)</f>
        <v>63</v>
      </c>
      <c r="K20" s="405">
        <f>=SUM(K21:K22)</f>
        <v>66.15</v>
      </c>
      <c r="L20" s="405">
        <f>=SUM(L21:L22)</f>
        <v>66.15</v>
      </c>
      <c r="M20" s="405">
        <f>=SUM(M21:M22)</f>
        <v>66.15</v>
      </c>
      <c r="N20" s="405">
        <f>=SUM(N21:N22)</f>
        <v>66.15</v>
      </c>
      <c r="O20" s="405">
        <f>=SUM(O21:O22)</f>
        <v>66.15</v>
      </c>
      <c r="P20" s="405">
        <f>=SUM(P21:P22)</f>
        <v>69.4575</v>
      </c>
      <c r="Q20" s="405">
        <f>=SUM(Q21:Q22)</f>
        <v>69.4575</v>
      </c>
      <c r="R20" s="405">
        <f>=SUM(R21:R22)</f>
        <v>0</v>
      </c>
      <c r="S20" s="405">
        <f>=SUM(S21:S22)</f>
        <v>0</v>
      </c>
      <c r="T20" s="405">
        <f>=SUM(T21:T22)</f>
        <v>0</v>
      </c>
      <c r="U20" s="405">
        <f>=SUM(U21:U22)</f>
        <v>0</v>
      </c>
      <c r="V20" s="405">
        <f>=SUM(V21:V22)</f>
        <v>0</v>
      </c>
      <c r="W20" s="405">
        <f>=SUM(W21:W22)</f>
        <v>0</v>
      </c>
      <c r="X20" s="405">
        <f>=SUM(X21:X22)</f>
        <v>0</v>
      </c>
      <c r="Y20" s="405">
        <f>=SUM(Y21:Y22)</f>
        <v>0</v>
      </c>
    </row>
    <row r="21" spans="1:26" s="700" customFormat="true" ht="12" customHeight="true">
      <c r="A21" s="507">
        <v>2.1</v>
      </c>
      <c r="B21" s="510" t="s">
        <v>930</v>
      </c>
      <c r="C21" s="405">
        <f>=SUM(D21:Y21)</f>
        <v>745.665</v>
      </c>
      <c r="D21" s="511" t="s"/>
      <c r="E21" s="511" t="s"/>
      <c r="F21" s="511">
        <v>30</v>
      </c>
      <c r="G21" s="511">
        <v>60</v>
      </c>
      <c r="H21" s="511">
        <v>60</v>
      </c>
      <c r="I21" s="511">
        <v>63</v>
      </c>
      <c r="J21" s="511">
        <v>63</v>
      </c>
      <c r="K21" s="511">
        <v>66.15</v>
      </c>
      <c r="L21" s="511">
        <v>66.15</v>
      </c>
      <c r="M21" s="511">
        <v>66.15</v>
      </c>
      <c r="N21" s="511">
        <v>66.15</v>
      </c>
      <c r="O21" s="511">
        <v>66.15</v>
      </c>
      <c r="P21" s="511">
        <v>69.4575</v>
      </c>
      <c r="Q21" s="511">
        <v>69.4575</v>
      </c>
      <c r="R21" s="511" t="s"/>
      <c r="S21" s="511" t="s"/>
      <c r="T21" s="511">
        <f>=S21*(1+T8)</f>
        <v>0</v>
      </c>
      <c r="U21" s="511" t="s"/>
      <c r="V21" s="511" t="s"/>
      <c r="W21" s="511" t="s"/>
      <c r="X21" s="511" t="s"/>
      <c r="Y21" s="511" t="s"/>
      <c r="Z21" s="509" t="s">
        <v>931</v>
      </c>
    </row>
    <row r="22" spans="1:26" s="700" customFormat="true" ht="12" customHeight="true">
      <c r="A22" s="507">
        <v>2.2</v>
      </c>
      <c r="B22" s="510" t="s">
        <v>932</v>
      </c>
      <c r="C22" s="405">
        <f>=SUM(D22:Y22)</f>
        <v>0</v>
      </c>
      <c r="D22" s="405">
        <f>=D21*辅助表1评估项目基础数据表!$C$13</f>
        <v>0</v>
      </c>
      <c r="E22" s="405">
        <f>=E21*辅助表1评估项目基础数据表!$C$13</f>
        <v>0</v>
      </c>
      <c r="F22" s="405">
        <f>=F21*辅助表1评估项目基础数据表!$C$13</f>
        <v>0</v>
      </c>
      <c r="G22" s="405">
        <f>=G21*辅助表1评估项目基础数据表!$C$13</f>
        <v>0</v>
      </c>
      <c r="H22" s="405">
        <f>=H21*辅助表1评估项目基础数据表!$C$13</f>
        <v>0</v>
      </c>
      <c r="I22" s="405">
        <f>=I21*辅助表1评估项目基础数据表!$C$13</f>
        <v>0</v>
      </c>
      <c r="J22" s="405">
        <f>=J21*辅助表1评估项目基础数据表!$C$13</f>
        <v>0</v>
      </c>
      <c r="K22" s="405">
        <f>=K21*辅助表1评估项目基础数据表!$C$13</f>
        <v>0</v>
      </c>
      <c r="L22" s="405">
        <f>=L21*辅助表1评估项目基础数据表!$C$13</f>
        <v>0</v>
      </c>
      <c r="M22" s="405">
        <f>=M21*辅助表1评估项目基础数据表!$C$13</f>
        <v>0</v>
      </c>
      <c r="N22" s="405">
        <f>=N21*辅助表1评估项目基础数据表!$C$13</f>
        <v>0</v>
      </c>
      <c r="O22" s="405">
        <f>=O21*辅助表1评估项目基础数据表!$C$13</f>
        <v>0</v>
      </c>
      <c r="P22" s="405">
        <f>=P21*辅助表1评估项目基础数据表!$C$13</f>
        <v>0</v>
      </c>
      <c r="Q22" s="405">
        <f>=Q21*辅助表1评估项目基础数据表!$C$13</f>
        <v>0</v>
      </c>
      <c r="R22" s="405">
        <f>=R21*辅助表1评估项目基础数据表!$C$13</f>
        <v>0</v>
      </c>
      <c r="S22" s="405">
        <f>=S21*辅助表1评估项目基础数据表!$C$13</f>
        <v>0</v>
      </c>
      <c r="T22" s="405">
        <f>=T21*辅助表1评估项目基础数据表!$C$13</f>
        <v>0</v>
      </c>
      <c r="U22" s="405">
        <f>=U21*辅助表1评估项目基础数据表!$C$13</f>
        <v>0</v>
      </c>
      <c r="V22" s="405">
        <f>=V21*辅助表1评估项目基础数据表!$C$13</f>
        <v>0</v>
      </c>
      <c r="W22" s="405">
        <f>=W21*辅助表1评估项目基础数据表!$C$13</f>
        <v>0</v>
      </c>
      <c r="X22" s="405">
        <f>=X21*辅助表1评估项目基础数据表!$C$13</f>
        <v>0</v>
      </c>
      <c r="Y22" s="405">
        <f>=Y21*辅助表1评估项目基础数据表!$C$13</f>
        <v>0</v>
      </c>
      <c r="Z22" s="509" t="s">
        <v>933</v>
      </c>
    </row>
    <row r="23" spans="1:26" s="699" customFormat="true" ht="12" customHeight="true">
      <c r="A23" s="373">
        <v>3</v>
      </c>
      <c r="B23" s="512" t="s"/>
      <c r="C23" s="376">
        <f>=SUM(D23:Y23)</f>
        <v>0</v>
      </c>
      <c r="D23" s="400" t="s"/>
      <c r="E23" s="400" t="s"/>
      <c r="F23" s="400" t="s"/>
      <c r="G23" s="400" t="s"/>
      <c r="H23" s="400" t="s"/>
      <c r="I23" s="400" t="s"/>
      <c r="J23" s="400" t="s"/>
      <c r="K23" s="400" t="s"/>
      <c r="L23" s="400" t="s"/>
      <c r="M23" s="400" t="s"/>
      <c r="N23" s="400" t="s"/>
      <c r="O23" s="400" t="s"/>
      <c r="P23" s="400" t="s"/>
      <c r="Q23" s="400" t="s"/>
      <c r="R23" s="400" t="s"/>
      <c r="S23" s="400" t="s"/>
      <c r="T23" s="400" t="s"/>
      <c r="U23" s="400" t="s"/>
      <c r="V23" s="400" t="s"/>
      <c r="W23" s="400" t="s"/>
      <c r="X23" s="400" t="s"/>
      <c r="Y23" s="400" t="s"/>
      <c r="Z23" s="399" t="s">
        <v>934</v>
      </c>
    </row>
    <row r="24" spans="1:26" s="699" customFormat="true" ht="12" customHeight="true">
      <c r="A24" s="373">
        <v>4</v>
      </c>
      <c r="B24" s="512" t="s">
        <v>935</v>
      </c>
      <c r="C24" s="376">
        <f>=SUM(D24:Y24)</f>
        <v>7459.94410463352</v>
      </c>
      <c r="D24" s="376">
        <f>=D25+SUM(D30:D40)</f>
        <v>0</v>
      </c>
      <c r="E24" s="376">
        <f>=E25+SUM(E30:E40)</f>
        <v>0</v>
      </c>
      <c r="F24" s="376">
        <f>=F25+SUM(F30:F40)</f>
        <v>197.443904756135</v>
      </c>
      <c r="G24" s="376">
        <f>=G25+SUM(G30:G40)</f>
        <v>394.887809512271</v>
      </c>
      <c r="H24" s="376">
        <f>=H25+SUM(H30:H40)</f>
        <v>394.887809512271</v>
      </c>
      <c r="I24" s="376">
        <f>=I25+SUM(I30:I40)</f>
        <v>394.887809512271</v>
      </c>
      <c r="J24" s="376">
        <f>=J25+SUM(J30:J40)</f>
        <v>394.887809512271</v>
      </c>
      <c r="K24" s="376">
        <f>=K25+SUM(K30:K40)</f>
        <v>394.887809512271</v>
      </c>
      <c r="L24" s="376">
        <f>=L25+SUM(L30:L40)</f>
        <v>394.887809512271</v>
      </c>
      <c r="M24" s="376">
        <f>=M25+SUM(M30:M40)</f>
        <v>394.887809512271</v>
      </c>
      <c r="N24" s="376">
        <f>=N25+SUM(N30:N40)</f>
        <v>394.887809512271</v>
      </c>
      <c r="O24" s="376">
        <f>=O25+SUM(O30:O40)</f>
        <v>394.887809512271</v>
      </c>
      <c r="P24" s="376">
        <f>=P25+SUM(P30:P40)</f>
        <v>394.887809512271</v>
      </c>
      <c r="Q24" s="376">
        <f>=Q25+SUM(Q30:Q40)</f>
        <v>394.887809512271</v>
      </c>
      <c r="R24" s="376">
        <f>=R25+SUM(R30:R40)</f>
        <v>364.841786905301</v>
      </c>
      <c r="S24" s="376">
        <f>=S25+SUM(S30:S40)</f>
        <v>364.841786905301</v>
      </c>
      <c r="T24" s="376">
        <f>=T25+SUM(T30:T40)</f>
        <v>364.841786905301</v>
      </c>
      <c r="U24" s="376">
        <f>=U25+SUM(U30:U40)</f>
        <v>364.841786905301</v>
      </c>
      <c r="V24" s="376">
        <f>=V25+SUM(V30:V40)</f>
        <v>364.841786905301</v>
      </c>
      <c r="W24" s="376">
        <f>=W25+SUM(W30:W40)</f>
        <v>364.841786905301</v>
      </c>
      <c r="X24" s="376">
        <f>=X25+SUM(X30:X40)</f>
        <v>364.841786905301</v>
      </c>
      <c r="Y24" s="376">
        <f>=Y25+SUM(Y30:Y40)</f>
        <v>364.841786905301</v>
      </c>
      <c r="Z24" s="399" t="s">
        <v>936</v>
      </c>
    </row>
    <row r="25" spans="1:25" s="699" customFormat="true" ht="12" customHeight="true">
      <c r="A25" s="373">
        <v>4.1</v>
      </c>
      <c r="B25" s="512" t="s">
        <v>937</v>
      </c>
      <c r="C25" s="376">
        <f>=SUM(D25:Y25)</f>
        <v>7114.41484465337</v>
      </c>
      <c r="D25" s="376">
        <f>=SUM(D26:D29)</f>
        <v>0</v>
      </c>
      <c r="E25" s="376">
        <f>=SUM(E26:E29)</f>
        <v>0</v>
      </c>
      <c r="F25" s="376">
        <f>=SUM(F26:F29)</f>
        <v>182.42089345265</v>
      </c>
      <c r="G25" s="376">
        <f>=SUM(G26:G29)</f>
        <v>364.841786905301</v>
      </c>
      <c r="H25" s="376">
        <f>=SUM(H26:H29)</f>
        <v>364.841786905301</v>
      </c>
      <c r="I25" s="376">
        <f>=SUM(I26:I29)</f>
        <v>364.841786905301</v>
      </c>
      <c r="J25" s="376">
        <f>=SUM(J26:J29)</f>
        <v>364.841786905301</v>
      </c>
      <c r="K25" s="376">
        <f>=SUM(K26:K29)</f>
        <v>364.841786905301</v>
      </c>
      <c r="L25" s="376">
        <f>=SUM(L26:L29)</f>
        <v>364.841786905301</v>
      </c>
      <c r="M25" s="376">
        <f>=SUM(M26:M29)</f>
        <v>364.841786905301</v>
      </c>
      <c r="N25" s="376">
        <f>=SUM(N26:N29)</f>
        <v>364.841786905301</v>
      </c>
      <c r="O25" s="376">
        <f>=SUM(O26:O29)</f>
        <v>364.841786905301</v>
      </c>
      <c r="P25" s="376">
        <f>=SUM(P26:P29)</f>
        <v>364.841786905301</v>
      </c>
      <c r="Q25" s="376">
        <f>=SUM(Q26:Q29)</f>
        <v>364.841786905301</v>
      </c>
      <c r="R25" s="376">
        <f>=SUM(R26:R29)</f>
        <v>364.841786905301</v>
      </c>
      <c r="S25" s="376">
        <f>=SUM(S26:S29)</f>
        <v>364.841786905301</v>
      </c>
      <c r="T25" s="376">
        <f>=SUM(T26:T29)</f>
        <v>364.841786905301</v>
      </c>
      <c r="U25" s="376">
        <f>=SUM(U26:U29)</f>
        <v>364.841786905301</v>
      </c>
      <c r="V25" s="376">
        <f>=SUM(V26:V29)</f>
        <v>364.841786905301</v>
      </c>
      <c r="W25" s="376">
        <f>=SUM(W26:W29)</f>
        <v>364.841786905301</v>
      </c>
      <c r="X25" s="376">
        <f>=SUM(X26:X29)</f>
        <v>364.841786905301</v>
      </c>
      <c r="Y25" s="376">
        <f>=SUM(Y26:Y29)</f>
        <v>364.841786905301</v>
      </c>
    </row>
    <row r="26" spans="1:26" s="699" customFormat="true" ht="12" customHeight="true">
      <c r="A26" s="373" t="s">
        <v>938</v>
      </c>
      <c r="B26" s="512" t="s">
        <v>939</v>
      </c>
      <c r="C26" s="376">
        <f>=SUM(D26:Y26)</f>
        <v>7114.41484465337</v>
      </c>
      <c r="D26" s="376">
        <f>=辅助表3资产折旧及摊销估算表!K6</f>
        <v>0</v>
      </c>
      <c r="E26" s="376">
        <f>=辅助表3资产折旧及摊销估算表!L6</f>
        <v>0</v>
      </c>
      <c r="F26" s="376">
        <f>=辅助表3资产折旧及摊销估算表!M6</f>
        <v>182.42089345265</v>
      </c>
      <c r="G26" s="376">
        <f>=辅助表3资产折旧及摊销估算表!N6</f>
        <v>364.841786905301</v>
      </c>
      <c r="H26" s="376">
        <f>=辅助表3资产折旧及摊销估算表!O6</f>
        <v>364.841786905301</v>
      </c>
      <c r="I26" s="376">
        <f>=辅助表3资产折旧及摊销估算表!P6</f>
        <v>364.841786905301</v>
      </c>
      <c r="J26" s="376">
        <f>=辅助表3资产折旧及摊销估算表!Q6</f>
        <v>364.841786905301</v>
      </c>
      <c r="K26" s="376">
        <f>=辅助表3资产折旧及摊销估算表!R6</f>
        <v>364.841786905301</v>
      </c>
      <c r="L26" s="376">
        <f>=辅助表3资产折旧及摊销估算表!S6</f>
        <v>364.841786905301</v>
      </c>
      <c r="M26" s="376">
        <f>=辅助表3资产折旧及摊销估算表!T6</f>
        <v>364.841786905301</v>
      </c>
      <c r="N26" s="376">
        <f>=辅助表3资产折旧及摊销估算表!U6</f>
        <v>364.841786905301</v>
      </c>
      <c r="O26" s="376">
        <f>=辅助表3资产折旧及摊销估算表!V6</f>
        <v>364.841786905301</v>
      </c>
      <c r="P26" s="376">
        <f>=辅助表3资产折旧及摊销估算表!W6</f>
        <v>364.841786905301</v>
      </c>
      <c r="Q26" s="376">
        <f>=辅助表3资产折旧及摊销估算表!X6</f>
        <v>364.841786905301</v>
      </c>
      <c r="R26" s="376">
        <f>=辅助表3资产折旧及摊销估算表!Y6</f>
        <v>364.841786905301</v>
      </c>
      <c r="S26" s="376">
        <f>=辅助表3资产折旧及摊销估算表!Z6</f>
        <v>364.841786905301</v>
      </c>
      <c r="T26" s="376">
        <f>=辅助表3资产折旧及摊销估算表!AA6</f>
        <v>364.841786905301</v>
      </c>
      <c r="U26" s="376">
        <f>=辅助表3资产折旧及摊销估算表!AB6</f>
        <v>364.841786905301</v>
      </c>
      <c r="V26" s="376">
        <f>=辅助表3资产折旧及摊销估算表!AC6</f>
        <v>364.841786905301</v>
      </c>
      <c r="W26" s="376">
        <f>=辅助表3资产折旧及摊销估算表!AD6</f>
        <v>364.841786905301</v>
      </c>
      <c r="X26" s="376">
        <f>=辅助表3资产折旧及摊销估算表!AE6</f>
        <v>364.841786905301</v>
      </c>
      <c r="Y26" s="376">
        <f>=辅助表3资产折旧及摊销估算表!AF6</f>
        <v>364.841786905301</v>
      </c>
      <c r="Z26" s="399" t="s">
        <v>940</v>
      </c>
    </row>
    <row r="27" spans="1:25" s="699" customFormat="true" ht="12" customHeight="true">
      <c r="A27" s="373" t="s">
        <v>941</v>
      </c>
      <c r="B27" s="512" t="s">
        <v>706</v>
      </c>
      <c r="C27" s="376">
        <f>=SUM(D27:Y27)</f>
        <v>0</v>
      </c>
      <c r="D27" s="376">
        <f>=辅助表3资产折旧及摊销估算表!K8</f>
        <v>0</v>
      </c>
      <c r="E27" s="376">
        <f>=辅助表3资产折旧及摊销估算表!L8</f>
        <v>0</v>
      </c>
      <c r="F27" s="376">
        <f>=辅助表3资产折旧及摊销估算表!M8</f>
        <v>0</v>
      </c>
      <c r="G27" s="376">
        <f>=辅助表3资产折旧及摊销估算表!N8</f>
        <v>0</v>
      </c>
      <c r="H27" s="376">
        <f>=辅助表3资产折旧及摊销估算表!O8</f>
        <v>0</v>
      </c>
      <c r="I27" s="376">
        <f>=辅助表3资产折旧及摊销估算表!P8</f>
        <v>0</v>
      </c>
      <c r="J27" s="376">
        <f>=辅助表3资产折旧及摊销估算表!Q8</f>
        <v>0</v>
      </c>
      <c r="K27" s="376">
        <f>=辅助表3资产折旧及摊销估算表!R8</f>
        <v>0</v>
      </c>
      <c r="L27" s="376">
        <f>=辅助表3资产折旧及摊销估算表!S8</f>
        <v>0</v>
      </c>
      <c r="M27" s="376">
        <f>=辅助表3资产折旧及摊销估算表!T8</f>
        <v>0</v>
      </c>
      <c r="N27" s="376">
        <f>=辅助表3资产折旧及摊销估算表!U8</f>
        <v>0</v>
      </c>
      <c r="O27" s="376">
        <f>=辅助表3资产折旧及摊销估算表!V8</f>
        <v>0</v>
      </c>
      <c r="P27" s="376">
        <f>=辅助表3资产折旧及摊销估算表!W8</f>
        <v>0</v>
      </c>
      <c r="Q27" s="376">
        <f>=辅助表3资产折旧及摊销估算表!X8</f>
        <v>0</v>
      </c>
      <c r="R27" s="376">
        <f>=辅助表3资产折旧及摊销估算表!Y8</f>
        <v>0</v>
      </c>
      <c r="S27" s="376">
        <f>=辅助表3资产折旧及摊销估算表!Z8</f>
        <v>0</v>
      </c>
      <c r="T27" s="376">
        <f>=辅助表3资产折旧及摊销估算表!AA8</f>
        <v>0</v>
      </c>
      <c r="U27" s="376">
        <f>=辅助表3资产折旧及摊销估算表!AB8</f>
        <v>0</v>
      </c>
      <c r="V27" s="376">
        <f>=辅助表3资产折旧及摊销估算表!AC8</f>
        <v>0</v>
      </c>
      <c r="W27" s="376">
        <f>=辅助表3资产折旧及摊销估算表!AD8</f>
        <v>0</v>
      </c>
      <c r="X27" s="376">
        <f>=辅助表3资产折旧及摊销估算表!AE8</f>
        <v>0</v>
      </c>
      <c r="Y27" s="376">
        <f>=辅助表3资产折旧及摊销估算表!AF8</f>
        <v>0</v>
      </c>
    </row>
    <row r="28" spans="1:25" s="699" customFormat="true" ht="12" customHeight="true">
      <c r="A28" s="373" t="s">
        <v>942</v>
      </c>
      <c r="B28" s="512" t="s">
        <v>943</v>
      </c>
      <c r="C28" s="376">
        <f>=SUM(D28:Y28)</f>
        <v>0</v>
      </c>
      <c r="D28" s="400" t="s"/>
      <c r="E28" s="400" t="s"/>
      <c r="F28" s="400" t="s"/>
      <c r="G28" s="400" t="s"/>
      <c r="H28" s="400" t="s"/>
      <c r="I28" s="400" t="s"/>
      <c r="J28" s="400" t="s"/>
      <c r="K28" s="400" t="s"/>
      <c r="L28" s="400" t="s"/>
      <c r="M28" s="400" t="s"/>
      <c r="N28" s="400" t="s"/>
      <c r="O28" s="400" t="s"/>
      <c r="P28" s="400" t="s"/>
      <c r="Q28" s="400" t="s"/>
      <c r="R28" s="400" t="s"/>
      <c r="S28" s="400" t="s"/>
      <c r="T28" s="400" t="s"/>
      <c r="U28" s="400" t="s"/>
      <c r="V28" s="400" t="s"/>
      <c r="W28" s="400" t="s"/>
      <c r="X28" s="400" t="s"/>
      <c r="Y28" s="400" t="s"/>
    </row>
    <row r="29" spans="1:25" s="699" customFormat="true" ht="12" customHeight="true">
      <c r="A29" s="373" t="s">
        <v>944</v>
      </c>
      <c r="B29" s="512" t="s">
        <v>945</v>
      </c>
      <c r="C29" s="376">
        <f>=SUM(D29:Y29)</f>
        <v>0</v>
      </c>
      <c r="D29" s="400" t="s"/>
      <c r="E29" s="400" t="s"/>
      <c r="F29" s="400" t="s"/>
      <c r="G29" s="400" t="s"/>
      <c r="H29" s="400" t="s"/>
      <c r="I29" s="400" t="s"/>
      <c r="J29" s="400" t="s"/>
      <c r="K29" s="400" t="s"/>
      <c r="L29" s="400" t="s"/>
      <c r="M29" s="400" t="s"/>
      <c r="N29" s="400" t="s"/>
      <c r="O29" s="400" t="s"/>
      <c r="P29" s="400" t="s"/>
      <c r="Q29" s="400" t="s"/>
      <c r="R29" s="400" t="s"/>
      <c r="S29" s="400" t="s"/>
      <c r="T29" s="400" t="s"/>
      <c r="U29" s="400" t="s"/>
      <c r="V29" s="400" t="s"/>
      <c r="W29" s="400" t="s"/>
      <c r="X29" s="400" t="s"/>
      <c r="Y29" s="400" t="s"/>
    </row>
    <row r="30" spans="1:26" s="700" customFormat="true" ht="12" customHeight="true">
      <c r="A30" s="507">
        <v>4.2</v>
      </c>
      <c r="B30" s="510" t="s">
        <v>946</v>
      </c>
      <c r="C30" s="405">
        <f>=SUM(D30:Y30)</f>
        <v>345.529259980154</v>
      </c>
      <c r="D30" s="511" t="s"/>
      <c r="E30" s="511" t="s"/>
      <c r="F30" s="511">
        <v>15.023011303485</v>
      </c>
      <c r="G30" s="511">
        <v>30.0460226069699</v>
      </c>
      <c r="H30" s="511">
        <v>30.0460226069699</v>
      </c>
      <c r="I30" s="511">
        <v>30.0460226069699</v>
      </c>
      <c r="J30" s="511">
        <v>30.0460226069699</v>
      </c>
      <c r="K30" s="511">
        <v>30.0460226069699</v>
      </c>
      <c r="L30" s="511">
        <v>30.0460226069699</v>
      </c>
      <c r="M30" s="511">
        <v>30.0460226069699</v>
      </c>
      <c r="N30" s="511">
        <v>30.0460226069699</v>
      </c>
      <c r="O30" s="511">
        <v>30.0460226069699</v>
      </c>
      <c r="P30" s="511">
        <v>30.0460226069699</v>
      </c>
      <c r="Q30" s="511">
        <v>30.0460226069699</v>
      </c>
      <c r="R30" s="511" t="s"/>
      <c r="S30" s="511" t="s"/>
      <c r="T30" s="511" t="s"/>
      <c r="U30" s="511" t="s"/>
      <c r="V30" s="511" t="s"/>
      <c r="W30" s="511" t="s"/>
      <c r="X30" s="511" t="s"/>
      <c r="Y30" s="511" t="s"/>
      <c r="Z30" s="509" t="s">
        <v>947</v>
      </c>
    </row>
    <row r="31" spans="1:25" s="699" customFormat="true" ht="12" customHeight="true">
      <c r="A31" s="373">
        <v>4.3</v>
      </c>
      <c r="B31" s="512" t="s">
        <v>948</v>
      </c>
      <c r="C31" s="376">
        <f>=SUM(D31:Y31)</f>
        <v>0</v>
      </c>
      <c r="D31" s="400" t="s"/>
      <c r="E31" s="400" t="s"/>
      <c r="F31" s="400" t="s"/>
      <c r="G31" s="400" t="s"/>
      <c r="H31" s="400" t="s"/>
      <c r="I31" s="400" t="s"/>
      <c r="J31" s="400" t="s"/>
      <c r="K31" s="400" t="s"/>
      <c r="L31" s="400" t="s"/>
      <c r="M31" s="400" t="s"/>
      <c r="N31" s="400" t="s"/>
      <c r="O31" s="400" t="s"/>
      <c r="P31" s="400" t="s"/>
      <c r="Q31" s="400" t="s"/>
      <c r="R31" s="400" t="s"/>
      <c r="S31" s="400" t="s"/>
      <c r="T31" s="400" t="s"/>
      <c r="U31" s="400" t="s"/>
      <c r="V31" s="400" t="s"/>
      <c r="W31" s="400" t="s"/>
      <c r="X31" s="400" t="s"/>
      <c r="Y31" s="400" t="s"/>
    </row>
    <row r="32" spans="1:26" s="699" customFormat="true" ht="12" customHeight="true">
      <c r="A32" s="373">
        <v>4.4</v>
      </c>
      <c r="B32" s="512" t="s">
        <v>949</v>
      </c>
      <c r="C32" s="376">
        <f>=SUM(D32:Y32)</f>
        <v>0</v>
      </c>
      <c r="D32" s="400" t="s"/>
      <c r="E32" s="400" t="s"/>
      <c r="F32" s="400">
        <f>=辅助表3资产折旧及摊销估算表!M15*辅助表1评估项目基础数据表!C12</f>
        <v>0</v>
      </c>
      <c r="G32" s="400">
        <f>=辅助表3资产折旧及摊销估算表!N15*辅助表1评估项目基础数据表!C12</f>
        <v>0</v>
      </c>
      <c r="H32" s="400">
        <f>=辅助表3资产折旧及摊销估算表!O15*辅助表1评估项目基础数据表!C12</f>
        <v>0</v>
      </c>
      <c r="I32" s="400">
        <f>=辅助表3资产折旧及摊销估算表!P15*辅助表1评估项目基础数据表!C12</f>
        <v>0</v>
      </c>
      <c r="J32" s="400">
        <f>=辅助表3资产折旧及摊销估算表!Q15*辅助表1评估项目基础数据表!C12</f>
        <v>0</v>
      </c>
      <c r="K32" s="400">
        <f>=辅助表3资产折旧及摊销估算表!R15*辅助表1评估项目基础数据表!C12</f>
        <v>0</v>
      </c>
      <c r="L32" s="400">
        <f>=辅助表3资产折旧及摊销估算表!S15*辅助表1评估项目基础数据表!C12</f>
        <v>0</v>
      </c>
      <c r="M32" s="400">
        <f>=辅助表3资产折旧及摊销估算表!T15*辅助表1评估项目基础数据表!C12</f>
        <v>0</v>
      </c>
      <c r="N32" s="400">
        <f>=辅助表3资产折旧及摊销估算表!U15*辅助表1评估项目基础数据表!C12</f>
        <v>0</v>
      </c>
      <c r="O32" s="400">
        <f>=辅助表3资产折旧及摊销估算表!V15*辅助表1评估项目基础数据表!C12</f>
        <v>0</v>
      </c>
      <c r="P32" s="400">
        <f>=辅助表3资产折旧及摊销估算表!W15*辅助表1评估项目基础数据表!C12</f>
        <v>0</v>
      </c>
      <c r="Q32" s="400">
        <f>=辅助表3资产折旧及摊销估算表!X15*辅助表1评估项目基础数据表!C12</f>
        <v>0</v>
      </c>
      <c r="R32" s="400">
        <f>=辅助表3资产折旧及摊销估算表!Y15*辅助表1评估项目基础数据表!C12</f>
        <v>0</v>
      </c>
      <c r="S32" s="400" t="s"/>
      <c r="T32" s="513" t="s"/>
      <c r="U32" s="513" t="s"/>
      <c r="V32" s="513" t="s"/>
      <c r="W32" s="513" t="s"/>
      <c r="X32" s="513" t="s"/>
      <c r="Y32" s="513" t="s"/>
      <c r="Z32" s="399" t="s">
        <v>950</v>
      </c>
    </row>
    <row r="33" spans="1:25" s="699" customFormat="true" ht="12" customHeight="true">
      <c r="A33" s="373">
        <v>4.5</v>
      </c>
      <c r="B33" s="512" t="s">
        <v>951</v>
      </c>
      <c r="C33" s="376">
        <f>=SUM(D33:Y33)</f>
        <v>0</v>
      </c>
      <c r="D33" s="400" t="s"/>
      <c r="E33" s="400" t="s"/>
      <c r="F33" s="400" t="s"/>
      <c r="G33" s="400" t="s"/>
      <c r="H33" s="400" t="s"/>
      <c r="I33" s="400" t="s"/>
      <c r="J33" s="400" t="s"/>
      <c r="K33" s="400" t="s"/>
      <c r="L33" s="400" t="s"/>
      <c r="M33" s="400" t="s"/>
      <c r="N33" s="400" t="s"/>
      <c r="O33" s="400" t="s"/>
      <c r="P33" s="400" t="s"/>
      <c r="Q33" s="400" t="s"/>
      <c r="R33" s="400" t="s"/>
      <c r="S33" s="400" t="s"/>
      <c r="T33" s="400" t="s"/>
      <c r="U33" s="400" t="s"/>
      <c r="V33" s="400" t="s"/>
      <c r="W33" s="400" t="s"/>
      <c r="X33" s="400" t="s"/>
      <c r="Y33" s="400" t="s"/>
    </row>
    <row r="34" spans="1:25" s="699" customFormat="true" ht="12" hidden="true" customHeight="true">
      <c r="A34" s="514" t="s"/>
      <c r="B34" s="514" t="s"/>
      <c r="C34" s="376">
        <f>=SUM(D34:Y34)</f>
        <v>0</v>
      </c>
      <c r="D34" s="400" t="s"/>
      <c r="E34" s="400" t="s"/>
      <c r="F34" s="400" t="s"/>
      <c r="G34" s="400" t="s"/>
      <c r="H34" s="400" t="s"/>
      <c r="I34" s="400" t="s"/>
      <c r="J34" s="400" t="s"/>
      <c r="K34" s="400" t="s"/>
      <c r="L34" s="400" t="s"/>
      <c r="M34" s="400" t="s"/>
      <c r="N34" s="400" t="s"/>
      <c r="O34" s="400" t="s"/>
      <c r="P34" s="400" t="s"/>
      <c r="Q34" s="400" t="s"/>
      <c r="R34" s="400" t="s"/>
      <c r="S34" s="400" t="s"/>
      <c r="T34" s="400" t="s"/>
      <c r="U34" s="400" t="s"/>
      <c r="V34" s="400" t="s"/>
      <c r="W34" s="400" t="s"/>
      <c r="X34" s="400" t="s"/>
      <c r="Y34" s="400" t="s"/>
    </row>
    <row r="35" spans="1:25" s="699" customFormat="true" ht="12" hidden="true" customHeight="true">
      <c r="A35" s="514" t="s"/>
      <c r="B35" s="514" t="s"/>
      <c r="C35" s="376">
        <f>=SUM(D35:Y35)</f>
        <v>0</v>
      </c>
      <c r="D35" s="400" t="s"/>
      <c r="E35" s="400" t="s"/>
      <c r="F35" s="400" t="s"/>
      <c r="G35" s="400" t="s"/>
      <c r="H35" s="400" t="s"/>
      <c r="I35" s="400" t="s"/>
      <c r="J35" s="400" t="s"/>
      <c r="K35" s="400" t="s"/>
      <c r="L35" s="400" t="s"/>
      <c r="M35" s="400" t="s"/>
      <c r="N35" s="400" t="s"/>
      <c r="O35" s="400" t="s"/>
      <c r="P35" s="400" t="s"/>
      <c r="Q35" s="400" t="s"/>
      <c r="R35" s="400" t="s"/>
      <c r="S35" s="400" t="s"/>
      <c r="T35" s="400" t="s"/>
      <c r="U35" s="400" t="s"/>
      <c r="V35" s="400" t="s"/>
      <c r="W35" s="400" t="s"/>
      <c r="X35" s="400" t="s"/>
      <c r="Y35" s="400" t="s"/>
    </row>
    <row r="36" spans="1:25" s="699" customFormat="true" ht="12" hidden="true" customHeight="true">
      <c r="A36" s="514" t="s"/>
      <c r="B36" s="514" t="s"/>
      <c r="C36" s="376">
        <f>=SUM(D36:Y36)</f>
        <v>0</v>
      </c>
      <c r="D36" s="400" t="s"/>
      <c r="E36" s="400" t="s"/>
      <c r="F36" s="400" t="s"/>
      <c r="G36" s="400" t="s"/>
      <c r="H36" s="400" t="s"/>
      <c r="I36" s="400" t="s"/>
      <c r="J36" s="400" t="s"/>
      <c r="K36" s="400" t="s"/>
      <c r="L36" s="400" t="s"/>
      <c r="M36" s="400" t="s"/>
      <c r="N36" s="400" t="s"/>
      <c r="O36" s="400" t="s"/>
      <c r="P36" s="400" t="s"/>
      <c r="Q36" s="400" t="s"/>
      <c r="R36" s="400" t="s"/>
      <c r="S36" s="400" t="s"/>
      <c r="T36" s="400" t="s"/>
      <c r="U36" s="400" t="s"/>
      <c r="V36" s="400" t="s"/>
      <c r="W36" s="400" t="s"/>
      <c r="X36" s="400" t="s"/>
      <c r="Y36" s="400" t="s"/>
    </row>
    <row r="37" spans="1:25" s="699" customFormat="true" ht="12" hidden="true" customHeight="true">
      <c r="A37" s="514" t="s"/>
      <c r="B37" s="514" t="s"/>
      <c r="C37" s="376">
        <f>=SUM(D37:Y37)</f>
        <v>0</v>
      </c>
      <c r="D37" s="400" t="s"/>
      <c r="E37" s="400" t="s"/>
      <c r="F37" s="400" t="s"/>
      <c r="G37" s="400" t="s"/>
      <c r="H37" s="400" t="s"/>
      <c r="I37" s="400" t="s"/>
      <c r="J37" s="400" t="s"/>
      <c r="K37" s="400" t="s"/>
      <c r="L37" s="400" t="s"/>
      <c r="M37" s="400" t="s"/>
      <c r="N37" s="400" t="s"/>
      <c r="O37" s="400" t="s"/>
      <c r="P37" s="400" t="s"/>
      <c r="Q37" s="400" t="s"/>
      <c r="R37" s="400" t="s"/>
      <c r="S37" s="400" t="s"/>
      <c r="T37" s="400" t="s"/>
      <c r="U37" s="400" t="s"/>
      <c r="V37" s="400" t="s"/>
      <c r="W37" s="400" t="s"/>
      <c r="X37" s="400" t="s"/>
      <c r="Y37" s="400" t="s"/>
    </row>
    <row r="38" spans="1:25" s="699" customFormat="true" ht="12" hidden="true" customHeight="true">
      <c r="A38" s="514" t="s"/>
      <c r="B38" s="514" t="s"/>
      <c r="C38" s="376">
        <f>=SUM(D38:Y38)</f>
        <v>0</v>
      </c>
      <c r="D38" s="400" t="s"/>
      <c r="E38" s="400" t="s"/>
      <c r="F38" s="400" t="s"/>
      <c r="G38" s="400" t="s"/>
      <c r="H38" s="400" t="s"/>
      <c r="I38" s="400" t="s"/>
      <c r="J38" s="400" t="s"/>
      <c r="K38" s="400" t="s"/>
      <c r="L38" s="400" t="s"/>
      <c r="M38" s="400" t="s"/>
      <c r="N38" s="400" t="s"/>
      <c r="O38" s="400" t="s"/>
      <c r="P38" s="400" t="s"/>
      <c r="Q38" s="400" t="s"/>
      <c r="R38" s="400" t="s"/>
      <c r="S38" s="400" t="s"/>
      <c r="T38" s="400" t="s"/>
      <c r="U38" s="400" t="s"/>
      <c r="V38" s="400" t="s"/>
      <c r="W38" s="400" t="s"/>
      <c r="X38" s="400" t="s"/>
      <c r="Y38" s="400" t="s"/>
    </row>
    <row r="39" spans="1:25" s="699" customFormat="true" ht="12" hidden="true" customHeight="true">
      <c r="A39" s="514" t="s"/>
      <c r="B39" s="514" t="s"/>
      <c r="C39" s="376">
        <f>=SUM(D39:Y39)</f>
        <v>0</v>
      </c>
      <c r="D39" s="400" t="s"/>
      <c r="E39" s="400" t="s"/>
      <c r="F39" s="400" t="s"/>
      <c r="G39" s="400" t="s"/>
      <c r="H39" s="400" t="s"/>
      <c r="I39" s="400" t="s"/>
      <c r="J39" s="400" t="s"/>
      <c r="K39" s="400" t="s"/>
      <c r="L39" s="400" t="s"/>
      <c r="M39" s="400" t="s"/>
      <c r="N39" s="400" t="s"/>
      <c r="O39" s="400" t="s"/>
      <c r="P39" s="400" t="s"/>
      <c r="Q39" s="400" t="s"/>
      <c r="R39" s="400" t="s"/>
      <c r="S39" s="400" t="s"/>
      <c r="T39" s="400" t="s"/>
      <c r="U39" s="400" t="s"/>
      <c r="V39" s="400" t="s"/>
      <c r="W39" s="400" t="s"/>
      <c r="X39" s="400" t="s"/>
      <c r="Y39" s="400" t="s"/>
    </row>
    <row r="40" spans="1:25" s="699" customFormat="true" ht="12" hidden="true" customHeight="true">
      <c r="A40" s="515" t="s"/>
      <c r="B40" s="515" t="s"/>
      <c r="C40" s="376">
        <f>=SUM(D40:Y40)</f>
        <v>0</v>
      </c>
      <c r="D40" s="400" t="s"/>
      <c r="E40" s="400" t="s"/>
      <c r="F40" s="400" t="s"/>
      <c r="G40" s="400" t="s"/>
      <c r="H40" s="400" t="s"/>
      <c r="I40" s="400" t="s"/>
      <c r="J40" s="400" t="s"/>
      <c r="K40" s="400" t="s"/>
      <c r="L40" s="400" t="s"/>
      <c r="M40" s="400" t="s"/>
      <c r="N40" s="400" t="s"/>
      <c r="O40" s="400" t="s"/>
      <c r="P40" s="400" t="s"/>
      <c r="Q40" s="400" t="s"/>
      <c r="R40" s="400" t="s"/>
      <c r="S40" s="400" t="s"/>
      <c r="T40" s="400" t="s"/>
      <c r="U40" s="400" t="s"/>
      <c r="V40" s="400" t="s"/>
      <c r="W40" s="400" t="s"/>
      <c r="X40" s="400" t="s"/>
      <c r="Y40" s="400" t="s"/>
    </row>
    <row r="41" spans="1:26" s="699" customFormat="true" ht="12" customHeight="true">
      <c r="A41" s="373" t="s">
        <v>460</v>
      </c>
      <c r="B41" s="506" t="s">
        <v>952</v>
      </c>
      <c r="C41" s="376">
        <f>=SUM(D41:Y41)</f>
        <v>287.069011234945</v>
      </c>
      <c r="D41" s="376">
        <f>=D42+D45+D48</f>
        <v>0</v>
      </c>
      <c r="E41" s="376">
        <f>=E42+E45+E48</f>
        <v>0</v>
      </c>
      <c r="F41" s="376">
        <f>=F42+F45+F48</f>
        <v>12.308900835312</v>
      </c>
      <c r="G41" s="376">
        <f>=G42+G45+G48</f>
        <v>24.6555847039415</v>
      </c>
      <c r="H41" s="376">
        <f>=H42+H45+H48</f>
        <v>24.6934974051257</v>
      </c>
      <c r="I41" s="376">
        <f>=I42+I45+I48</f>
        <v>24.7315392555052</v>
      </c>
      <c r="J41" s="376">
        <f>=J42+J45+J48</f>
        <v>24.7697097384832</v>
      </c>
      <c r="K41" s="376">
        <f>=K42+K45+K48</f>
        <v>24.7729083395293</v>
      </c>
      <c r="L41" s="376">
        <f>=L42+L45+L48</f>
        <v>25.2681745461712</v>
      </c>
      <c r="M41" s="376">
        <f>=M42+M45+M48</f>
        <v>25.2365278479865</v>
      </c>
      <c r="N41" s="376">
        <f>=N42+N45+N48</f>
        <v>25.2050077365945</v>
      </c>
      <c r="O41" s="376">
        <f>=O42+O45+O48</f>
        <v>25.1736137056482</v>
      </c>
      <c r="P41" s="376">
        <f>=P42+P45+P48</f>
        <v>25.1423452508256</v>
      </c>
      <c r="Q41" s="376">
        <f>=Q42+Q45+Q48</f>
        <v>25.1112018698223</v>
      </c>
      <c r="R41" s="376">
        <f>=R42+R45+R48</f>
        <v>0</v>
      </c>
      <c r="S41" s="376">
        <f>=S42+S45+S48</f>
        <v>0</v>
      </c>
      <c r="T41" s="376">
        <f>=T42+T45+T48</f>
        <v>0</v>
      </c>
      <c r="U41" s="376">
        <f>=U42+U45+U48</f>
        <v>0</v>
      </c>
      <c r="V41" s="376">
        <f>=V42+V45+V48</f>
        <v>0</v>
      </c>
      <c r="W41" s="376">
        <f>=W42+W45+W48</f>
        <v>0</v>
      </c>
      <c r="X41" s="376">
        <f>=X42+X45+X48</f>
        <v>0</v>
      </c>
      <c r="Y41" s="376">
        <f>=Y42+Y45+Y48</f>
        <v>0</v>
      </c>
      <c r="Z41" s="399" t="s">
        <v>953</v>
      </c>
    </row>
    <row r="42" spans="1:25" s="699" customFormat="true" ht="12" customHeight="true">
      <c r="A42" s="373">
        <v>1</v>
      </c>
      <c r="B42" s="512" t="s">
        <v>954</v>
      </c>
      <c r="C42" s="376">
        <f>=SUM(D42:Y42)</f>
        <v>0</v>
      </c>
      <c r="D42" s="376">
        <f>=SUM(D43:D44)</f>
        <v>0</v>
      </c>
      <c r="E42" s="376">
        <f>=SUM(E43:E44)</f>
        <v>0</v>
      </c>
      <c r="F42" s="376">
        <f>=SUM(F43:F44)</f>
        <v>0</v>
      </c>
      <c r="G42" s="376">
        <f>=SUM(G43:G44)</f>
        <v>0</v>
      </c>
      <c r="H42" s="376">
        <f>=SUM(H43:H44)</f>
        <v>0</v>
      </c>
      <c r="I42" s="376">
        <f>=SUM(I43:I44)</f>
        <v>0</v>
      </c>
      <c r="J42" s="376">
        <f>=SUM(J43:J44)</f>
        <v>0</v>
      </c>
      <c r="K42" s="376">
        <f>=SUM(K43:K44)</f>
        <v>0</v>
      </c>
      <c r="L42" s="376">
        <f>=SUM(L43:L44)</f>
        <v>0</v>
      </c>
      <c r="M42" s="376">
        <f>=SUM(M43:M44)</f>
        <v>0</v>
      </c>
      <c r="N42" s="376">
        <f>=SUM(N43:N44)</f>
        <v>0</v>
      </c>
      <c r="O42" s="376">
        <f>=SUM(O43:O44)</f>
        <v>0</v>
      </c>
      <c r="P42" s="376">
        <f>=SUM(P43:P44)</f>
        <v>0</v>
      </c>
      <c r="Q42" s="376">
        <f>=SUM(Q43:Q44)</f>
        <v>0</v>
      </c>
      <c r="R42" s="376">
        <f>=SUM(R43:R44)</f>
        <v>0</v>
      </c>
      <c r="S42" s="376">
        <f>=SUM(S43:S44)</f>
        <v>0</v>
      </c>
      <c r="T42" s="376">
        <f>=SUM(T43:T44)</f>
        <v>0</v>
      </c>
      <c r="U42" s="376">
        <f>=SUM(U43:U44)</f>
        <v>0</v>
      </c>
      <c r="V42" s="376">
        <f>=SUM(V43:V44)</f>
        <v>0</v>
      </c>
      <c r="W42" s="376">
        <f>=SUM(W43:W44)</f>
        <v>0</v>
      </c>
      <c r="X42" s="376">
        <f>=SUM(X43:X44)</f>
        <v>0</v>
      </c>
      <c r="Y42" s="376">
        <f>=SUM(Y43:Y44)</f>
        <v>0</v>
      </c>
    </row>
    <row r="43" spans="1:26" s="699" customFormat="true" ht="12" customHeight="true">
      <c r="A43" s="373">
        <v>1.1</v>
      </c>
      <c r="B43" s="512" t="s">
        <v>780</v>
      </c>
      <c r="C43" s="376">
        <f>=SUM(D43:Y43)</f>
        <v>0</v>
      </c>
      <c r="D43" s="376">
        <f>=辅助表3资产折旧及摊销估算表!K174</f>
        <v>0</v>
      </c>
      <c r="E43" s="376">
        <f>=辅助表3资产折旧及摊销估算表!L174</f>
        <v>0</v>
      </c>
      <c r="F43" s="376">
        <f>=辅助表3资产折旧及摊销估算表!M174</f>
        <v>0</v>
      </c>
      <c r="G43" s="376">
        <f>=辅助表3资产折旧及摊销估算表!N174</f>
        <v>0</v>
      </c>
      <c r="H43" s="376">
        <f>=辅助表3资产折旧及摊销估算表!O174</f>
        <v>0</v>
      </c>
      <c r="I43" s="376">
        <f>=辅助表3资产折旧及摊销估算表!P174</f>
        <v>0</v>
      </c>
      <c r="J43" s="376">
        <f>=辅助表3资产折旧及摊销估算表!Q174</f>
        <v>0</v>
      </c>
      <c r="K43" s="376">
        <f>=辅助表3资产折旧及摊销估算表!R174</f>
        <v>0</v>
      </c>
      <c r="L43" s="376">
        <f>=辅助表3资产折旧及摊销估算表!S174</f>
        <v>0</v>
      </c>
      <c r="M43" s="376">
        <f>=辅助表3资产折旧及摊销估算表!T174</f>
        <v>0</v>
      </c>
      <c r="N43" s="376">
        <f>=辅助表3资产折旧及摊销估算表!U174</f>
        <v>0</v>
      </c>
      <c r="O43" s="376">
        <f>=辅助表3资产折旧及摊销估算表!V174</f>
        <v>0</v>
      </c>
      <c r="P43" s="376">
        <f>=辅助表3资产折旧及摊销估算表!W174</f>
        <v>0</v>
      </c>
      <c r="Q43" s="376">
        <f>=辅助表3资产折旧及摊销估算表!X174</f>
        <v>0</v>
      </c>
      <c r="R43" s="376">
        <f>=辅助表3资产折旧及摊销估算表!Y174</f>
        <v>0</v>
      </c>
      <c r="S43" s="376">
        <f>=辅助表3资产折旧及摊销估算表!Z174</f>
        <v>0</v>
      </c>
      <c r="T43" s="376">
        <f>=辅助表3资产折旧及摊销估算表!AA174</f>
        <v>0</v>
      </c>
      <c r="U43" s="376">
        <f>=辅助表3资产折旧及摊销估算表!AB174</f>
        <v>0</v>
      </c>
      <c r="V43" s="376">
        <f>=辅助表3资产折旧及摊销估算表!AC174</f>
        <v>0</v>
      </c>
      <c r="W43" s="376">
        <f>=辅助表3资产折旧及摊销估算表!AD174</f>
        <v>0</v>
      </c>
      <c r="X43" s="376">
        <f>=辅助表3资产折旧及摊销估算表!AE174</f>
        <v>0</v>
      </c>
      <c r="Y43" s="376">
        <f>=辅助表3资产折旧及摊销估算表!AF174</f>
        <v>0</v>
      </c>
      <c r="Z43" s="399" t="s">
        <v>940</v>
      </c>
    </row>
    <row r="44" spans="1:25" s="699" customFormat="true" ht="12" customHeight="true">
      <c r="A44" s="373">
        <v>1.2</v>
      </c>
      <c r="B44" s="512" t="s">
        <v>955</v>
      </c>
      <c r="C44" s="376">
        <f>=SUM(D44:Y44)</f>
        <v>0</v>
      </c>
      <c r="D44" s="400" t="s"/>
      <c r="E44" s="400" t="s"/>
      <c r="F44" s="400" t="s"/>
      <c r="G44" s="400" t="s"/>
      <c r="H44" s="400" t="s"/>
      <c r="I44" s="400" t="s"/>
      <c r="J44" s="400" t="s"/>
      <c r="K44" s="400" t="s"/>
      <c r="L44" s="400" t="s"/>
      <c r="M44" s="400" t="s"/>
      <c r="N44" s="400" t="s"/>
      <c r="O44" s="400" t="s"/>
      <c r="P44" s="400" t="s"/>
      <c r="Q44" s="400" t="s"/>
      <c r="R44" s="400" t="s"/>
      <c r="S44" s="400" t="s"/>
      <c r="T44" s="400" t="s"/>
      <c r="U44" s="400" t="s"/>
      <c r="V44" s="400" t="s"/>
      <c r="W44" s="400" t="s"/>
      <c r="X44" s="400" t="s"/>
      <c r="Y44" s="400" t="s"/>
    </row>
    <row r="45" spans="1:25" s="699" customFormat="true" ht="12" customHeight="true">
      <c r="A45" s="373">
        <v>2</v>
      </c>
      <c r="B45" s="512" t="s">
        <v>956</v>
      </c>
      <c r="C45" s="376">
        <f>=SUM(D45:Y45)</f>
        <v>0</v>
      </c>
      <c r="D45" s="376">
        <f>=SUM(D46:D47)</f>
        <v>0</v>
      </c>
      <c r="E45" s="376">
        <f>=SUM(E46:E47)</f>
        <v>0</v>
      </c>
      <c r="F45" s="376">
        <f>=SUM(F46:F47)</f>
        <v>0</v>
      </c>
      <c r="G45" s="376">
        <f>=SUM(G46:G47)</f>
        <v>0</v>
      </c>
      <c r="H45" s="376">
        <f>=SUM(H46:H47)</f>
        <v>0</v>
      </c>
      <c r="I45" s="376">
        <f>=SUM(I46:I47)</f>
        <v>0</v>
      </c>
      <c r="J45" s="376">
        <f>=SUM(J46:J47)</f>
        <v>0</v>
      </c>
      <c r="K45" s="376">
        <f>=SUM(K46:K47)</f>
        <v>0</v>
      </c>
      <c r="L45" s="376">
        <f>=SUM(L46:L47)</f>
        <v>0</v>
      </c>
      <c r="M45" s="376">
        <f>=SUM(M46:M47)</f>
        <v>0</v>
      </c>
      <c r="N45" s="376">
        <f>=SUM(N46:N47)</f>
        <v>0</v>
      </c>
      <c r="O45" s="376">
        <f>=SUM(O46:O47)</f>
        <v>0</v>
      </c>
      <c r="P45" s="376">
        <f>=SUM(P46:P47)</f>
        <v>0</v>
      </c>
      <c r="Q45" s="376">
        <f>=SUM(Q46:Q47)</f>
        <v>0</v>
      </c>
      <c r="R45" s="376">
        <f>=SUM(R46:R47)</f>
        <v>0</v>
      </c>
      <c r="S45" s="376">
        <f>=SUM(S46:S47)</f>
        <v>0</v>
      </c>
      <c r="T45" s="376">
        <f>=SUM(T46:T47)</f>
        <v>0</v>
      </c>
      <c r="U45" s="376">
        <f>=SUM(U46:U47)</f>
        <v>0</v>
      </c>
      <c r="V45" s="376">
        <f>=SUM(V46:V47)</f>
        <v>0</v>
      </c>
      <c r="W45" s="376">
        <f>=SUM(W46:W47)</f>
        <v>0</v>
      </c>
      <c r="X45" s="376">
        <f>=SUM(X46:X47)</f>
        <v>0</v>
      </c>
      <c r="Y45" s="376">
        <f>=SUM(Y46:Y47)</f>
        <v>0</v>
      </c>
    </row>
    <row r="46" spans="1:26" s="699" customFormat="true" ht="12" customHeight="true">
      <c r="A46" s="373">
        <v>2.1</v>
      </c>
      <c r="B46" s="512" t="s">
        <v>781</v>
      </c>
      <c r="C46" s="376">
        <f>=SUM(D46:Y46)</f>
        <v>0</v>
      </c>
      <c r="D46" s="376">
        <f>=辅助表3资产折旧及摊销估算表!K201</f>
        <v>0</v>
      </c>
      <c r="E46" s="376">
        <f>=辅助表3资产折旧及摊销估算表!L201</f>
        <v>0</v>
      </c>
      <c r="F46" s="376">
        <f>=辅助表3资产折旧及摊销估算表!M201</f>
        <v>0</v>
      </c>
      <c r="G46" s="376">
        <f>=辅助表3资产折旧及摊销估算表!N201</f>
        <v>0</v>
      </c>
      <c r="H46" s="376">
        <f>=辅助表3资产折旧及摊销估算表!O201</f>
        <v>0</v>
      </c>
      <c r="I46" s="376">
        <f>=辅助表3资产折旧及摊销估算表!P201</f>
        <v>0</v>
      </c>
      <c r="J46" s="376">
        <f>=辅助表3资产折旧及摊销估算表!Q201</f>
        <v>0</v>
      </c>
      <c r="K46" s="376">
        <f>=辅助表3资产折旧及摊销估算表!R201</f>
        <v>0</v>
      </c>
      <c r="L46" s="376">
        <f>=辅助表3资产折旧及摊销估算表!S201</f>
        <v>0</v>
      </c>
      <c r="M46" s="376">
        <f>=辅助表3资产折旧及摊销估算表!T201</f>
        <v>0</v>
      </c>
      <c r="N46" s="376">
        <f>=辅助表3资产折旧及摊销估算表!U201</f>
        <v>0</v>
      </c>
      <c r="O46" s="376">
        <f>=辅助表3资产折旧及摊销估算表!V201</f>
        <v>0</v>
      </c>
      <c r="P46" s="376">
        <f>=辅助表3资产折旧及摊销估算表!W201</f>
        <v>0</v>
      </c>
      <c r="Q46" s="376">
        <f>=辅助表3资产折旧及摊销估算表!X201</f>
        <v>0</v>
      </c>
      <c r="R46" s="376">
        <f>=辅助表3资产折旧及摊销估算表!Y201</f>
        <v>0</v>
      </c>
      <c r="S46" s="376">
        <f>=辅助表3资产折旧及摊销估算表!Z201</f>
        <v>0</v>
      </c>
      <c r="T46" s="376">
        <f>=辅助表3资产折旧及摊销估算表!AA201</f>
        <v>0</v>
      </c>
      <c r="U46" s="376">
        <f>=辅助表3资产折旧及摊销估算表!AB201</f>
        <v>0</v>
      </c>
      <c r="V46" s="376">
        <f>=辅助表3资产折旧及摊销估算表!AC201</f>
        <v>0</v>
      </c>
      <c r="W46" s="376">
        <f>=辅助表3资产折旧及摊销估算表!AD201</f>
        <v>0</v>
      </c>
      <c r="X46" s="376">
        <f>=辅助表3资产折旧及摊销估算表!AE201</f>
        <v>0</v>
      </c>
      <c r="Y46" s="376">
        <f>=辅助表3资产折旧及摊销估算表!AF201</f>
        <v>0</v>
      </c>
      <c r="Z46" s="399" t="s">
        <v>940</v>
      </c>
    </row>
    <row r="47" spans="1:25" s="699" customFormat="true" ht="12" customHeight="true">
      <c r="A47" s="373">
        <v>2.2</v>
      </c>
      <c r="B47" s="512" t="s">
        <v>957</v>
      </c>
      <c r="C47" s="376">
        <f>=SUM(D47:Y47)</f>
        <v>0</v>
      </c>
      <c r="D47" s="400" t="s"/>
      <c r="E47" s="400" t="s"/>
      <c r="F47" s="400" t="s"/>
      <c r="G47" s="400" t="s"/>
      <c r="H47" s="400" t="s"/>
      <c r="I47" s="400" t="s"/>
      <c r="J47" s="400" t="s"/>
      <c r="K47" s="400" t="s"/>
      <c r="L47" s="400" t="s"/>
      <c r="M47" s="400" t="s"/>
      <c r="N47" s="400" t="s"/>
      <c r="O47" s="400" t="s"/>
      <c r="P47" s="400" t="s"/>
      <c r="Q47" s="400" t="s"/>
      <c r="R47" s="400" t="s"/>
      <c r="S47" s="400" t="s"/>
      <c r="T47" s="400" t="s"/>
      <c r="U47" s="400" t="s"/>
      <c r="V47" s="400" t="s"/>
      <c r="W47" s="400" t="s"/>
      <c r="X47" s="400" t="s"/>
      <c r="Y47" s="400" t="s"/>
    </row>
    <row r="48" spans="1:25" s="699" customFormat="true" ht="12" customHeight="true">
      <c r="A48" s="373">
        <v>3</v>
      </c>
      <c r="B48" s="512" t="s">
        <v>958</v>
      </c>
      <c r="C48" s="376">
        <f>=SUM(D48:Y48)</f>
        <v>287.069011234945</v>
      </c>
      <c r="D48" s="400">
        <f>=D20*10%/2</f>
        <v>0</v>
      </c>
      <c r="E48" s="400">
        <f>=E20*10%</f>
        <v>0</v>
      </c>
      <c r="F48" s="400">
        <v>12.308900835312</v>
      </c>
      <c r="G48" s="400">
        <v>24.6555847039415</v>
      </c>
      <c r="H48" s="400">
        <v>24.6934974051257</v>
      </c>
      <c r="I48" s="400">
        <v>24.7315392555052</v>
      </c>
      <c r="J48" s="400">
        <v>24.7697097384832</v>
      </c>
      <c r="K48" s="400">
        <v>24.7729083395293</v>
      </c>
      <c r="L48" s="400">
        <v>25.2681745461712</v>
      </c>
      <c r="M48" s="400">
        <v>25.2365278479865</v>
      </c>
      <c r="N48" s="400">
        <v>25.2050077365945</v>
      </c>
      <c r="O48" s="400">
        <v>25.1736137056482</v>
      </c>
      <c r="P48" s="400">
        <v>25.1423452508256</v>
      </c>
      <c r="Q48" s="400">
        <v>25.1112018698223</v>
      </c>
      <c r="R48" s="400" t="s"/>
      <c r="S48" s="400" t="s"/>
      <c r="T48" s="400">
        <f>=S48*(1+T5)</f>
        <v>0</v>
      </c>
      <c r="U48" s="400" t="s"/>
      <c r="V48" s="400" t="s"/>
      <c r="W48" s="400" t="s"/>
      <c r="X48" s="400" t="s"/>
      <c r="Y48" s="400" t="s"/>
    </row>
    <row r="49" spans="1:25" s="699" customFormat="true" ht="12" customHeight="true">
      <c r="A49" s="373" t="s">
        <v>469</v>
      </c>
      <c r="B49" s="506" t="s">
        <v>959</v>
      </c>
      <c r="C49" s="376">
        <f>=SUM(D49:Y49)</f>
        <v>1826.63975111125</v>
      </c>
      <c r="D49" s="376">
        <f>=SUM(D50:D53)</f>
        <v>0</v>
      </c>
      <c r="E49" s="376">
        <f>=SUM(E50:E53)</f>
        <v>0</v>
      </c>
      <c r="F49" s="376">
        <f>=SUM(F50:F53)</f>
        <v>157.5</v>
      </c>
      <c r="G49" s="376">
        <f>=SUM(G50:G53)</f>
        <v>301.09540127999</v>
      </c>
      <c r="H49" s="376">
        <f>=SUM(H50:H53)</f>
        <v>272.990062874956</v>
      </c>
      <c r="I49" s="376">
        <f>=SUM(I50:I53)</f>
        <v>244.120800135153</v>
      </c>
      <c r="J49" s="376">
        <f>=SUM(J50:J53)</f>
        <v>214.544669826423</v>
      </c>
      <c r="K49" s="376">
        <f>=SUM(K50:K53)</f>
        <v>184.167094504804</v>
      </c>
      <c r="L49" s="376">
        <f>=SUM(L50:L53)</f>
        <v>153.091884068226</v>
      </c>
      <c r="M49" s="376">
        <f>=SUM(M50:M53)</f>
        <v>121.278200036687</v>
      </c>
      <c r="N49" s="376">
        <f>=SUM(N50:N53)</f>
        <v>89.1113446321059</v>
      </c>
      <c r="O49" s="376">
        <f>=SUM(O50:O53)</f>
        <v>59.5236275754536</v>
      </c>
      <c r="P49" s="376">
        <f>=SUM(P50:P53)</f>
        <v>29.2166661774535</v>
      </c>
      <c r="Q49" s="376">
        <f>=SUM(Q50:Q53)</f>
        <v>0</v>
      </c>
      <c r="R49" s="376">
        <f>=SUM(R50:R53)</f>
        <v>0</v>
      </c>
      <c r="S49" s="376">
        <f>=SUM(S50:S53)</f>
        <v>0</v>
      </c>
      <c r="T49" s="376">
        <f>=SUM(T50:T53)</f>
        <v>0</v>
      </c>
      <c r="U49" s="376">
        <f>=SUM(U50:U53)</f>
        <v>0</v>
      </c>
      <c r="V49" s="376">
        <f>=SUM(V50:V53)</f>
        <v>0</v>
      </c>
      <c r="W49" s="376">
        <f>=SUM(W50:W53)</f>
        <v>0</v>
      </c>
      <c r="X49" s="376">
        <f>=SUM(X50:X53)</f>
        <v>0</v>
      </c>
      <c r="Y49" s="376">
        <f>=SUM(Y50:Y53)</f>
        <v>0</v>
      </c>
    </row>
    <row r="50" spans="1:26" s="699" customFormat="true" ht="12" customHeight="true">
      <c r="A50" s="373">
        <v>1</v>
      </c>
      <c r="B50" s="512" t="s">
        <v>782</v>
      </c>
      <c r="C50" s="376">
        <f>=SUM(D50:Y50)</f>
        <v>0</v>
      </c>
      <c r="D50" s="376">
        <f>=评估表3投资计划与资金筹措表!F42*评估表3投资计划与资金筹措表!$D$42+评估表3投资计划与资金筹措表!F43*评估表3投资计划与资金筹措表!$D$43</f>
        <v>0</v>
      </c>
      <c r="E50" s="376">
        <f>=SUM(评估表3投资计划与资金筹措表!$F42:G42)*评估表3投资计划与资金筹措表!$D$42+SUM(评估表3投资计划与资金筹措表!$F43:G43)*评估表3投资计划与资金筹措表!$D$43</f>
        <v>0</v>
      </c>
      <c r="F50" s="376">
        <f>=SUM(评估表3投资计划与资金筹措表!$F42:R42)*评估表3投资计划与资金筹措表!$D$42+SUM(评估表3投资计划与资金筹措表!$F43:R43)*评估表3投资计划与资金筹措表!$D$43</f>
        <v>0</v>
      </c>
      <c r="G50" s="376">
        <f>=SUM(评估表3投资计划与资金筹措表!$F42:S42)*评估表3投资计划与资金筹措表!$D$42+SUM(评估表3投资计划与资金筹措表!$F43:S43)*评估表3投资计划与资金筹措表!$D$43</f>
        <v>0</v>
      </c>
      <c r="H50" s="376">
        <f>=SUM(评估表3投资计划与资金筹措表!$F42:T42)*评估表3投资计划与资金筹措表!$D$42+SUM(评估表3投资计划与资金筹措表!$F43:T43)*评估表3投资计划与资金筹措表!$D$43</f>
        <v>0</v>
      </c>
      <c r="I50" s="376">
        <f>=SUM(评估表3投资计划与资金筹措表!$F42:U42)*评估表3投资计划与资金筹措表!$D$42+SUM(评估表3投资计划与资金筹措表!$F43:U43)*评估表3投资计划与资金筹措表!$D$43</f>
        <v>0</v>
      </c>
      <c r="J50" s="376">
        <f>=SUM(评估表3投资计划与资金筹措表!$F42:V42)*评估表3投资计划与资金筹措表!$D$42+SUM(评估表3投资计划与资金筹措表!$F43:V43)*评估表3投资计划与资金筹措表!$D$43</f>
        <v>0</v>
      </c>
      <c r="K50" s="376">
        <f>=SUM(评估表3投资计划与资金筹措表!$F42:W42)*评估表3投资计划与资金筹措表!$D$42+SUM(评估表3投资计划与资金筹措表!$F43:W43)*评估表3投资计划与资金筹措表!$D$43</f>
        <v>0</v>
      </c>
      <c r="L50" s="376">
        <f>=SUM(评估表3投资计划与资金筹措表!$F42:$W42)*评估表3投资计划与资金筹措表!$D$42+SUM(评估表3投资计划与资金筹措表!$F43:$W43)*评估表3投资计划与资金筹措表!$D$43</f>
        <v>0</v>
      </c>
      <c r="M50" s="376">
        <f>=SUM(评估表3投资计划与资金筹措表!$F42:$W42)*评估表3投资计划与资金筹措表!$D$42+SUM(评估表3投资计划与资金筹措表!$F43:$W43)*评估表3投资计划与资金筹措表!$D$43</f>
        <v>0</v>
      </c>
      <c r="N50" s="376">
        <f>=SUM(评估表3投资计划与资金筹措表!$F42:$W42)*评估表3投资计划与资金筹措表!$D$42+SUM(评估表3投资计划与资金筹措表!$F43:$W43)*评估表3投资计划与资金筹措表!$D$43</f>
        <v>0</v>
      </c>
      <c r="O50" s="376">
        <f>=SUM(评估表3投资计划与资金筹措表!$F42:$W42)*评估表3投资计划与资金筹措表!$D$42+SUM(评估表3投资计划与资金筹措表!$F43:$W43)*评估表3投资计划与资金筹措表!$D$43</f>
        <v>0</v>
      </c>
      <c r="P50" s="376">
        <f>=SUM(评估表3投资计划与资金筹措表!$F42:$W42)*评估表3投资计划与资金筹措表!$D$42+SUM(评估表3投资计划与资金筹措表!$F43:$W43)*评估表3投资计划与资金筹措表!$D$43</f>
        <v>0</v>
      </c>
      <c r="Q50" s="376">
        <f>=SUM(评估表3投资计划与资金筹措表!$F42:$W42)*评估表3投资计划与资金筹措表!$D$42+SUM(评估表3投资计划与资金筹措表!$F43:$W43)*评估表3投资计划与资金筹措表!$D$43</f>
        <v>0</v>
      </c>
      <c r="R50" s="376">
        <f>=SUM(评估表3投资计划与资金筹措表!$F42:$W42)*评估表3投资计划与资金筹措表!$D$42+SUM(评估表3投资计划与资金筹措表!$F43:$W43)*评估表3投资计划与资金筹措表!$D$43</f>
        <v>0</v>
      </c>
      <c r="S50" s="376">
        <f>=SUM(评估表3投资计划与资金筹措表!$F42:$W42)*评估表3投资计划与资金筹措表!$D$42+SUM(评估表3投资计划与资金筹措表!$F43:$W43)*评估表3投资计划与资金筹措表!$D$43</f>
        <v>0</v>
      </c>
      <c r="T50" s="376">
        <f>=SUM(评估表3投资计划与资金筹措表!$F42:$W42)*评估表3投资计划与资金筹措表!$D$42+SUM(评估表3投资计划与资金筹措表!$F43:$W43)*评估表3投资计划与资金筹措表!$D$43</f>
        <v>0</v>
      </c>
      <c r="U50" s="376">
        <f>=SUM(评估表3投资计划与资金筹措表!$F42:$W42)*评估表3投资计划与资金筹措表!$D$42+SUM(评估表3投资计划与资金筹措表!$F43:$W43)*评估表3投资计划与资金筹措表!$D$43</f>
        <v>0</v>
      </c>
      <c r="V50" s="376">
        <f>=SUM(评估表3投资计划与资金筹措表!$F42:$W42)*评估表3投资计划与资金筹措表!$D$42+SUM(评估表3投资计划与资金筹措表!$F43:$W43)*评估表3投资计划与资金筹措表!$D$43</f>
        <v>0</v>
      </c>
      <c r="W50" s="376">
        <f>=SUM(评估表3投资计划与资金筹措表!$F42:$W42)*评估表3投资计划与资金筹措表!$D$42+SUM(评估表3投资计划与资金筹措表!$F43:$W43)*评估表3投资计划与资金筹措表!$D$43</f>
        <v>0</v>
      </c>
      <c r="X50" s="376">
        <f>=SUM(评估表3投资计划与资金筹措表!$F42:$W42)*评估表3投资计划与资金筹措表!$D$42+SUM(评估表3投资计划与资金筹措表!$F43:$W43)*评估表3投资计划与资金筹措表!$D$43</f>
        <v>0</v>
      </c>
      <c r="Y50" s="376">
        <f>=SUM(评估表3投资计划与资金筹措表!$F42:$W42)*评估表3投资计划与资金筹措表!$D$42+SUM(评估表3投资计划与资金筹措表!$F43:$W43)*评估表3投资计划与资金筹措表!$D$43</f>
        <v>0</v>
      </c>
      <c r="Z50" s="399" t="s">
        <v>960</v>
      </c>
    </row>
    <row r="51" spans="1:26" s="699" customFormat="true" ht="12" customHeight="true">
      <c r="A51" s="373">
        <v>2</v>
      </c>
      <c r="B51" s="512" t="s">
        <v>783</v>
      </c>
      <c r="C51" s="376">
        <f>=SUM(D51:Y51)</f>
        <v>1826.63975111125</v>
      </c>
      <c r="D51" s="376">
        <f>=评估表6项目贷款偿还期计算表!E10</f>
        <v>0</v>
      </c>
      <c r="E51" s="376">
        <f>=评估表6项目贷款偿还期计算表!F10</f>
        <v>0</v>
      </c>
      <c r="F51" s="376">
        <f>=评估表6项目贷款偿还期计算表!G10</f>
        <v>157.5</v>
      </c>
      <c r="G51" s="376">
        <f>=评估表6项目贷款偿还期计算表!H10</f>
        <v>301.09540127999</v>
      </c>
      <c r="H51" s="376">
        <f>=评估表6项目贷款偿还期计算表!I10</f>
        <v>272.990062874956</v>
      </c>
      <c r="I51" s="376">
        <f>=评估表6项目贷款偿还期计算表!J10</f>
        <v>244.120800135153</v>
      </c>
      <c r="J51" s="376">
        <f>=评估表6项目贷款偿还期计算表!K10</f>
        <v>214.544669826423</v>
      </c>
      <c r="K51" s="376">
        <f>=评估表6项目贷款偿还期计算表!L10</f>
        <v>184.167094504804</v>
      </c>
      <c r="L51" s="376">
        <f>=评估表6项目贷款偿还期计算表!M10</f>
        <v>153.091884068226</v>
      </c>
      <c r="M51" s="376">
        <f>=评估表6项目贷款偿还期计算表!N10</f>
        <v>121.278200036687</v>
      </c>
      <c r="N51" s="376">
        <f>=评估表6项目贷款偿还期计算表!O10</f>
        <v>89.1113446321059</v>
      </c>
      <c r="O51" s="376">
        <f>=评估表6项目贷款偿还期计算表!P10</f>
        <v>59.5236275754536</v>
      </c>
      <c r="P51" s="376">
        <f>=评估表6项目贷款偿还期计算表!Q10</f>
        <v>29.2166661774535</v>
      </c>
      <c r="Q51" s="376">
        <f>=评估表6项目贷款偿还期计算表!R10</f>
        <v>0</v>
      </c>
      <c r="R51" s="376">
        <f>=评估表6项目贷款偿还期计算表!S10</f>
        <v>0</v>
      </c>
      <c r="S51" s="376">
        <f>=评估表6项目贷款偿还期计算表!T10</f>
        <v>0</v>
      </c>
      <c r="T51" s="376">
        <f>=评估表6项目贷款偿还期计算表!U10</f>
        <v>0</v>
      </c>
      <c r="U51" s="376">
        <f>=评估表6项目贷款偿还期计算表!V10</f>
        <v>0</v>
      </c>
      <c r="V51" s="376">
        <f>=评估表6项目贷款偿还期计算表!W10</f>
        <v>0</v>
      </c>
      <c r="W51" s="376">
        <f>=评估表6项目贷款偿还期计算表!X10</f>
        <v>0</v>
      </c>
      <c r="X51" s="376">
        <f>=评估表6项目贷款偿还期计算表!Y10</f>
        <v>0</v>
      </c>
      <c r="Y51" s="376">
        <f>=评估表6项目贷款偿还期计算表!Z10</f>
        <v>0</v>
      </c>
      <c r="Z51" s="399" t="s">
        <v>590</v>
      </c>
    </row>
    <row r="52" spans="1:26" s="699" customFormat="true" ht="12" customHeight="true">
      <c r="A52" s="516">
        <v>3</v>
      </c>
      <c r="B52" s="512" t="s">
        <v>784</v>
      </c>
      <c r="C52" s="376">
        <f>=SUM(D52:Y52)</f>
        <v>0</v>
      </c>
      <c r="D52" s="400" t="s"/>
      <c r="E52" s="400" t="s"/>
      <c r="F52" s="400" t="s"/>
      <c r="G52" s="400" t="s"/>
      <c r="H52" s="400" t="s"/>
      <c r="I52" s="400" t="s"/>
      <c r="J52" s="400" t="s"/>
      <c r="K52" s="400" t="s"/>
      <c r="L52" s="400" t="s"/>
      <c r="M52" s="400" t="s"/>
      <c r="N52" s="400" t="s"/>
      <c r="O52" s="400" t="s"/>
      <c r="P52" s="400" t="s"/>
      <c r="Q52" s="400" t="s"/>
      <c r="R52" s="400" t="s"/>
      <c r="S52" s="400" t="s"/>
      <c r="T52" s="400" t="s"/>
      <c r="U52" s="400" t="s"/>
      <c r="V52" s="400" t="s"/>
      <c r="W52" s="400" t="s"/>
      <c r="X52" s="400" t="s"/>
      <c r="Y52" s="400" t="s"/>
      <c r="Z52" s="517" t="s">
        <v>961</v>
      </c>
    </row>
    <row r="53" spans="1:25" s="699" customFormat="true" ht="12" customHeight="true">
      <c r="A53" s="373">
        <v>4</v>
      </c>
      <c r="B53" s="512" t="s">
        <v>785</v>
      </c>
      <c r="C53" s="376">
        <f>=SUM(D53:Y53)</f>
        <v>0</v>
      </c>
      <c r="D53" s="400" t="s"/>
      <c r="E53" s="400" t="s"/>
      <c r="F53" s="400" t="s"/>
      <c r="G53" s="400" t="s"/>
      <c r="H53" s="400" t="s"/>
      <c r="I53" s="400" t="s"/>
      <c r="J53" s="400" t="s"/>
      <c r="K53" s="400" t="s"/>
      <c r="L53" s="400" t="s"/>
      <c r="M53" s="400" t="s"/>
      <c r="N53" s="400" t="s"/>
      <c r="O53" s="400" t="s"/>
      <c r="P53" s="400" t="s"/>
      <c r="Q53" s="400" t="s"/>
      <c r="R53" s="400" t="s"/>
      <c r="S53" s="400" t="s"/>
      <c r="T53" s="400" t="s"/>
      <c r="U53" s="400" t="s"/>
      <c r="V53" s="400" t="s"/>
      <c r="W53" s="400" t="s"/>
      <c r="X53" s="400" t="s"/>
      <c r="Y53" s="400" t="s"/>
    </row>
    <row r="54" spans="1:26" s="699" customFormat="true" ht="12" customHeight="true">
      <c r="A54" s="373" t="s">
        <v>479</v>
      </c>
      <c r="B54" s="506" t="s">
        <v>962</v>
      </c>
      <c r="C54" s="376">
        <f>=SUM(D54:Y54)</f>
        <v>0</v>
      </c>
      <c r="D54" s="376">
        <f>=评估表5损益及利润分配表!D11*辅助表1评估项目基础数据表!$C$14</f>
        <v>0</v>
      </c>
      <c r="E54" s="376">
        <f>=评估表5损益及利润分配表!E11*辅助表1评估项目基础数据表!$C$14</f>
        <v>0</v>
      </c>
      <c r="F54" s="376">
        <f>=评估表5损益及利润分配表!F11*辅助表1评估项目基础数据表!$C$14</f>
        <v>0</v>
      </c>
      <c r="G54" s="376">
        <f>=评估表5损益及利润分配表!G11*辅助表1评估项目基础数据表!$C$14</f>
        <v>0</v>
      </c>
      <c r="H54" s="376">
        <f>=评估表5损益及利润分配表!H11*辅助表1评估项目基础数据表!$C$14</f>
        <v>0</v>
      </c>
      <c r="I54" s="376">
        <f>=评估表5损益及利润分配表!I11*辅助表1评估项目基础数据表!$C$14</f>
        <v>0</v>
      </c>
      <c r="J54" s="376">
        <f>=评估表5损益及利润分配表!J11*辅助表1评估项目基础数据表!$C$14</f>
        <v>0</v>
      </c>
      <c r="K54" s="376">
        <f>=评估表5损益及利润分配表!K11*辅助表1评估项目基础数据表!$C$14</f>
        <v>0</v>
      </c>
      <c r="L54" s="376">
        <f>=评估表5损益及利润分配表!L11*辅助表1评估项目基础数据表!$C$14</f>
        <v>0</v>
      </c>
      <c r="M54" s="376">
        <f>=评估表5损益及利润分配表!M11*辅助表1评估项目基础数据表!$C$14</f>
        <v>0</v>
      </c>
      <c r="N54" s="376">
        <f>=评估表5损益及利润分配表!N11*辅助表1评估项目基础数据表!$C$14</f>
        <v>0</v>
      </c>
      <c r="O54" s="376">
        <f>=评估表5损益及利润分配表!O11*辅助表1评估项目基础数据表!$C$14</f>
        <v>0</v>
      </c>
      <c r="P54" s="376">
        <f>=评估表5损益及利润分配表!P11*辅助表1评估项目基础数据表!$C$14</f>
        <v>0</v>
      </c>
      <c r="Q54" s="376">
        <f>=评估表5损益及利润分配表!Q11*辅助表1评估项目基础数据表!$C$14</f>
        <v>0</v>
      </c>
      <c r="R54" s="376">
        <f>=评估表5损益及利润分配表!R11*辅助表1评估项目基础数据表!$C$14</f>
        <v>0</v>
      </c>
      <c r="S54" s="376">
        <f>=评估表5损益及利润分配表!S11*辅助表1评估项目基础数据表!$C$14</f>
        <v>0</v>
      </c>
      <c r="T54" s="376">
        <f>=评估表5损益及利润分配表!T11*辅助表1评估项目基础数据表!$C$14</f>
        <v>0</v>
      </c>
      <c r="U54" s="376">
        <f>=评估表5损益及利润分配表!U11*辅助表1评估项目基础数据表!$C$14</f>
        <v>0</v>
      </c>
      <c r="V54" s="376">
        <f>=评估表5损益及利润分配表!V11*辅助表1评估项目基础数据表!$C$14</f>
        <v>0</v>
      </c>
      <c r="W54" s="376">
        <f>=评估表5损益及利润分配表!W11*辅助表1评估项目基础数据表!$C$14</f>
        <v>0</v>
      </c>
      <c r="X54" s="376">
        <f>=评估表5损益及利润分配表!X11*辅助表1评估项目基础数据表!$C$14</f>
        <v>0</v>
      </c>
      <c r="Y54" s="376">
        <f>=评估表5损益及利润分配表!Y11*辅助表1评估项目基础数据表!$C$14</f>
        <v>0</v>
      </c>
      <c r="Z54" s="399" t="s">
        <v>963</v>
      </c>
    </row>
    <row r="55" spans="1:26" s="701" customFormat="true" ht="12" customHeight="true">
      <c r="A55" s="518" t="s">
        <v>964</v>
      </c>
      <c r="B55" s="506" t="s">
        <v>965</v>
      </c>
      <c r="C55" s="519">
        <f>=SUM(D55:Y55)</f>
        <v>10813.3378669797</v>
      </c>
      <c r="D55" s="519">
        <f>=D11+D41+D49+D54</f>
        <v>0</v>
      </c>
      <c r="E55" s="519">
        <f>=E11+E41+E49+E54</f>
        <v>0</v>
      </c>
      <c r="F55" s="519">
        <f>=F11+F41+F49+F54</f>
        <v>418.712805591448</v>
      </c>
      <c r="G55" s="519">
        <f>=G11+G41+G49+G54</f>
        <v>823.598795496203</v>
      </c>
      <c r="H55" s="519">
        <f>=H11+H41+H49+H54</f>
        <v>795.531369792352</v>
      </c>
      <c r="I55" s="519">
        <f>=I11+I41+I49+I54</f>
        <v>769.700148902929</v>
      </c>
      <c r="J55" s="519">
        <f>=J11+J41+J49+J54</f>
        <v>740.162189077177</v>
      </c>
      <c r="K55" s="519">
        <f>=K11+K41+K49+K54</f>
        <v>712.937812356605</v>
      </c>
      <c r="L55" s="519">
        <f>=L11+L41+L49+L54</f>
        <v>682.357868126668</v>
      </c>
      <c r="M55" s="519">
        <f>=M11+M41+M49+M54</f>
        <v>650.512537396945</v>
      </c>
      <c r="N55" s="519">
        <f>=N11+N41+N49+N54</f>
        <v>618.314161880971</v>
      </c>
      <c r="O55" s="519">
        <f>=O11+O41+O49+O54</f>
        <v>588.695050793373</v>
      </c>
      <c r="P55" s="519">
        <f>=P11+P41+P49+P54</f>
        <v>561.66432094055</v>
      </c>
      <c r="Q55" s="519">
        <f>=Q11+Q41+Q49+Q54</f>
        <v>532.416511382093</v>
      </c>
      <c r="R55" s="519">
        <f>=R11+R41+R49+R54</f>
        <v>364.841786905301</v>
      </c>
      <c r="S55" s="519">
        <f>=S11+S41+S49+S54</f>
        <v>364.841786905301</v>
      </c>
      <c r="T55" s="519">
        <f>=T11+T41+T49+T54</f>
        <v>364.841786905301</v>
      </c>
      <c r="U55" s="519">
        <f>=U11+U41+U49+U54</f>
        <v>364.841786905301</v>
      </c>
      <c r="V55" s="519">
        <f>=V11+V41+V49+V54</f>
        <v>364.841786905301</v>
      </c>
      <c r="W55" s="519">
        <f>=W11+W41+W49+W54</f>
        <v>364.841786905301</v>
      </c>
      <c r="X55" s="519">
        <f>=X11+X41+X49+X54</f>
        <v>364.841786905301</v>
      </c>
      <c r="Y55" s="519">
        <f>=Y11+Y41+Y49+Y54</f>
        <v>364.841786905301</v>
      </c>
      <c r="Z55" s="399" t="s">
        <v>966</v>
      </c>
    </row>
    <row r="56" spans="1:26" s="699" customFormat="true" ht="12" customHeight="true">
      <c r="A56" s="373" t="s">
        <v>967</v>
      </c>
      <c r="B56" s="512" t="s">
        <v>968</v>
      </c>
      <c r="C56" s="376">
        <f>=SUM(D56:Y56)</f>
        <v>1526.75401123495</v>
      </c>
      <c r="D56" s="376">
        <f>=D55-D25-D30-D42-D45-D49</f>
        <v>0</v>
      </c>
      <c r="E56" s="376">
        <f>=E55-E25-E30-E42-E45-E49</f>
        <v>0</v>
      </c>
      <c r="F56" s="376">
        <f>=F55-F25-F30-F42-F45-F49</f>
        <v>63.768900835312</v>
      </c>
      <c r="G56" s="376">
        <f>=G55-G25-G30-G42-G45-G49</f>
        <v>127.615584703942</v>
      </c>
      <c r="H56" s="376">
        <f>=H55-H25-H30-H42-H45-H49</f>
        <v>127.653497405126</v>
      </c>
      <c r="I56" s="376">
        <f>=I55-I25-I30-I42-I45-I49</f>
        <v>130.691539255505</v>
      </c>
      <c r="J56" s="376">
        <f>=J55-J25-J30-J42-J45-J49</f>
        <v>130.729709738483</v>
      </c>
      <c r="K56" s="376">
        <f>=K55-K25-K30-K42-K45-K49</f>
        <v>133.882908339529</v>
      </c>
      <c r="L56" s="376">
        <f>=L55-L25-L30-L42-L45-L49</f>
        <v>134.378174546171</v>
      </c>
      <c r="M56" s="376">
        <f>=M55-M25-M30-M42-M45-M49</f>
        <v>134.346527847987</v>
      </c>
      <c r="N56" s="376">
        <f>=N55-N25-N30-N42-N45-N49</f>
        <v>134.315007736595</v>
      </c>
      <c r="O56" s="376">
        <f>=O55-O25-O30-O42-O45-O49</f>
        <v>134.283613705648</v>
      </c>
      <c r="P56" s="376">
        <f>=P55-P25-P30-P42-P45-P49</f>
        <v>137.559845250826</v>
      </c>
      <c r="Q56" s="376">
        <f>=Q55-Q25-Q30-Q42-Q45-Q49</f>
        <v>137.528701869822</v>
      </c>
      <c r="R56" s="376">
        <f>=R55-R25-R30-R42-R45-R49</f>
        <v>0</v>
      </c>
      <c r="S56" s="376">
        <f>=S55-S25-S30-S42-S45-S49</f>
        <v>0</v>
      </c>
      <c r="T56" s="376">
        <f>=T55-T25-T30-T42-T45-T49</f>
        <v>0</v>
      </c>
      <c r="U56" s="376">
        <f>=U55-U25-U30-U42-U45-U49</f>
        <v>0</v>
      </c>
      <c r="V56" s="376">
        <f>=V55-V25-V30-V42-V45-V49</f>
        <v>0</v>
      </c>
      <c r="W56" s="376">
        <f>=W55-W25-W30-W42-W45-W49</f>
        <v>0</v>
      </c>
      <c r="X56" s="376">
        <f>=X55-X25-X30-X42-X45-X49</f>
        <v>0</v>
      </c>
      <c r="Y56" s="376">
        <f>=Y55-Y25-Y30-Y42-Y45-Y49</f>
        <v>0</v>
      </c>
      <c r="Z56" s="399" t="s">
        <v>969</v>
      </c>
    </row>
    <row r="57" spans="1:26" s="699" customFormat="true" ht="12" customHeight="true">
      <c r="A57" s="373" t="s">
        <v>970</v>
      </c>
      <c r="B57" s="373" t="s">
        <v>971</v>
      </c>
      <c r="C57" s="376">
        <f>=SUM(D57:Y57)</f>
        <v>9573.65286697972</v>
      </c>
      <c r="D57" s="376">
        <f>=D55-D58</f>
        <v>0</v>
      </c>
      <c r="E57" s="376">
        <f>=E55-E58</f>
        <v>0</v>
      </c>
      <c r="F57" s="376">
        <f>=F55-F58</f>
        <v>367.252805591448</v>
      </c>
      <c r="G57" s="376">
        <f>=G55-G58</f>
        <v>720.638795496203</v>
      </c>
      <c r="H57" s="376">
        <f>=H55-H58</f>
        <v>692.571369792352</v>
      </c>
      <c r="I57" s="376">
        <f>=I55-I58</f>
        <v>663.740148902929</v>
      </c>
      <c r="J57" s="376">
        <f>=J55-J58</f>
        <v>634.202189077177</v>
      </c>
      <c r="K57" s="376">
        <f>=K55-K58</f>
        <v>603.827812356605</v>
      </c>
      <c r="L57" s="376">
        <f>=L55-L58</f>
        <v>573.247868126668</v>
      </c>
      <c r="M57" s="376">
        <f>=M55-M58</f>
        <v>541.402537396945</v>
      </c>
      <c r="N57" s="376">
        <f>=N55-N58</f>
        <v>509.204161880971</v>
      </c>
      <c r="O57" s="376">
        <f>=O55-O58</f>
        <v>479.585050793373</v>
      </c>
      <c r="P57" s="376">
        <f>=P55-P58</f>
        <v>449.24682094055</v>
      </c>
      <c r="Q57" s="376">
        <f>=Q55-Q58</f>
        <v>419.999011382093</v>
      </c>
      <c r="R57" s="376">
        <f>=R55-R58</f>
        <v>364.841786905301</v>
      </c>
      <c r="S57" s="376">
        <f>=S55-S58</f>
        <v>364.841786905301</v>
      </c>
      <c r="T57" s="376">
        <f>=T55-T58</f>
        <v>364.841786905301</v>
      </c>
      <c r="U57" s="376">
        <f>=U55-U58</f>
        <v>364.841786905301</v>
      </c>
      <c r="V57" s="376">
        <f>=V55-V58</f>
        <v>364.841786905301</v>
      </c>
      <c r="W57" s="376">
        <f>=W55-W58</f>
        <v>364.841786905301</v>
      </c>
      <c r="X57" s="376">
        <f>=X55-X58</f>
        <v>364.841786905301</v>
      </c>
      <c r="Y57" s="376">
        <f>=Y55-Y58</f>
        <v>364.841786905301</v>
      </c>
      <c r="Z57" s="399" t="s">
        <v>972</v>
      </c>
    </row>
    <row r="58" spans="1:26" s="699" customFormat="true" ht="12" customHeight="true">
      <c r="A58" s="373" t="s">
        <v>973</v>
      </c>
      <c r="B58" s="373" t="s">
        <v>974</v>
      </c>
      <c r="C58" s="376">
        <f>=SUM(D58:Y58)</f>
        <v>1239.685</v>
      </c>
      <c r="D58" s="376">
        <f>=D12+D20</f>
        <v>0</v>
      </c>
      <c r="E58" s="376">
        <f>=E12+E20</f>
        <v>0</v>
      </c>
      <c r="F58" s="376">
        <f>=F12+F20</f>
        <v>51.46</v>
      </c>
      <c r="G58" s="376">
        <f>=G12+G20</f>
        <v>102.96</v>
      </c>
      <c r="H58" s="376">
        <f>=H12+H20</f>
        <v>102.96</v>
      </c>
      <c r="I58" s="376">
        <f>=I12+I20</f>
        <v>105.96</v>
      </c>
      <c r="J58" s="376">
        <f>=J12+J20</f>
        <v>105.96</v>
      </c>
      <c r="K58" s="376">
        <f>=K12+K20</f>
        <v>109.11</v>
      </c>
      <c r="L58" s="376">
        <f>=L12+L20</f>
        <v>109.11</v>
      </c>
      <c r="M58" s="376">
        <f>=M12+M20</f>
        <v>109.11</v>
      </c>
      <c r="N58" s="376">
        <f>=N12+N20</f>
        <v>109.11</v>
      </c>
      <c r="O58" s="376">
        <f>=O12+O20</f>
        <v>109.11</v>
      </c>
      <c r="P58" s="376">
        <f>=P12+P20</f>
        <v>112.4175</v>
      </c>
      <c r="Q58" s="376">
        <f>=Q12+Q20</f>
        <v>112.4175</v>
      </c>
      <c r="R58" s="376">
        <f>=R12+R20</f>
        <v>0</v>
      </c>
      <c r="S58" s="376">
        <f>=S12+S20</f>
        <v>0</v>
      </c>
      <c r="T58" s="376">
        <f>=T12+T20</f>
        <v>0</v>
      </c>
      <c r="U58" s="376">
        <f>=U12+U20</f>
        <v>0</v>
      </c>
      <c r="V58" s="376">
        <f>=V12+V20</f>
        <v>0</v>
      </c>
      <c r="W58" s="376">
        <f>=W12+W20</f>
        <v>0</v>
      </c>
      <c r="X58" s="376">
        <f>=X12+X20</f>
        <v>0</v>
      </c>
      <c r="Y58" s="376">
        <f>=Y12+Y20</f>
        <v>0</v>
      </c>
      <c r="Z58" s="399" t="s">
        <v>975</v>
      </c>
    </row>
    <row r="60" spans="1:1" ht="12" customHeight="true">
      <c r="A60" s="188" t="s">
        <v>976</v>
      </c>
    </row>
    <row r="61" spans="1:6" ht="12" customHeight="true">
      <c r="A61" s="188" t="s">
        <v>977</v>
      </c>
      <c r="F61" s="201" t="s"/>
    </row>
    <row r="62" spans="1:1" ht="12" customHeight="true">
      <c r="A62" s="188" t="s">
        <v>978</v>
      </c>
    </row>
  </sheetData>
  <sheetProtection/>
  <mergeCells count="3">
    <mergeCell ref="A3:A4"/>
    <mergeCell ref="B3:B4"/>
    <mergeCell ref="C3:C4"/>
  </mergeCells>
  <pageMargins left="0.748031" right="0.551181" top="0.590551" bottom="0.590551" header="0" footer="0"/>
  <pageSetup paperSize="9" orientation="landscape" blackAndWhite="true"/>
  <headerFooter alignWithMargins="false"/>
  <legacyDrawing r:id="rId0"/>
</worksheet>
</file>

<file path=xl/worksheets/sheet6.xml><?xml version="1.0" encoding="utf-8"?>
<worksheet xmlns="http://schemas.openxmlformats.org/spreadsheetml/2006/main">
  <sheetPr/>
  <dimension ref="AA41"/>
  <sheetViews>
    <sheetView showGridLines="false" showZeros="false" showOutlineSymbols="false" topLeftCell="A1" workbookViewId="0">
      <pane xSplit="3" ySplit="4" topLeftCell="D5" activePane="bottomRight" state="frozen"/>
    </sheetView>
  </sheetViews>
  <sheetFormatPr defaultColWidth="9" defaultRowHeight="12" customHeight="true"/>
  <cols>
    <col min="1" max="1" width="4.75" style="698"/>
    <col min="2" max="2" width="21.875" style="698"/>
    <col min="3" max="3" width="11.125" style="698"/>
    <col min="4" max="5" width="9" style="698"/>
    <col min="6" max="6" width="17.625" style="698"/>
    <col min="7" max="26" width="10.625" style="698"/>
  </cols>
  <sheetData>
    <row r="1" spans="1:25" ht="12" customHeight="true">
      <c r="A1" s="347" t="s"/>
      <c r="B1" s="348" t="s"/>
      <c r="C1" s="348" t="s"/>
      <c r="D1" s="348" t="s">
        <v>736</v>
      </c>
      <c r="E1" s="348" t="s"/>
      <c r="F1" s="348" t="s"/>
      <c r="G1" s="348" t="s"/>
      <c r="H1" s="348" t="s"/>
      <c r="I1" s="348" t="s"/>
      <c r="J1" s="348" t="s"/>
      <c r="K1" s="348" t="s"/>
      <c r="L1" s="348" t="s"/>
      <c r="M1" s="348" t="s"/>
      <c r="N1" s="348" t="s"/>
      <c r="O1" s="348" t="s"/>
      <c r="P1" s="348" t="s"/>
      <c r="Q1" s="348" t="s"/>
      <c r="R1" s="348" t="s"/>
      <c r="S1" s="348" t="s"/>
      <c r="T1" s="348" t="s"/>
      <c r="U1" s="348" t="s"/>
      <c r="V1" s="348" t="s"/>
      <c r="W1" s="348" t="s"/>
      <c r="X1" s="348" t="s"/>
      <c r="Y1" s="348" t="s"/>
    </row>
    <row r="2" spans="1:25" ht="12" customHeight="true">
      <c r="A2" s="349" t="s">
        <v>737</v>
      </c>
      <c r="C2" s="350" t="s"/>
      <c r="D2" s="350" t="s">
        <v>438</v>
      </c>
      <c r="E2" s="350" t="s"/>
      <c r="F2" s="350" t="s"/>
      <c r="G2" s="350" t="s"/>
      <c r="H2" s="350" t="s"/>
      <c r="I2" s="350" t="s"/>
      <c r="J2" s="350" t="s"/>
      <c r="K2" s="350" t="s"/>
      <c r="L2" s="350" t="s"/>
      <c r="M2" s="350" t="s"/>
      <c r="N2" s="350" t="s"/>
      <c r="O2" s="350" t="s"/>
      <c r="P2" s="350" t="s"/>
      <c r="Q2" s="350" t="s"/>
      <c r="R2" s="350" t="s"/>
      <c r="S2" s="350" t="s"/>
      <c r="T2" s="350" t="s"/>
      <c r="U2" s="350" t="s"/>
      <c r="V2" s="350" t="s"/>
      <c r="W2" s="350" t="s"/>
      <c r="X2" s="350" t="s"/>
      <c r="Y2" s="350" t="s"/>
    </row>
    <row r="3" spans="1:25" ht="12" customHeight="true">
      <c r="A3" s="294" t="s">
        <v>525</v>
      </c>
      <c r="B3" s="294" t="s">
        <v>738</v>
      </c>
      <c r="C3" s="294" t="s">
        <v>739</v>
      </c>
      <c r="D3" s="296" t="s">
        <v>620</v>
      </c>
      <c r="E3" s="296" t="s"/>
      <c r="F3" s="296" t="s">
        <v>621</v>
      </c>
      <c r="G3" s="296" t="s"/>
      <c r="H3" s="296" t="s"/>
      <c r="I3" s="296" t="s"/>
      <c r="J3" s="296" t="s"/>
      <c r="K3" s="296" t="s"/>
      <c r="L3" s="296" t="s"/>
      <c r="M3" s="296" t="s"/>
      <c r="N3" s="296" t="s"/>
      <c r="O3" s="296" t="s"/>
      <c r="P3" s="296" t="s"/>
      <c r="Q3" s="296" t="s"/>
      <c r="R3" s="296" t="s"/>
      <c r="S3" s="296" t="s"/>
      <c r="T3" s="296" t="s"/>
      <c r="U3" s="296" t="s"/>
      <c r="V3" s="296" t="s"/>
      <c r="W3" s="296" t="s"/>
      <c r="X3" s="296" t="s"/>
      <c r="Y3" s="296" t="s"/>
    </row>
    <row r="4" spans="1:25" ht="12" customHeight="true">
      <c r="A4" s="294" t="s"/>
      <c r="B4" s="294" t="s"/>
      <c r="C4" s="294" t="s"/>
      <c r="D4" s="294" t="s">
        <v>622</v>
      </c>
      <c r="E4" s="294" t="s">
        <v>623</v>
      </c>
      <c r="F4" s="294" t="s">
        <v>622</v>
      </c>
      <c r="G4" s="294" t="s">
        <v>623</v>
      </c>
      <c r="H4" s="294" t="s">
        <v>624</v>
      </c>
      <c r="I4" s="294" t="s">
        <v>625</v>
      </c>
      <c r="J4" s="294" t="s">
        <v>626</v>
      </c>
      <c r="K4" s="294" t="s">
        <v>627</v>
      </c>
      <c r="L4" s="294" t="s">
        <v>628</v>
      </c>
      <c r="M4" s="294" t="s">
        <v>629</v>
      </c>
      <c r="N4" s="294" t="s">
        <v>630</v>
      </c>
      <c r="O4" s="294" t="s">
        <v>631</v>
      </c>
      <c r="P4" s="294" t="s">
        <v>632</v>
      </c>
      <c r="Q4" s="294" t="s">
        <v>633</v>
      </c>
      <c r="R4" s="294" t="s">
        <v>634</v>
      </c>
      <c r="S4" s="294" t="s">
        <v>635</v>
      </c>
      <c r="T4" s="294" t="s">
        <v>636</v>
      </c>
      <c r="U4" s="294" t="s">
        <v>702</v>
      </c>
      <c r="V4" s="294" t="s">
        <v>703</v>
      </c>
      <c r="W4" s="294" t="s">
        <v>637</v>
      </c>
      <c r="X4" s="294" t="s">
        <v>638</v>
      </c>
      <c r="Y4" s="294" t="s">
        <v>639</v>
      </c>
    </row>
    <row r="5" spans="1:25" ht="12" customHeight="true">
      <c r="A5" s="294" t="s"/>
      <c r="B5" s="297" t="s">
        <v>740</v>
      </c>
      <c r="C5" s="371" t="s"/>
      <c r="D5" s="394">
        <f>=评估表4总成本费用表!D5</f>
        <v>0</v>
      </c>
      <c r="E5" s="394">
        <f>=评估表4总成本费用表!E5</f>
        <v>0</v>
      </c>
      <c r="F5" s="394">
        <f>=评估表4总成本费用表!F5</f>
        <v>0</v>
      </c>
      <c r="G5" s="394">
        <f>=评估表4总成本费用表!G5</f>
        <v>0</v>
      </c>
      <c r="H5" s="394">
        <f>=评估表4总成本费用表!H5</f>
        <v>0</v>
      </c>
      <c r="I5" s="394">
        <f>=评估表4总成本费用表!I5</f>
        <v>0</v>
      </c>
      <c r="J5" s="394">
        <f>=评估表4总成本费用表!J5</f>
        <v>0</v>
      </c>
      <c r="K5" s="394">
        <f>=评估表4总成本费用表!K5</f>
        <v>0.05</v>
      </c>
      <c r="L5" s="394">
        <f>=评估表4总成本费用表!L5</f>
        <v>0</v>
      </c>
      <c r="M5" s="394">
        <f>=评估表4总成本费用表!M5</f>
        <v>0.05</v>
      </c>
      <c r="N5" s="394">
        <f>=评估表4总成本费用表!N5</f>
        <v>0</v>
      </c>
      <c r="O5" s="394">
        <f>=评估表4总成本费用表!O5</f>
        <v>0</v>
      </c>
      <c r="P5" s="394">
        <f>=评估表4总成本费用表!P5</f>
        <v>0.05</v>
      </c>
      <c r="Q5" s="394">
        <f>=评估表4总成本费用表!Q5</f>
        <v>0</v>
      </c>
      <c r="R5" s="394">
        <f>=评估表4总成本费用表!R5</f>
        <v>0</v>
      </c>
      <c r="S5" s="394">
        <f>=评估表4总成本费用表!S5</f>
        <v>0</v>
      </c>
      <c r="T5" s="394">
        <f>=评估表4总成本费用表!T5</f>
        <v>0</v>
      </c>
      <c r="U5" s="394">
        <f>=评估表4总成本费用表!U5</f>
        <v>0</v>
      </c>
      <c r="V5" s="394">
        <f>=评估表4总成本费用表!V5</f>
        <v>0</v>
      </c>
      <c r="W5" s="394">
        <f>=评估表4总成本费用表!W5</f>
        <v>0</v>
      </c>
      <c r="X5" s="394">
        <f>=评估表4总成本费用表!X5</f>
        <v>0</v>
      </c>
      <c r="Y5" s="394">
        <f>=评估表4总成本费用表!Y5</f>
        <v>0</v>
      </c>
    </row>
    <row r="6" spans="1:26" ht="12" customHeight="true">
      <c r="A6" s="395" t="s">
        <v>51</v>
      </c>
      <c r="B6" s="358" t="s">
        <v>741</v>
      </c>
      <c r="C6" s="396" t="s"/>
      <c r="D6" s="394">
        <f>=评估表4总成本费用表!D6</f>
        <v>0</v>
      </c>
      <c r="E6" s="394">
        <f>=评估表4总成本费用表!E6</f>
        <v>0</v>
      </c>
      <c r="F6" s="394">
        <f>=评估表4总成本费用表!F6</f>
        <v>0.99</v>
      </c>
      <c r="G6" s="394">
        <f>=评估表4总成本费用表!G6</f>
        <v>0.976</v>
      </c>
      <c r="H6" s="394">
        <f>=评估表4总成本费用表!H6</f>
        <v>0.972</v>
      </c>
      <c r="I6" s="394">
        <f>=评估表4总成本费用表!I6</f>
        <v>0.968</v>
      </c>
      <c r="J6" s="394">
        <f>=评估表4总成本费用表!J6</f>
        <v>0.964</v>
      </c>
      <c r="K6" s="394">
        <f>=评估表4总成本费用表!K6</f>
        <v>0.96</v>
      </c>
      <c r="L6" s="394">
        <f>=评估表4总成本费用表!L6</f>
        <v>0.956</v>
      </c>
      <c r="M6" s="394">
        <f>=评估表4总成本费用表!M6</f>
        <v>0.952</v>
      </c>
      <c r="N6" s="394">
        <f>=评估表4总成本费用表!N6</f>
        <v>0.948</v>
      </c>
      <c r="O6" s="394">
        <f>=评估表4总成本费用表!O6</f>
        <v>0.944</v>
      </c>
      <c r="P6" s="394">
        <f>=评估表4总成本费用表!P6</f>
        <v>0.94</v>
      </c>
      <c r="Q6" s="394">
        <f>=评估表4总成本费用表!Q6</f>
        <v>0.936</v>
      </c>
      <c r="R6" s="394">
        <f>=评估表4总成本费用表!R6</f>
        <v>0</v>
      </c>
      <c r="S6" s="394">
        <f>=评估表4总成本费用表!S6</f>
        <v>0</v>
      </c>
      <c r="T6" s="394">
        <f>=评估表4总成本费用表!T6</f>
        <v>0</v>
      </c>
      <c r="U6" s="394">
        <f>=评估表4总成本费用表!U6</f>
        <v>0</v>
      </c>
      <c r="V6" s="394">
        <f>=评估表4总成本费用表!V6</f>
        <v>0</v>
      </c>
      <c r="W6" s="394">
        <f>=评估表4总成本费用表!W6</f>
        <v>0</v>
      </c>
      <c r="X6" s="394">
        <f>=评估表4总成本费用表!X6</f>
        <v>0</v>
      </c>
      <c r="Y6" s="394">
        <f>=评估表4总成本费用表!Y6</f>
        <v>0</v>
      </c>
      <c r="Z6" s="188" t="s">
        <v>644</v>
      </c>
    </row>
    <row r="7" spans="1:25" ht="12" customHeight="true">
      <c r="A7" s="395" t="s">
        <v>51</v>
      </c>
      <c r="B7" s="358" t="s">
        <v>742</v>
      </c>
      <c r="C7" s="396" t="s"/>
      <c r="D7" s="394">
        <f>=评估表4总成本费用表!D7</f>
        <v>0</v>
      </c>
      <c r="E7" s="394">
        <f>=评估表4总成本费用表!E7</f>
        <v>0</v>
      </c>
      <c r="F7" s="394">
        <f>=评估表4总成本费用表!F7</f>
        <v>0.92</v>
      </c>
      <c r="G7" s="394">
        <f>=评估表4总成本费用表!G7</f>
        <v>0.92</v>
      </c>
      <c r="H7" s="394">
        <f>=评估表4总成本费用表!H7</f>
        <v>0.92</v>
      </c>
      <c r="I7" s="394">
        <f>=评估表4总成本费用表!I7</f>
        <v>0.92</v>
      </c>
      <c r="J7" s="394">
        <f>=评估表4总成本费用表!J7</f>
        <v>0.92</v>
      </c>
      <c r="K7" s="394">
        <f>=评估表4总成本费用表!K7</f>
        <v>0.92</v>
      </c>
      <c r="L7" s="394">
        <f>=评估表4总成本费用表!L7</f>
        <v>0.92</v>
      </c>
      <c r="M7" s="394">
        <f>=评估表4总成本费用表!M7</f>
        <v>0.92</v>
      </c>
      <c r="N7" s="394">
        <f>=评估表4总成本费用表!N7</f>
        <v>0.92</v>
      </c>
      <c r="O7" s="394">
        <f>=评估表4总成本费用表!O7</f>
        <v>0.92</v>
      </c>
      <c r="P7" s="394">
        <f>=评估表4总成本费用表!P7</f>
        <v>0.92</v>
      </c>
      <c r="Q7" s="394">
        <f>=评估表4总成本费用表!Q7</f>
        <v>0.92</v>
      </c>
      <c r="R7" s="394">
        <f>=评估表4总成本费用表!R7</f>
        <v>0</v>
      </c>
      <c r="S7" s="394">
        <f>=评估表4总成本费用表!S7</f>
        <v>0</v>
      </c>
      <c r="T7" s="394">
        <f>=评估表4总成本费用表!T7</f>
        <v>0</v>
      </c>
      <c r="U7" s="394">
        <f>=评估表4总成本费用表!U7</f>
        <v>0</v>
      </c>
      <c r="V7" s="394">
        <f>=评估表4总成本费用表!V7</f>
        <v>0</v>
      </c>
      <c r="W7" s="394">
        <f>=评估表4总成本费用表!W7</f>
        <v>0</v>
      </c>
      <c r="X7" s="394">
        <f>=评估表4总成本费用表!X7</f>
        <v>0</v>
      </c>
      <c r="Y7" s="394">
        <f>=评估表4总成本费用表!Y7</f>
        <v>0</v>
      </c>
    </row>
    <row r="8" spans="1:25" ht="12" customHeight="true">
      <c r="A8" s="395" t="s">
        <v>51</v>
      </c>
      <c r="B8" s="358" t="s">
        <v>743</v>
      </c>
      <c r="C8" s="396" t="s"/>
      <c r="D8" s="394">
        <f>=评估表4总成本费用表!D8</f>
        <v>0</v>
      </c>
      <c r="E8" s="394">
        <f>=评估表4总成本费用表!E8</f>
        <v>0</v>
      </c>
      <c r="F8" s="394">
        <f>=评估表4总成本费用表!F8</f>
        <v>0</v>
      </c>
      <c r="G8" s="394">
        <f>=评估表4总成本费用表!G8</f>
        <v>0</v>
      </c>
      <c r="H8" s="394">
        <f>=评估表4总成本费用表!H8</f>
        <v>0</v>
      </c>
      <c r="I8" s="394">
        <f>=评估表4总成本费用表!I8</f>
        <v>0</v>
      </c>
      <c r="J8" s="394">
        <f>=评估表4总成本费用表!J8</f>
        <v>0</v>
      </c>
      <c r="K8" s="394">
        <f>=评估表4总成本费用表!K8</f>
        <v>0.03</v>
      </c>
      <c r="L8" s="394">
        <f>=评估表4总成本费用表!L8</f>
        <v>0</v>
      </c>
      <c r="M8" s="394">
        <f>=评估表4总成本费用表!M8</f>
        <v>0</v>
      </c>
      <c r="N8" s="394">
        <f>=评估表4总成本费用表!N8</f>
        <v>0</v>
      </c>
      <c r="O8" s="394">
        <f>=评估表4总成本费用表!O8</f>
        <v>0</v>
      </c>
      <c r="P8" s="394">
        <f>=评估表4总成本费用表!P8</f>
        <v>0.03</v>
      </c>
      <c r="Q8" s="394">
        <f>=评估表4总成本费用表!Q8</f>
        <v>0</v>
      </c>
      <c r="R8" s="394">
        <f>=评估表4总成本费用表!R8</f>
        <v>0</v>
      </c>
      <c r="S8" s="394">
        <f>=评估表4总成本费用表!S8</f>
        <v>0</v>
      </c>
      <c r="T8" s="394">
        <f>=评估表4总成本费用表!T8</f>
        <v>0</v>
      </c>
      <c r="U8" s="394">
        <f>=评估表4总成本费用表!U8</f>
        <v>0</v>
      </c>
      <c r="V8" s="394">
        <f>=评估表4总成本费用表!V8</f>
        <v>0</v>
      </c>
      <c r="W8" s="394">
        <f>=评估表4总成本费用表!W8</f>
        <v>0</v>
      </c>
      <c r="X8" s="394">
        <f>=评估表4总成本费用表!X8</f>
        <v>0</v>
      </c>
      <c r="Y8" s="394">
        <f>=评估表4总成本费用表!Y8</f>
        <v>0</v>
      </c>
    </row>
    <row r="9" spans="1:25" ht="12" customHeight="true">
      <c r="A9" s="395" t="s">
        <v>51</v>
      </c>
      <c r="B9" s="358" t="s">
        <v>744</v>
      </c>
      <c r="C9" s="396" t="s"/>
      <c r="D9" s="394">
        <f>=评估表4总成本费用表!D9</f>
        <v>0</v>
      </c>
      <c r="E9" s="394">
        <f>=评估表4总成本费用表!E9</f>
        <v>0</v>
      </c>
      <c r="F9" s="394">
        <f>=评估表4总成本费用表!F9</f>
        <v>0.5</v>
      </c>
      <c r="G9" s="394">
        <f>=评估表4总成本费用表!G9</f>
        <v>0.6</v>
      </c>
      <c r="H9" s="394">
        <f>=评估表4总成本费用表!H9</f>
        <v>0.7</v>
      </c>
      <c r="I9" s="394">
        <f>=评估表4总成本费用表!I9</f>
        <v>0.8</v>
      </c>
      <c r="J9" s="394">
        <f>=评估表4总成本费用表!J9</f>
        <v>0.9</v>
      </c>
      <c r="K9" s="394">
        <f>=评估表4总成本费用表!K9</f>
        <v>0.95</v>
      </c>
      <c r="L9" s="394">
        <f>=评估表4总成本费用表!L9</f>
        <v>0.95</v>
      </c>
      <c r="M9" s="394">
        <f>=评估表4总成本费用表!M9</f>
        <v>0.95</v>
      </c>
      <c r="N9" s="394">
        <f>=评估表4总成本费用表!N9</f>
        <v>0.95</v>
      </c>
      <c r="O9" s="394">
        <f>=评估表4总成本费用表!O9</f>
        <v>0.95</v>
      </c>
      <c r="P9" s="394">
        <f>=评估表4总成本费用表!P9</f>
        <v>0.95</v>
      </c>
      <c r="Q9" s="394">
        <f>=评估表4总成本费用表!Q9</f>
        <v>0.95</v>
      </c>
      <c r="R9" s="394">
        <f>=评估表4总成本费用表!R9</f>
        <v>0</v>
      </c>
      <c r="S9" s="394">
        <f>=评估表4总成本费用表!S9</f>
        <v>0</v>
      </c>
      <c r="T9" s="394">
        <f>=评估表4总成本费用表!T9</f>
        <v>0</v>
      </c>
      <c r="U9" s="394">
        <f>=评估表4总成本费用表!U9</f>
        <v>0</v>
      </c>
      <c r="V9" s="394">
        <f>=评估表4总成本费用表!V9</f>
        <v>0</v>
      </c>
      <c r="W9" s="394">
        <f>=评估表4总成本费用表!W9</f>
        <v>0</v>
      </c>
      <c r="X9" s="394">
        <f>=评估表4总成本费用表!X9</f>
        <v>0</v>
      </c>
      <c r="Y9" s="394">
        <f>=评估表4总成本费用表!Y9</f>
        <v>0</v>
      </c>
    </row>
    <row r="10" spans="1:25" ht="12" customHeight="true">
      <c r="A10" s="395" t="s">
        <v>51</v>
      </c>
      <c r="B10" s="358" t="s">
        <v>745</v>
      </c>
      <c r="C10" s="396" t="s"/>
      <c r="D10" s="394">
        <f>=评估表4总成本费用表!D10</f>
        <v>0</v>
      </c>
      <c r="E10" s="394">
        <f>=评估表4总成本费用表!E10</f>
        <v>0</v>
      </c>
      <c r="F10" s="394">
        <f>=评估表4总成本费用表!F10</f>
        <v>0</v>
      </c>
      <c r="G10" s="394">
        <f>=评估表4总成本费用表!G10</f>
        <v>0</v>
      </c>
      <c r="H10" s="394">
        <f>=评估表4总成本费用表!H10</f>
        <v>0</v>
      </c>
      <c r="I10" s="394">
        <f>=评估表4总成本费用表!I10</f>
        <v>0</v>
      </c>
      <c r="J10" s="394">
        <f>=评估表4总成本费用表!J10</f>
        <v>0</v>
      </c>
      <c r="K10" s="394">
        <f>=评估表4总成本费用表!K10</f>
        <v>0</v>
      </c>
      <c r="L10" s="394">
        <f>=评估表4总成本费用表!L10</f>
        <v>0</v>
      </c>
      <c r="M10" s="394">
        <f>=评估表4总成本费用表!M10</f>
        <v>0</v>
      </c>
      <c r="N10" s="394">
        <f>=评估表4总成本费用表!N10</f>
        <v>0</v>
      </c>
      <c r="O10" s="394">
        <f>=评估表4总成本费用表!O10</f>
        <v>0</v>
      </c>
      <c r="P10" s="394">
        <f>=评估表4总成本费用表!P10</f>
        <v>0</v>
      </c>
      <c r="Q10" s="394">
        <f>=评估表4总成本费用表!Q10</f>
        <v>0</v>
      </c>
      <c r="R10" s="394">
        <f>=评估表4总成本费用表!R10</f>
        <v>0</v>
      </c>
      <c r="S10" s="394">
        <f>=评估表4总成本费用表!S10</f>
        <v>0</v>
      </c>
      <c r="T10" s="394">
        <f>=评估表4总成本费用表!T10</f>
        <v>0</v>
      </c>
      <c r="U10" s="394">
        <f>=评估表4总成本费用表!U10</f>
        <v>0</v>
      </c>
      <c r="V10" s="394">
        <f>=评估表4总成本费用表!V10</f>
        <v>0</v>
      </c>
      <c r="W10" s="394">
        <f>=评估表4总成本费用表!W10</f>
        <v>0</v>
      </c>
      <c r="X10" s="394">
        <f>=评估表4总成本费用表!X10</f>
        <v>0</v>
      </c>
      <c r="Y10" s="394">
        <f>=评估表4总成本费用表!Y10</f>
        <v>0</v>
      </c>
    </row>
    <row r="11" spans="1:26" s="699" customFormat="true" ht="12" customHeight="true">
      <c r="A11" s="397">
        <v>1</v>
      </c>
      <c r="B11" s="398" t="s">
        <v>746</v>
      </c>
      <c r="C11" s="376">
        <f>=SUM(D11:Y11)</f>
        <v>14147.8208401637</v>
      </c>
      <c r="D11" s="376">
        <f>=辅助表4销售收入及税金估算表!E11</f>
        <v>0</v>
      </c>
      <c r="E11" s="376">
        <f>=辅助表4销售收入及税金估算表!F11</f>
        <v>0</v>
      </c>
      <c r="F11" s="376">
        <f>=辅助表4销售收入及税金估算表!G11</f>
        <v>615.4450417656</v>
      </c>
      <c r="G11" s="376">
        <f>=辅助表4销售收入及税金估算表!H11</f>
        <v>1228.66981164288</v>
      </c>
      <c r="H11" s="376">
        <f>=辅助表4销售收入及税金估算表!I11</f>
        <v>1230.54259110336</v>
      </c>
      <c r="I11" s="376">
        <f>=辅助表4销售收入及税金估算表!J11</f>
        <v>1232.41537056384</v>
      </c>
      <c r="J11" s="376">
        <f>=辅助表4销售收入及税金估算表!K11</f>
        <v>1234.28815002432</v>
      </c>
      <c r="K11" s="376">
        <f>=辅助表4销售收入及税金估算表!L11</f>
        <v>1234.4059294848</v>
      </c>
      <c r="L11" s="376">
        <f>=辅助表4销售收入及税金估算表!M11</f>
        <v>1232.76870894528</v>
      </c>
      <c r="M11" s="376">
        <f>=辅助表4销售收入及税金估算表!N11</f>
        <v>1231.13148840576</v>
      </c>
      <c r="N11" s="376">
        <f>=辅助表4销售收入及税金估算表!O11</f>
        <v>1229.49426786624</v>
      </c>
      <c r="O11" s="376">
        <f>=辅助表4销售收入及税金估算表!P11</f>
        <v>1227.85704732672</v>
      </c>
      <c r="P11" s="376">
        <f>=辅助表4销售收入及税金估算表!Q11</f>
        <v>1226.2198267872</v>
      </c>
      <c r="Q11" s="376">
        <f>=辅助表4销售收入及税金估算表!R11</f>
        <v>1224.58260624768</v>
      </c>
      <c r="R11" s="376">
        <f>=辅助表4销售收入及税金估算表!S11</f>
        <v>0</v>
      </c>
      <c r="S11" s="376">
        <f>=辅助表4销售收入及税金估算表!T11</f>
        <v>0</v>
      </c>
      <c r="T11" s="376">
        <f>=辅助表4销售收入及税金估算表!U11</f>
        <v>0</v>
      </c>
      <c r="U11" s="376">
        <f>=辅助表4销售收入及税金估算表!V11</f>
        <v>0</v>
      </c>
      <c r="V11" s="376">
        <f>=辅助表4销售收入及税金估算表!W11</f>
        <v>0</v>
      </c>
      <c r="W11" s="376">
        <f>=辅助表4销售收入及税金估算表!X11</f>
        <v>0</v>
      </c>
      <c r="X11" s="376">
        <f>=辅助表4销售收入及税金估算表!Y11</f>
        <v>0</v>
      </c>
      <c r="Y11" s="376">
        <f>=辅助表4销售收入及税金估算表!Z11</f>
        <v>0</v>
      </c>
      <c r="Z11" s="399" t="s">
        <v>747</v>
      </c>
    </row>
    <row r="12" spans="1:26" s="699" customFormat="true" ht="12" customHeight="true">
      <c r="A12" s="397">
        <v>2</v>
      </c>
      <c r="B12" s="398" t="s">
        <v>659</v>
      </c>
      <c r="C12" s="376">
        <f>=SUM(D12:Y12)</f>
        <v>55.1969402555902</v>
      </c>
      <c r="D12" s="376">
        <f>=辅助表4销售收入及税金估算表!E19</f>
        <v>0</v>
      </c>
      <c r="E12" s="376">
        <f>=辅助表4销售收入及税金估算表!F19</f>
        <v>0</v>
      </c>
      <c r="F12" s="376">
        <f>=辅助表4销售收入及税金估算表!G19</f>
        <v>0</v>
      </c>
      <c r="G12" s="376">
        <f>=辅助表4销售收入及税金估算表!H19</f>
        <v>0</v>
      </c>
      <c r="H12" s="376">
        <f>=辅助表4销售收入及税金估算表!I19</f>
        <v>0</v>
      </c>
      <c r="I12" s="376">
        <f>=辅助表4销售收入及税金估算表!J19</f>
        <v>0</v>
      </c>
      <c r="J12" s="376">
        <f>=辅助表4销售收入及税金估算表!K19</f>
        <v>0</v>
      </c>
      <c r="K12" s="376">
        <f>=辅助表4销售收入及税金估算表!L19</f>
        <v>0</v>
      </c>
      <c r="L12" s="376">
        <f>=辅助表4销售收入及税金估算表!M19</f>
        <v>0</v>
      </c>
      <c r="M12" s="376">
        <f>=辅助表4销售收入及税金估算表!N19</f>
        <v>1.48785405540685</v>
      </c>
      <c r="N12" s="376">
        <f>=辅助表4销售收入及税金估算表!O19</f>
        <v>13.4555244708606</v>
      </c>
      <c r="O12" s="376">
        <f>=辅助表4销售收入及税金估算表!P19</f>
        <v>13.4366891903174</v>
      </c>
      <c r="P12" s="376">
        <f>=辅助表4销售收入及税金估算表!Q19</f>
        <v>13.4178539097743</v>
      </c>
      <c r="Q12" s="376">
        <f>=辅助表4销售收入及税金估算表!R19</f>
        <v>13.3990186292311</v>
      </c>
      <c r="R12" s="376">
        <f>=辅助表4销售收入及税金估算表!S19</f>
        <v>0</v>
      </c>
      <c r="S12" s="376">
        <f>=辅助表4销售收入及税金估算表!T19</f>
        <v>0</v>
      </c>
      <c r="T12" s="376">
        <f>=辅助表4销售收入及税金估算表!U19</f>
        <v>0</v>
      </c>
      <c r="U12" s="376">
        <f>=辅助表4销售收入及税金估算表!V19</f>
        <v>0</v>
      </c>
      <c r="V12" s="376">
        <f>=辅助表4销售收入及税金估算表!W19</f>
        <v>0</v>
      </c>
      <c r="W12" s="376">
        <f>=辅助表4销售收入及税金估算表!X19</f>
        <v>0</v>
      </c>
      <c r="X12" s="376">
        <f>=辅助表4销售收入及税金估算表!Y19</f>
        <v>0</v>
      </c>
      <c r="Y12" s="376">
        <f>=辅助表4销售收入及税金估算表!Z19</f>
        <v>0</v>
      </c>
      <c r="Z12" s="399" t="s">
        <v>747</v>
      </c>
    </row>
    <row r="13" spans="1:26" s="699" customFormat="true" ht="12" customHeight="true">
      <c r="A13" s="397">
        <v>3</v>
      </c>
      <c r="B13" s="398" t="s">
        <v>652</v>
      </c>
      <c r="C13" s="376">
        <f>=SUM(D13:Y13)</f>
        <v>551.969402555902</v>
      </c>
      <c r="D13" s="376">
        <f>=辅助表4销售收入及税金估算表!E13</f>
        <v>0</v>
      </c>
      <c r="E13" s="376">
        <f>=辅助表4销售收入及税金估算表!F13</f>
        <v>0</v>
      </c>
      <c r="F13" s="376">
        <f>=辅助表4销售收入及税金估算表!G13</f>
        <v>0</v>
      </c>
      <c r="G13" s="376">
        <f>=辅助表4销售收入及税金估算表!H13</f>
        <v>0</v>
      </c>
      <c r="H13" s="376">
        <f>=辅助表4销售收入及税金估算表!I13</f>
        <v>0</v>
      </c>
      <c r="I13" s="376">
        <f>=辅助表4销售收入及税金估算表!J13</f>
        <v>0</v>
      </c>
      <c r="J13" s="376">
        <f>=辅助表4销售收入及税金估算表!K13</f>
        <v>0</v>
      </c>
      <c r="K13" s="376">
        <f>=辅助表4销售收入及税金估算表!L13</f>
        <v>0</v>
      </c>
      <c r="L13" s="376">
        <f>=辅助表4销售收入及税金估算表!M13</f>
        <v>0</v>
      </c>
      <c r="M13" s="376">
        <f>=辅助表4销售收入及税金估算表!N13</f>
        <v>14.8785405540685</v>
      </c>
      <c r="N13" s="376">
        <f>=辅助表4销售收入及税金估算表!O13</f>
        <v>134.555244708606</v>
      </c>
      <c r="O13" s="376">
        <f>=辅助表4销售收入及税金估算表!P13</f>
        <v>134.366891903174</v>
      </c>
      <c r="P13" s="376">
        <f>=辅助表4销售收入及税金估算表!Q13</f>
        <v>134.178539097743</v>
      </c>
      <c r="Q13" s="376">
        <f>=辅助表4销售收入及税金估算表!R13</f>
        <v>133.990186292311</v>
      </c>
      <c r="R13" s="376">
        <f>=辅助表4销售收入及税金估算表!S13</f>
        <v>0</v>
      </c>
      <c r="S13" s="376">
        <f>=辅助表4销售收入及税金估算表!T13</f>
        <v>0</v>
      </c>
      <c r="T13" s="376">
        <f>=辅助表4销售收入及税金估算表!U13</f>
        <v>0</v>
      </c>
      <c r="U13" s="376">
        <f>=辅助表4销售收入及税金估算表!V13</f>
        <v>0</v>
      </c>
      <c r="V13" s="376">
        <f>=辅助表4销售收入及税金估算表!W13</f>
        <v>0</v>
      </c>
      <c r="W13" s="376">
        <f>=辅助表4销售收入及税金估算表!X13</f>
        <v>0</v>
      </c>
      <c r="X13" s="376">
        <f>=辅助表4销售收入及税金估算表!Y13</f>
        <v>0</v>
      </c>
      <c r="Y13" s="376">
        <f>=辅助表4销售收入及税金估算表!Z13</f>
        <v>0</v>
      </c>
      <c r="Z13" s="399" t="s">
        <v>747</v>
      </c>
    </row>
    <row r="14" spans="1:26" s="699" customFormat="true" ht="12" customHeight="true">
      <c r="A14" s="397">
        <v>4</v>
      </c>
      <c r="B14" s="398" t="s">
        <v>748</v>
      </c>
      <c r="C14" s="376">
        <f>=SUM(D14:Y14)</f>
        <v>10813.3378669797</v>
      </c>
      <c r="D14" s="376">
        <f>=评估表4总成本费用表!D55</f>
        <v>0</v>
      </c>
      <c r="E14" s="376">
        <f>=评估表4总成本费用表!E55</f>
        <v>0</v>
      </c>
      <c r="F14" s="376">
        <f>=评估表4总成本费用表!F55</f>
        <v>418.712805591448</v>
      </c>
      <c r="G14" s="376">
        <f>=评估表4总成本费用表!G55</f>
        <v>823.598795496203</v>
      </c>
      <c r="H14" s="376">
        <f>=评估表4总成本费用表!H55</f>
        <v>795.531369792352</v>
      </c>
      <c r="I14" s="376">
        <f>=评估表4总成本费用表!I55</f>
        <v>769.700148902929</v>
      </c>
      <c r="J14" s="376">
        <f>=评估表4总成本费用表!J55</f>
        <v>740.162189077177</v>
      </c>
      <c r="K14" s="376">
        <f>=评估表4总成本费用表!K55</f>
        <v>712.937812356605</v>
      </c>
      <c r="L14" s="376">
        <f>=评估表4总成本费用表!L55</f>
        <v>682.357868126668</v>
      </c>
      <c r="M14" s="376">
        <f>=评估表4总成本费用表!M55</f>
        <v>650.512537396945</v>
      </c>
      <c r="N14" s="376">
        <f>=评估表4总成本费用表!N55</f>
        <v>618.314161880971</v>
      </c>
      <c r="O14" s="376">
        <f>=评估表4总成本费用表!O55</f>
        <v>588.695050793373</v>
      </c>
      <c r="P14" s="376">
        <f>=评估表4总成本费用表!P55</f>
        <v>561.66432094055</v>
      </c>
      <c r="Q14" s="376">
        <f>=评估表4总成本费用表!Q55</f>
        <v>532.416511382093</v>
      </c>
      <c r="R14" s="376">
        <f>=评估表4总成本费用表!R55</f>
        <v>364.841786905301</v>
      </c>
      <c r="S14" s="376">
        <f>=评估表4总成本费用表!S55</f>
        <v>364.841786905301</v>
      </c>
      <c r="T14" s="376">
        <f>=评估表4总成本费用表!T55</f>
        <v>364.841786905301</v>
      </c>
      <c r="U14" s="376">
        <f>=评估表4总成本费用表!U55</f>
        <v>364.841786905301</v>
      </c>
      <c r="V14" s="376">
        <f>=评估表4总成本费用表!V55</f>
        <v>364.841786905301</v>
      </c>
      <c r="W14" s="376">
        <f>=评估表4总成本费用表!W55</f>
        <v>364.841786905301</v>
      </c>
      <c r="X14" s="376">
        <f>=评估表4总成本费用表!X55</f>
        <v>364.841786905301</v>
      </c>
      <c r="Y14" s="376">
        <f>=评估表4总成本费用表!Y55</f>
        <v>364.841786905301</v>
      </c>
      <c r="Z14" s="188" t="s">
        <v>644</v>
      </c>
    </row>
    <row r="15" spans="1:25" s="699" customFormat="true" ht="12" customHeight="true">
      <c r="A15" s="397">
        <v>5</v>
      </c>
      <c r="B15" s="398" t="s">
        <v>749</v>
      </c>
      <c r="C15" s="376">
        <f>=SUM(D15:Y15)</f>
        <v>0</v>
      </c>
      <c r="D15" s="400" t="s"/>
      <c r="E15" s="400" t="s"/>
      <c r="F15" s="400" t="s"/>
      <c r="G15" s="400" t="s"/>
      <c r="H15" s="400" t="s"/>
      <c r="I15" s="400" t="s"/>
      <c r="J15" s="400" t="s"/>
      <c r="K15" s="400" t="s"/>
      <c r="L15" s="400" t="s"/>
      <c r="M15" s="400" t="s"/>
      <c r="N15" s="400" t="s"/>
      <c r="O15" s="400" t="s"/>
      <c r="P15" s="400" t="s"/>
      <c r="Q15" s="400" t="s"/>
      <c r="R15" s="400" t="s"/>
      <c r="S15" s="400" t="s"/>
      <c r="T15" s="400" t="s"/>
      <c r="U15" s="400" t="s"/>
      <c r="V15" s="400" t="s"/>
      <c r="W15" s="400" t="s"/>
      <c r="X15" s="400" t="s"/>
      <c r="Y15" s="400" t="s"/>
    </row>
    <row r="16" spans="1:25" s="699" customFormat="true" ht="12" customHeight="true">
      <c r="A16" s="397">
        <v>6</v>
      </c>
      <c r="B16" s="398" t="s">
        <v>750</v>
      </c>
      <c r="C16" s="376">
        <f>=SUM(D16:Y16)</f>
        <v>2727.31663037247</v>
      </c>
      <c r="D16" s="376">
        <f>=D11-D12-D13-D14+D15</f>
        <v>0</v>
      </c>
      <c r="E16" s="376">
        <f>=E11-E12-E13-E14+E15</f>
        <v>0</v>
      </c>
      <c r="F16" s="376">
        <f>=F11-F12-F13-F14+F15</f>
        <v>196.732236174153</v>
      </c>
      <c r="G16" s="376">
        <f>=G11-G12-G13-G14+G15</f>
        <v>405.071016146677</v>
      </c>
      <c r="H16" s="376">
        <f>=H11-H12-H13-H14+H15</f>
        <v>435.011221311008</v>
      </c>
      <c r="I16" s="376">
        <f>=I11-I12-I13-I14+I15</f>
        <v>462.715221660911</v>
      </c>
      <c r="J16" s="376">
        <f>=J11-J12-J13-J14+J15</f>
        <v>494.125960947143</v>
      </c>
      <c r="K16" s="376">
        <f>=K11-K12-K13-K14+K15</f>
        <v>521.468117128196</v>
      </c>
      <c r="L16" s="376">
        <f>=L11-L12-L13-L14+L15</f>
        <v>550.410840818612</v>
      </c>
      <c r="M16" s="376">
        <f>=M11-M12-M13-M14+M15</f>
        <v>564.25255639934</v>
      </c>
      <c r="N16" s="376">
        <f>=N11-N12-N13-N14+N15</f>
        <v>463.169336805802</v>
      </c>
      <c r="O16" s="376">
        <f>=O11-O12-O13-O14+O15</f>
        <v>491.358415439856</v>
      </c>
      <c r="P16" s="376">
        <f>=P11-P12-P13-P14+P15</f>
        <v>516.959112839133</v>
      </c>
      <c r="Q16" s="376">
        <f>=Q11-Q12-Q13-Q14+Q15</f>
        <v>544.776889944045</v>
      </c>
      <c r="R16" s="376">
        <f>=R11-R12-R13-R14+R15</f>
        <v>-364.841786905301</v>
      </c>
      <c r="S16" s="376">
        <f>=S11-S12-S13-S14+S15</f>
        <v>-364.841786905301</v>
      </c>
      <c r="T16" s="376">
        <f>=T11-T12-T13-T14+T15</f>
        <v>-364.841786905301</v>
      </c>
      <c r="U16" s="376">
        <f>=U11-U12-U13-U14+U15</f>
        <v>-364.841786905301</v>
      </c>
      <c r="V16" s="376">
        <f>=V11-V12-V13-V14+V15</f>
        <v>-364.841786905301</v>
      </c>
      <c r="W16" s="376">
        <f>=W11-W12-W13-W14+W15</f>
        <v>-364.841786905301</v>
      </c>
      <c r="X16" s="376">
        <f>=X11-X12-X13-X14+X15</f>
        <v>-364.841786905301</v>
      </c>
      <c r="Y16" s="376">
        <f>=Y11-Y12-Y13-Y14+Y15</f>
        <v>-364.841786905301</v>
      </c>
    </row>
    <row r="17" spans="1:25" s="699" customFormat="true" ht="12" customHeight="true">
      <c r="A17" s="397">
        <v>7</v>
      </c>
      <c r="B17" s="398" t="s">
        <v>751</v>
      </c>
      <c r="C17" s="376">
        <f>=SUM(D17:Y17)</f>
        <v>0</v>
      </c>
      <c r="D17" s="401" t="s"/>
      <c r="E17" s="401" t="s"/>
      <c r="F17" s="401" t="s"/>
      <c r="G17" s="401" t="s"/>
      <c r="H17" s="401" t="s"/>
      <c r="I17" s="401" t="s"/>
      <c r="J17" s="401" t="s"/>
      <c r="K17" s="401" t="s"/>
      <c r="L17" s="401" t="s"/>
      <c r="M17" s="401" t="s"/>
      <c r="N17" s="401" t="s"/>
      <c r="O17" s="401" t="s"/>
      <c r="P17" s="401" t="s"/>
      <c r="Q17" s="401" t="s"/>
      <c r="R17" s="401" t="s"/>
      <c r="S17" s="401" t="s"/>
      <c r="T17" s="401" t="s"/>
      <c r="U17" s="401" t="s"/>
      <c r="V17" s="401" t="s"/>
      <c r="W17" s="401" t="s"/>
      <c r="X17" s="401" t="s"/>
      <c r="Y17" s="401" t="s"/>
    </row>
    <row r="18" spans="1:25" s="699" customFormat="true" ht="12" customHeight="true">
      <c r="A18" s="397">
        <v>8</v>
      </c>
      <c r="B18" s="398" t="s">
        <v>752</v>
      </c>
      <c r="C18" s="376">
        <f>=SUM(D18:Y18)</f>
        <v>5646.05092561487</v>
      </c>
      <c r="D18" s="376">
        <f>=IF(D16&gt;=0,D16-D17,0)</f>
        <v>0</v>
      </c>
      <c r="E18" s="376">
        <f>=IF(E16&gt;=0,E16-E17,0)</f>
        <v>0</v>
      </c>
      <c r="F18" s="376">
        <f>=IF(F16&gt;=0,F16-F17,0)</f>
        <v>196.732236174153</v>
      </c>
      <c r="G18" s="376">
        <f>=IF(G16&gt;=0,G16-G17,0)</f>
        <v>405.071016146677</v>
      </c>
      <c r="H18" s="376">
        <f>=IF(H16&gt;=0,H16-H17,0)</f>
        <v>435.011221311008</v>
      </c>
      <c r="I18" s="376">
        <f>=IF(I16&gt;=0,I16-I17,0)</f>
        <v>462.715221660911</v>
      </c>
      <c r="J18" s="376">
        <f>=IF(J16&gt;=0,J16-J17,0)</f>
        <v>494.125960947143</v>
      </c>
      <c r="K18" s="376">
        <f>=IF(K16&gt;=0,K16-K17,0)</f>
        <v>521.468117128196</v>
      </c>
      <c r="L18" s="376">
        <f>=IF(L16&gt;=0,L16-L17,0)</f>
        <v>550.410840818612</v>
      </c>
      <c r="M18" s="376">
        <f>=IF(M16&gt;=0,M16-M17,0)</f>
        <v>564.25255639934</v>
      </c>
      <c r="N18" s="376">
        <f>=IF(N16&gt;=0,N16-N17,0)</f>
        <v>463.169336805802</v>
      </c>
      <c r="O18" s="376">
        <f>=IF(O16&gt;=0,O16-O17,0)</f>
        <v>491.358415439856</v>
      </c>
      <c r="P18" s="376">
        <f>=IF(P16&gt;=0,P16-P17,0)</f>
        <v>516.959112839133</v>
      </c>
      <c r="Q18" s="376">
        <f>=IF(Q16&gt;=0,Q16-Q17,0)</f>
        <v>544.776889944045</v>
      </c>
      <c r="R18" s="376">
        <f>=IF(R16&gt;=0,R16-R17,0)</f>
        <v>0</v>
      </c>
      <c r="S18" s="376">
        <f>=IF(S16&gt;=0,S16-S17,0)</f>
        <v>0</v>
      </c>
      <c r="T18" s="376">
        <f>=IF(T16&gt;=0,T16-T17,0)</f>
        <v>0</v>
      </c>
      <c r="U18" s="376">
        <f>=IF(U16&gt;=0,U16-U17,0)</f>
        <v>0</v>
      </c>
      <c r="V18" s="376">
        <f>=IF(V16&gt;=0,V16-V17,0)</f>
        <v>0</v>
      </c>
      <c r="W18" s="376">
        <f>=IF(W16&gt;=0,W16-W17,0)</f>
        <v>0</v>
      </c>
      <c r="X18" s="376">
        <f>=IF(X16&gt;=0,X16-X17,0)</f>
        <v>0</v>
      </c>
      <c r="Y18" s="376">
        <f>=IF(Y16&gt;=0,Y16-Y17,0)</f>
        <v>0</v>
      </c>
    </row>
    <row r="19" spans="1:26" s="699" customFormat="true" ht="12" customHeight="true">
      <c r="A19" s="397" t="s"/>
      <c r="B19" s="402" t="s">
        <v>753</v>
      </c>
      <c r="C19" s="401" t="s"/>
      <c r="D19" s="403">
        <f>=辅助表1评估项目基础数据表!$F$7</f>
        <v>0.25</v>
      </c>
      <c r="E19" s="403">
        <v>0.01</v>
      </c>
      <c r="F19" s="403">
        <f>=辅助表1评估项目基础数据表!$F$7</f>
        <v>0.25</v>
      </c>
      <c r="G19" s="403">
        <f>=辅助表1评估项目基础数据表!$F$7</f>
        <v>0.25</v>
      </c>
      <c r="H19" s="403">
        <f>=辅助表1评估项目基础数据表!$F$7</f>
        <v>0.25</v>
      </c>
      <c r="I19" s="403">
        <f>=辅助表1评估项目基础数据表!$F$7</f>
        <v>0.25</v>
      </c>
      <c r="J19" s="403">
        <f>=辅助表1评估项目基础数据表!$F$7</f>
        <v>0.25</v>
      </c>
      <c r="K19" s="403">
        <f>=辅助表1评估项目基础数据表!$F$7</f>
        <v>0.25</v>
      </c>
      <c r="L19" s="403">
        <f>=辅助表1评估项目基础数据表!$F$7</f>
        <v>0.25</v>
      </c>
      <c r="M19" s="403">
        <f>=辅助表1评估项目基础数据表!$F$7</f>
        <v>0.25</v>
      </c>
      <c r="N19" s="403">
        <f>=辅助表1评估项目基础数据表!$F$7</f>
        <v>0.25</v>
      </c>
      <c r="O19" s="403">
        <f>=辅助表1评估项目基础数据表!$F$7</f>
        <v>0.25</v>
      </c>
      <c r="P19" s="403">
        <f>=辅助表1评估项目基础数据表!$F$7</f>
        <v>0.25</v>
      </c>
      <c r="Q19" s="403">
        <f>=辅助表1评估项目基础数据表!$F$7</f>
        <v>0.25</v>
      </c>
      <c r="R19" s="403">
        <f>=辅助表1评估项目基础数据表!$F$7</f>
        <v>0.25</v>
      </c>
      <c r="S19" s="403">
        <f>=辅助表1评估项目基础数据表!$F$7</f>
        <v>0.25</v>
      </c>
      <c r="T19" s="403">
        <f>=辅助表1评估项目基础数据表!$F$7</f>
        <v>0.25</v>
      </c>
      <c r="U19" s="403">
        <f>=辅助表1评估项目基础数据表!$F$7</f>
        <v>0.25</v>
      </c>
      <c r="V19" s="403">
        <f>=辅助表1评估项目基础数据表!$F$7</f>
        <v>0.25</v>
      </c>
      <c r="W19" s="403">
        <f>=辅助表1评估项目基础数据表!$F$7</f>
        <v>0.25</v>
      </c>
      <c r="X19" s="403">
        <f>=辅助表1评估项目基础数据表!$F$7</f>
        <v>0.25</v>
      </c>
      <c r="Y19" s="403">
        <f>=辅助表1评估项目基础数据表!$F$7</f>
        <v>0.25</v>
      </c>
      <c r="Z19" s="399" t="s">
        <v>585</v>
      </c>
    </row>
    <row r="20" spans="1:26" s="699" customFormat="true" ht="12" customHeight="true">
      <c r="A20" s="397">
        <v>9</v>
      </c>
      <c r="B20" s="402" t="s">
        <v>754</v>
      </c>
      <c r="C20" s="376">
        <f>=SUM(D20:Y20)</f>
        <v>1411.51273140372</v>
      </c>
      <c r="D20" s="376">
        <f>=D18*D19</f>
        <v>0</v>
      </c>
      <c r="E20" s="376">
        <f>=E18*E19</f>
        <v>0</v>
      </c>
      <c r="F20" s="376">
        <f>=F18*F19</f>
        <v>49.1830590435381</v>
      </c>
      <c r="G20" s="376">
        <f>=G18*G19</f>
        <v>101.267754036669</v>
      </c>
      <c r="H20" s="376">
        <f>=H18*H19</f>
        <v>108.752805327752</v>
      </c>
      <c r="I20" s="376">
        <f>=I18*I19</f>
        <v>115.678805415228</v>
      </c>
      <c r="J20" s="376">
        <f>=J18*J19</f>
        <v>123.531490236786</v>
      </c>
      <c r="K20" s="376">
        <f>=K18*K19</f>
        <v>130.367029282049</v>
      </c>
      <c r="L20" s="376">
        <f>=L18*L19</f>
        <v>137.602710204653</v>
      </c>
      <c r="M20" s="376">
        <f>=M18*M19</f>
        <v>141.063139099835</v>
      </c>
      <c r="N20" s="376">
        <f>=N18*N19</f>
        <v>115.792334201451</v>
      </c>
      <c r="O20" s="376">
        <f>=O18*O19</f>
        <v>122.839603859964</v>
      </c>
      <c r="P20" s="376">
        <f>=P18*P19</f>
        <v>129.239778209783</v>
      </c>
      <c r="Q20" s="376">
        <f>=Q18*Q19</f>
        <v>136.194222486011</v>
      </c>
      <c r="R20" s="376">
        <f>=R18*R19</f>
        <v>0</v>
      </c>
      <c r="S20" s="376">
        <f>=S18*S19</f>
        <v>0</v>
      </c>
      <c r="T20" s="376">
        <f>=T18*T19</f>
        <v>0</v>
      </c>
      <c r="U20" s="376">
        <f>=U18*U19</f>
        <v>0</v>
      </c>
      <c r="V20" s="376">
        <f>=V18*V19</f>
        <v>0</v>
      </c>
      <c r="W20" s="376">
        <f>=W18*W19</f>
        <v>0</v>
      </c>
      <c r="X20" s="376">
        <f>=X18*X19</f>
        <v>0</v>
      </c>
      <c r="Y20" s="376">
        <f>=Y18*Y19</f>
        <v>0</v>
      </c>
      <c r="Z20" s="399" t="s">
        <v>755</v>
      </c>
    </row>
    <row r="21" spans="1:25" s="699" customFormat="true" ht="12" customHeight="true">
      <c r="A21" s="397">
        <v>10</v>
      </c>
      <c r="B21" s="402" t="s">
        <v>756</v>
      </c>
      <c r="C21" s="376">
        <f>=SUM(D21:Y21)</f>
        <v>1315.80389896875</v>
      </c>
      <c r="D21" s="376">
        <f>=D16-D20</f>
        <v>0</v>
      </c>
      <c r="E21" s="376">
        <f>=E16-E20</f>
        <v>0</v>
      </c>
      <c r="F21" s="376">
        <f>=F16-F20</f>
        <v>147.549177130614</v>
      </c>
      <c r="G21" s="376">
        <f>=G16-G20</f>
        <v>303.803262110008</v>
      </c>
      <c r="H21" s="376">
        <f>=H16-H20</f>
        <v>326.258415983256</v>
      </c>
      <c r="I21" s="376">
        <f>=I16-I20</f>
        <v>347.036416245683</v>
      </c>
      <c r="J21" s="376">
        <f>=J16-J20</f>
        <v>370.594470710357</v>
      </c>
      <c r="K21" s="376">
        <f>=K16-K20</f>
        <v>391.101087846147</v>
      </c>
      <c r="L21" s="376">
        <f>=L16-L20</f>
        <v>412.808130613959</v>
      </c>
      <c r="M21" s="376">
        <f>=M16-M20</f>
        <v>423.189417299505</v>
      </c>
      <c r="N21" s="376">
        <f>=N16-N20</f>
        <v>347.377002604352</v>
      </c>
      <c r="O21" s="376">
        <f>=O16-O20</f>
        <v>368.518811579892</v>
      </c>
      <c r="P21" s="376">
        <f>=P16-P20</f>
        <v>387.71933462935</v>
      </c>
      <c r="Q21" s="376">
        <f>=Q16-Q20</f>
        <v>408.582667458034</v>
      </c>
      <c r="R21" s="376">
        <f>=R16-R20</f>
        <v>-364.841786905301</v>
      </c>
      <c r="S21" s="376">
        <f>=S16-S20</f>
        <v>-364.841786905301</v>
      </c>
      <c r="T21" s="376">
        <f>=T16-T20</f>
        <v>-364.841786905301</v>
      </c>
      <c r="U21" s="376">
        <f>=U16-U20</f>
        <v>-364.841786905301</v>
      </c>
      <c r="V21" s="376">
        <f>=V16-V20</f>
        <v>-364.841786905301</v>
      </c>
      <c r="W21" s="376">
        <f>=W16-W20</f>
        <v>-364.841786905301</v>
      </c>
      <c r="X21" s="376">
        <f>=X16-X20</f>
        <v>-364.841786905301</v>
      </c>
      <c r="Y21" s="376">
        <f>=Y16-Y20</f>
        <v>-364.841786905301</v>
      </c>
    </row>
    <row r="22" spans="1:25" s="699" customFormat="true" ht="12" customHeight="true">
      <c r="A22" s="397" t="s"/>
      <c r="B22" s="402" t="s">
        <v>757</v>
      </c>
      <c r="C22" s="376">
        <f>=SUM(D22:Y22)</f>
        <v>0</v>
      </c>
      <c r="D22" s="376" t="s"/>
      <c r="E22" s="376">
        <f>=IF(E21&gt;=0,IF(D23&lt;0,IF(E16-E17&gt;0,IF(D23+E21&lt;0,E21-E17,-(D23+E17)),0),0),0)</f>
        <v>0</v>
      </c>
      <c r="F22" s="404">
        <f>=IF(F21&gt;=0,IF(E23&lt;0,IF(F16-F17&gt;0,IF(E23+F21&lt;0,F21-F17,-(E23+F17)),0),0),0)</f>
        <v>0</v>
      </c>
      <c r="G22" s="376">
        <f>=IF(G21&gt;=0,IF(F23&lt;0,IF(G16-G17&gt;0,IF(F23+G21&lt;0,G21-G17,-(F23+G17)),0),0),0)</f>
        <v>0</v>
      </c>
      <c r="H22" s="376">
        <f>=IF(H21&gt;=0,IF(G23&lt;0,IF(H16-H17&gt;0,IF(G23+H21&lt;0,H21-H17,-(G23+H17)),0),0),0)</f>
        <v>0</v>
      </c>
      <c r="I22" s="376">
        <f>=IF(I21&gt;=0,IF(H23&lt;0,IF(I16-I17&gt;0,IF(H23+I21&lt;0,I21-I17,-(H23+I17)),0),0),0)</f>
        <v>0</v>
      </c>
      <c r="J22" s="376">
        <f>=IF(J21&gt;=0,IF(I23&lt;0,IF(J16-J17&gt;0,IF(I23+J21&lt;0,J21-J17,-(I23+J17)),0),0),0)</f>
        <v>0</v>
      </c>
      <c r="K22" s="376">
        <f>=IF(K21&gt;=0,IF(J23&lt;0,IF(K16-K17&gt;0,IF(J23+K21&lt;0,K21-K17,-(J23+K17)),0),0),0)</f>
        <v>0</v>
      </c>
      <c r="L22" s="376">
        <f>=IF(L21&gt;=0,IF(K23&lt;0,IF(L16-L17&gt;0,IF(K23+L21&lt;0,L21-L17,-(K23+L17)),0),0),0)</f>
        <v>0</v>
      </c>
      <c r="M22" s="376">
        <f>=IF(M21&gt;=0,IF(L23&lt;0,IF(M16-M17&gt;0,IF(L23+M21&lt;0,M21-M17,-(L23+M17)),0),0),0)</f>
        <v>0</v>
      </c>
      <c r="N22" s="376">
        <f>=IF(N21&gt;=0,IF(M23&lt;0,IF(N16-N17&gt;0,IF(M23+N21&lt;0,N21-N17,-(M23+N17)),0),0),0)</f>
        <v>0</v>
      </c>
      <c r="O22" s="376">
        <f>=IF(O21&gt;=0,IF(N23&lt;0,IF(O16-O17&gt;0,IF(N23+O21&lt;0,O21-O17,-(N23+O17)),0),0),0)</f>
        <v>0</v>
      </c>
      <c r="P22" s="376">
        <f>=IF(P21&gt;=0,IF(O23&lt;0,IF(P16-P17&gt;0,IF(O23+P21&lt;0,P21-P17,-(O23+P17)),0),0),0)</f>
        <v>0</v>
      </c>
      <c r="Q22" s="376">
        <f>=IF(Q21&gt;=0,IF(P23&lt;0,IF(Q16-Q17&gt;0,IF(P23+Q21&lt;0,Q21-Q17,-(P23+Q17)),0),0),0)</f>
        <v>0</v>
      </c>
      <c r="R22" s="376">
        <f>=IF(R21&gt;=0,IF(Q23&lt;0,IF(R16-R17&gt;0,IF(Q23+R21&lt;0,R21-R17,-(Q23+R17)),0),0),0)</f>
        <v>0</v>
      </c>
      <c r="S22" s="376">
        <f>=IF(S21&gt;=0,IF(R23&lt;0,IF(S16-S17&gt;0,IF(R23+S21&lt;0,S21-S17,-(R23+S17)),0),0),0)</f>
        <v>0</v>
      </c>
      <c r="T22" s="376">
        <f>=IF(T21&gt;=0,IF(S23&lt;0,IF(T16-T17&gt;0,IF(S23+T21&lt;0,T21-T17,-(S23+T17)),0),0),0)</f>
        <v>0</v>
      </c>
      <c r="U22" s="376">
        <f>=IF(U21&gt;=0,IF(T23&lt;0,IF(U16-U17&gt;0,IF(T23+U21&lt;0,U21-U17,-(T23+U17)),0),0),0)</f>
        <v>0</v>
      </c>
      <c r="V22" s="376">
        <f>=IF(V21&gt;=0,IF(U23&lt;0,IF(V16-V17&gt;0,IF(U23+V21&lt;0,V21-V17,-(U23+V17)),0),0),0)</f>
        <v>0</v>
      </c>
      <c r="W22" s="376">
        <f>=IF(W21&gt;=0,IF(V23&lt;0,IF(W16-W17&gt;0,IF(V23+W21&lt;0,W21-W17,-(V23+W17)),0),0),0)</f>
        <v>0</v>
      </c>
      <c r="X22" s="376">
        <f>=IF(X21&gt;=0,IF(W23&lt;0,IF(X16-X17&gt;0,IF(W23+X21&lt;0,X21-X17,-(W23+X17)),0),0),0)</f>
        <v>0</v>
      </c>
      <c r="Y22" s="376">
        <f>=IF(Y21&gt;=0,IF(X23&lt;0,IF(Y16-Y17&gt;0,IF(X23+Y21&lt;0,Y21-Y17,-(X23+Y17)),0),0),0)</f>
        <v>0</v>
      </c>
    </row>
    <row r="23" spans="1:25" s="699" customFormat="true" ht="12" customHeight="true">
      <c r="A23" s="397" t="s"/>
      <c r="B23" s="402" t="s">
        <v>758</v>
      </c>
      <c r="C23" s="401" t="s"/>
      <c r="D23" s="376">
        <f>=IF(D16&lt;0,D16,0)</f>
        <v>0</v>
      </c>
      <c r="E23" s="376">
        <f>=IF(E16&lt;0,D23+E16,D23+E17+E22)</f>
        <v>0</v>
      </c>
      <c r="F23" s="376">
        <f>=IF(F16&lt;0,E23+F16,E23+F17+F22)</f>
        <v>0</v>
      </c>
      <c r="G23" s="376">
        <f>=IF(G16&lt;0,F23+G16,F23+G17+G22)</f>
        <v>0</v>
      </c>
      <c r="H23" s="376">
        <f>=IF(H16&lt;0,G23+H16,G23+H17+H22)</f>
        <v>0</v>
      </c>
      <c r="I23" s="376">
        <f>=IF(I16&lt;0,H23+I16,H23+I17+I22)</f>
        <v>0</v>
      </c>
      <c r="J23" s="376">
        <f>=IF(J16&lt;0,I23+J16,I23+J17+J22)</f>
        <v>0</v>
      </c>
      <c r="K23" s="376">
        <f>=IF(K16&lt;0,J23+K16,J23+K17+K22)</f>
        <v>0</v>
      </c>
      <c r="L23" s="376">
        <f>=IF(L16&lt;0,K23+L16,K23+L17+L22)</f>
        <v>0</v>
      </c>
      <c r="M23" s="376">
        <f>=IF(M16&lt;0,L23+M16,L23+M17+M22)</f>
        <v>0</v>
      </c>
      <c r="N23" s="376">
        <f>=IF(N16&lt;0,M23+N16,M23+N17+N22)</f>
        <v>0</v>
      </c>
      <c r="O23" s="376">
        <f>=IF(O16&lt;0,N23+O16,N23+O17+O22)</f>
        <v>0</v>
      </c>
      <c r="P23" s="376">
        <f>=IF(P16&lt;0,O23+P16,O23+P17+P22)</f>
        <v>0</v>
      </c>
      <c r="Q23" s="376">
        <f>=IF(Q16&lt;0,P23+Q16,P23+Q17+Q22)</f>
        <v>0</v>
      </c>
      <c r="R23" s="376">
        <f>=IF(R16&lt;0,Q23+R16,Q23+R17+R22)</f>
        <v>-364.841786905301</v>
      </c>
      <c r="S23" s="376">
        <f>=IF(S16&lt;0,R23+S16,R23+S17+S22)</f>
        <v>-729.683573810602</v>
      </c>
      <c r="T23" s="376">
        <f>=IF(T16&lt;0,S23+T16,S23+T17+T22)</f>
        <v>-1094.5253607159</v>
      </c>
      <c r="U23" s="376">
        <f>=IF(U16&lt;0,T23+U16,T23+U17+U22)</f>
        <v>-1459.3671476212</v>
      </c>
      <c r="V23" s="376">
        <f>=IF(V16&lt;0,U23+V16,U23+V17+V22)</f>
        <v>-1824.2089345265</v>
      </c>
      <c r="W23" s="376">
        <f>=IF(W16&lt;0,V23+W16,V23+W17+W22)</f>
        <v>-2189.05072143181</v>
      </c>
      <c r="X23" s="376">
        <f>=IF(X16&lt;0,W23+X16,W23+X17+X22)</f>
        <v>-2553.89250833711</v>
      </c>
      <c r="Y23" s="376">
        <f>=IF(Y16&lt;0,X23+Y16,X23+Y17+Y22)</f>
        <v>-2918.73429524241</v>
      </c>
    </row>
    <row r="24" spans="1:25" s="699" customFormat="true" ht="12" customHeight="true">
      <c r="A24" s="397">
        <v>11</v>
      </c>
      <c r="B24" s="402" t="s">
        <v>759</v>
      </c>
      <c r="C24" s="376">
        <f>=SUM(D24:Y24)</f>
        <v>423.453819421116</v>
      </c>
      <c r="D24" s="376">
        <f>=IF(D21&gt;=0,(D21-D17-D22)*辅助表1评估项目基础数据表!$F$8,0)</f>
        <v>0</v>
      </c>
      <c r="E24" s="376">
        <f>=IF(E21&gt;=0,(E21-E17-E22)*辅助表1评估项目基础数据表!$F$8,0)</f>
        <v>0</v>
      </c>
      <c r="F24" s="405">
        <f>=IF(F21&gt;=0,(F21-F17-F22)*辅助表1评估项目基础数据表!$F$8,0)</f>
        <v>14.7549177130614</v>
      </c>
      <c r="G24" s="376">
        <f>=IF(G21&gt;=0,(G21-G17-G22)*辅助表1评估项目基础数据表!$F$8,0)</f>
        <v>30.3803262110008</v>
      </c>
      <c r="H24" s="376">
        <f>=IF(H21&gt;=0,(H21-H17-H22)*辅助表1评估项目基础数据表!$F$8,0)</f>
        <v>32.6258415983256</v>
      </c>
      <c r="I24" s="376">
        <f>=IF(I21&gt;=0,(I21-I17-I22)*辅助表1评估项目基础数据表!$F$8,0)</f>
        <v>34.7036416245683</v>
      </c>
      <c r="J24" s="376">
        <f>=IF(J21&gt;=0,(J21-J17-J22)*辅助表1评估项目基础数据表!$F$8,0)</f>
        <v>37.0594470710357</v>
      </c>
      <c r="K24" s="376">
        <f>=IF(K21&gt;=0,(K21-K17-K22)*辅助表1评估项目基础数据表!$F$8,0)</f>
        <v>39.1101087846147</v>
      </c>
      <c r="L24" s="376">
        <f>=IF(L21&gt;=0,(L21-L17-L22)*辅助表1评估项目基础数据表!$F$8,0)</f>
        <v>41.2808130613959</v>
      </c>
      <c r="M24" s="376">
        <f>=IF(M21&gt;=0,(M21-M17-M22)*辅助表1评估项目基础数据表!$F$8,0)</f>
        <v>42.3189417299505</v>
      </c>
      <c r="N24" s="376">
        <f>=IF(N21&gt;=0,(N21-N17-N22)*辅助表1评估项目基础数据表!$F$8,0)</f>
        <v>34.7377002604352</v>
      </c>
      <c r="O24" s="376">
        <f>=IF(O21&gt;=0,(O21-O17-O22)*辅助表1评估项目基础数据表!$F$8,0)</f>
        <v>36.8518811579892</v>
      </c>
      <c r="P24" s="376">
        <f>=IF(P21&gt;=0,(P21-P17-P22)*辅助表1评估项目基础数据表!$F$8,0)</f>
        <v>38.771933462935</v>
      </c>
      <c r="Q24" s="376">
        <f>=IF(Q21&gt;=0,(Q21-Q17-Q22)*辅助表1评估项目基础数据表!$F$8,0)</f>
        <v>40.8582667458034</v>
      </c>
      <c r="R24" s="376">
        <f>=IF(R21&gt;=0,(R21-R17-R22)*辅助表1评估项目基础数据表!$F$8,0)</f>
        <v>0</v>
      </c>
      <c r="S24" s="376">
        <f>=IF(S21&gt;=0,(S21-S17-S22)*辅助表1评估项目基础数据表!$F$8,0)</f>
        <v>0</v>
      </c>
      <c r="T24" s="376">
        <f>=IF(T21&gt;=0,(T21-T17-T22)*辅助表1评估项目基础数据表!$F$8,0)</f>
        <v>0</v>
      </c>
      <c r="U24" s="376">
        <f>=IF(U21&gt;=0,(U21-U17-U22)*辅助表1评估项目基础数据表!$F$8,0)</f>
        <v>0</v>
      </c>
      <c r="V24" s="376">
        <f>=IF(V21&gt;=0,(V21-V17-V22)*辅助表1评估项目基础数据表!$F$8,0)</f>
        <v>0</v>
      </c>
      <c r="W24" s="376">
        <f>=IF(W21&gt;=0,(W21-W17-W22)*辅助表1评估项目基础数据表!$F$8,0)</f>
        <v>0</v>
      </c>
      <c r="X24" s="376">
        <f>=IF(X21&gt;=0,(X21-X17-X22)*辅助表1评估项目基础数据表!$F$8,0)</f>
        <v>0</v>
      </c>
      <c r="Y24" s="376">
        <f>=IF(Y21&gt;=0,(Y21-Y17-Y22)*辅助表1评估项目基础数据表!$F$8,0)</f>
        <v>0</v>
      </c>
    </row>
    <row r="25" spans="1:25" s="699" customFormat="true" ht="12" customHeight="true">
      <c r="A25" s="397">
        <v>12</v>
      </c>
      <c r="B25" s="402" t="s">
        <v>760</v>
      </c>
      <c r="C25" s="376">
        <f>=SUM(D25:Y25)</f>
        <v>0</v>
      </c>
      <c r="D25" s="376">
        <f>=IF(D21&gt;=0,(D21-D17-D22)*辅助表1评估项目基础数据表!$F$9,0)</f>
        <v>0</v>
      </c>
      <c r="E25" s="376">
        <f>=IF(E21&gt;=0,(E21-E17-E22)*辅助表1评估项目基础数据表!$F$9,0)</f>
        <v>0</v>
      </c>
      <c r="F25" s="376">
        <f>=IF(F21&gt;=0,(F21-F17-F22)*辅助表1评估项目基础数据表!$F$9,0)</f>
        <v>0</v>
      </c>
      <c r="G25" s="376">
        <f>=IF(G21&gt;=0,(G21-G17-G22)*辅助表1评估项目基础数据表!$F$9,0)</f>
        <v>0</v>
      </c>
      <c r="H25" s="376">
        <f>=IF(H21&gt;=0,(H21-H17-H22)*辅助表1评估项目基础数据表!$F$9,0)</f>
        <v>0</v>
      </c>
      <c r="I25" s="376">
        <f>=IF(I21&gt;=0,(I21-I17-I22)*辅助表1评估项目基础数据表!$F$9,0)</f>
        <v>0</v>
      </c>
      <c r="J25" s="376">
        <f>=IF(J21&gt;=0,(J21-J17-J22)*辅助表1评估项目基础数据表!$F$9,0)</f>
        <v>0</v>
      </c>
      <c r="K25" s="376">
        <f>=IF(K21&gt;=0,(K21-K17-K22)*辅助表1评估项目基础数据表!$F$9,0)</f>
        <v>0</v>
      </c>
      <c r="L25" s="376">
        <f>=IF(L21&gt;=0,(L21-L17-L22)*辅助表1评估项目基础数据表!$F$9,0)</f>
        <v>0</v>
      </c>
      <c r="M25" s="376">
        <f>=IF(M21&gt;=0,(M21-M17-M22)*辅助表1评估项目基础数据表!$F$9,0)</f>
        <v>0</v>
      </c>
      <c r="N25" s="376">
        <f>=IF(N21&gt;=0,(N21-N17-N22)*辅助表1评估项目基础数据表!$F$9,0)</f>
        <v>0</v>
      </c>
      <c r="O25" s="376">
        <f>=IF(O21&gt;=0,(O21-O17-O22)*辅助表1评估项目基础数据表!$F$9,0)</f>
        <v>0</v>
      </c>
      <c r="P25" s="376">
        <f>=IF(P21&gt;=0,(P21-P17-P22)*辅助表1评估项目基础数据表!$F$9,0)</f>
        <v>0</v>
      </c>
      <c r="Q25" s="376">
        <f>=IF(Q21&gt;=0,(Q21-Q17-Q22)*辅助表1评估项目基础数据表!$F$9,0)</f>
        <v>0</v>
      </c>
      <c r="R25" s="376">
        <f>=IF(R21&gt;=0,(R21-R17-R22)*辅助表1评估项目基础数据表!$F$9,0)</f>
        <v>0</v>
      </c>
      <c r="S25" s="376">
        <f>=IF(S21&gt;=0,(S21-S17-S22)*辅助表1评估项目基础数据表!$F$9,0)</f>
        <v>0</v>
      </c>
      <c r="T25" s="376">
        <f>=IF(T21&gt;=0,(T21-T17-T22)*辅助表1评估项目基础数据表!$F$9,0)</f>
        <v>0</v>
      </c>
      <c r="U25" s="376">
        <f>=IF(U21&gt;=0,(U21-U17-U22)*辅助表1评估项目基础数据表!$F$9,0)</f>
        <v>0</v>
      </c>
      <c r="V25" s="376">
        <f>=IF(V21&gt;=0,(V21-V17-V22)*辅助表1评估项目基础数据表!$F$9,0)</f>
        <v>0</v>
      </c>
      <c r="W25" s="376">
        <f>=IF(W21&gt;=0,(W21-W17-W22)*辅助表1评估项目基础数据表!$F$9,0)</f>
        <v>0</v>
      </c>
      <c r="X25" s="376">
        <f>=IF(X21&gt;=0,(X21-X17-X22)*辅助表1评估项目基础数据表!$F$9,0)</f>
        <v>0</v>
      </c>
      <c r="Y25" s="376">
        <f>=IF(Y21&gt;=0,(Y21-Y17-Y22)*辅助表1评估项目基础数据表!$F$9,0)</f>
        <v>0</v>
      </c>
    </row>
    <row r="26" spans="1:25" s="699" customFormat="true" ht="12" customHeight="true">
      <c r="A26" s="397">
        <v>13</v>
      </c>
      <c r="B26" s="402" t="s">
        <v>761</v>
      </c>
      <c r="C26" s="376">
        <f>=SUM(D26:Y26)</f>
        <v>0</v>
      </c>
      <c r="D26" s="376">
        <f>=IF(D21&gt;=0,(D21-D17-D22)*辅助表1评估项目基础数据表!$F$10,0)</f>
        <v>0</v>
      </c>
      <c r="E26" s="376">
        <f>=IF(E21&gt;=0,(E21-E17-E22)*辅助表1评估项目基础数据表!$F$10,0)</f>
        <v>0</v>
      </c>
      <c r="F26" s="376">
        <f>=IF(F21&gt;=0,(F21-F17-F22)*辅助表1评估项目基础数据表!$F$10,0)</f>
        <v>0</v>
      </c>
      <c r="G26" s="376">
        <f>=IF(G21&gt;=0,(G21-G17-G22)*辅助表1评估项目基础数据表!$F$10,0)</f>
        <v>0</v>
      </c>
      <c r="H26" s="376">
        <f>=IF(H21&gt;=0,(H21-H17-H22)*辅助表1评估项目基础数据表!$F$10,0)</f>
        <v>0</v>
      </c>
      <c r="I26" s="376">
        <f>=IF(I21&gt;=0,(I21-I17-I22)*辅助表1评估项目基础数据表!$F$10,0)</f>
        <v>0</v>
      </c>
      <c r="J26" s="376">
        <f>=IF(J21&gt;=0,(J21-J17-J22)*辅助表1评估项目基础数据表!$F$10,0)</f>
        <v>0</v>
      </c>
      <c r="K26" s="376">
        <f>=IF(K21&gt;=0,(K21-K17-K22)*辅助表1评估项目基础数据表!$F$10,0)</f>
        <v>0</v>
      </c>
      <c r="L26" s="376">
        <f>=IF(L21&gt;=0,(L21-L17-L22)*辅助表1评估项目基础数据表!$F$10,0)</f>
        <v>0</v>
      </c>
      <c r="M26" s="376">
        <f>=IF(M21&gt;=0,(M21-M17-M22)*辅助表1评估项目基础数据表!$F$10,0)</f>
        <v>0</v>
      </c>
      <c r="N26" s="376">
        <f>=IF(N21&gt;=0,(N21-N17-N22)*辅助表1评估项目基础数据表!$F$10,0)</f>
        <v>0</v>
      </c>
      <c r="O26" s="376">
        <f>=IF(O21&gt;=0,(O21-O17-O22)*辅助表1评估项目基础数据表!$F$10,0)</f>
        <v>0</v>
      </c>
      <c r="P26" s="376">
        <f>=IF(P21&gt;=0,(P21-P17-P22)*辅助表1评估项目基础数据表!$F$10,0)</f>
        <v>0</v>
      </c>
      <c r="Q26" s="376">
        <f>=IF(Q21&gt;=0,(Q21-Q17-Q22)*辅助表1评估项目基础数据表!$F$10,0)</f>
        <v>0</v>
      </c>
      <c r="R26" s="376">
        <f>=IF(R21&gt;=0,(R21-R17-R22)*辅助表1评估项目基础数据表!$F$10,0)</f>
        <v>0</v>
      </c>
      <c r="S26" s="376">
        <f>=IF(S21&gt;=0,(S21-S17-S22)*辅助表1评估项目基础数据表!$F$10,0)</f>
        <v>0</v>
      </c>
      <c r="T26" s="376">
        <f>=IF(T21&gt;=0,(T21-T17-T22)*辅助表1评估项目基础数据表!$F$10,0)</f>
        <v>0</v>
      </c>
      <c r="U26" s="376">
        <f>=IF(U21&gt;=0,(U21-U17-U22)*辅助表1评估项目基础数据表!$F$10,0)</f>
        <v>0</v>
      </c>
      <c r="V26" s="376">
        <f>=IF(V21&gt;=0,(V21-V17-V22)*辅助表1评估项目基础数据表!$F$10,0)</f>
        <v>0</v>
      </c>
      <c r="W26" s="376">
        <f>=IF(W21&gt;=0,(W21-W17-W22)*辅助表1评估项目基础数据表!$F$10,0)</f>
        <v>0</v>
      </c>
      <c r="X26" s="376">
        <f>=IF(X21&gt;=0,(X21-X17-X22)*辅助表1评估项目基础数据表!$F$10,0)</f>
        <v>0</v>
      </c>
      <c r="Y26" s="376">
        <f>=IF(Y21&gt;=0,(Y21-Y17-Y22)*辅助表1评估项目基础数据表!$F$10,0)</f>
        <v>0</v>
      </c>
    </row>
    <row r="27" spans="1:25" s="699" customFormat="true" ht="12" customHeight="true">
      <c r="A27" s="397">
        <v>14</v>
      </c>
      <c r="B27" s="402" t="s">
        <v>762</v>
      </c>
      <c r="C27" s="376">
        <f>=SUM(D27:Y27)</f>
        <v>3811.08437479004</v>
      </c>
      <c r="D27" s="376">
        <f>=IF(D21&gt;=0,D21-D24-D25-D26-D17-D22,0)</f>
        <v>0</v>
      </c>
      <c r="E27" s="376">
        <f>=IF(E21&gt;=0,E21-E24-E25-E26-E17-E22,0)</f>
        <v>0</v>
      </c>
      <c r="F27" s="376">
        <f>=IF(F21&gt;=0,F21-F24-F25-F26-F17-F22,0)</f>
        <v>132.794259417553</v>
      </c>
      <c r="G27" s="376">
        <f>=IF(G21&gt;=0,G21-G24-G25-G26-G17-G22,0)</f>
        <v>273.422935899007</v>
      </c>
      <c r="H27" s="376">
        <f>=IF(H21&gt;=0,H21-H24-H25-H26-H17-H22,0)</f>
        <v>293.63257438493</v>
      </c>
      <c r="I27" s="376">
        <f>=IF(I21&gt;=0,I21-I24-I25-I26-I17-I22,0)</f>
        <v>312.332774621115</v>
      </c>
      <c r="J27" s="376">
        <f>=IF(J21&gt;=0,J21-J24-J25-J26-J17-J22,0)</f>
        <v>333.535023639322</v>
      </c>
      <c r="K27" s="376">
        <f>=IF(K21&gt;=0,K21-K24-K25-K26-K17-K22,0)</f>
        <v>351.990979061532</v>
      </c>
      <c r="L27" s="376">
        <f>=IF(L21&gt;=0,L21-L24-L25-L26-L17-L22,0)</f>
        <v>371.527317552563</v>
      </c>
      <c r="M27" s="376">
        <f>=IF(M21&gt;=0,M21-M24-M25-M26-M17-M22,0)</f>
        <v>380.870475569555</v>
      </c>
      <c r="N27" s="376">
        <f>=IF(N21&gt;=0,N21-N24-N25-N26-N17-N22,0)</f>
        <v>312.639302343917</v>
      </c>
      <c r="O27" s="376">
        <f>=IF(O21&gt;=0,O21-O24-O25-O26-O17-O22,0)</f>
        <v>331.666930421903</v>
      </c>
      <c r="P27" s="376">
        <f>=IF(P21&gt;=0,P21-P24-P25-P26-P17-P22,0)</f>
        <v>348.947401166415</v>
      </c>
      <c r="Q27" s="376">
        <f>=IF(Q21&gt;=0,Q21-Q24-Q25-Q26-Q17-Q22,0)</f>
        <v>367.72440071223</v>
      </c>
      <c r="R27" s="376">
        <f>=IF(R21&gt;=0,R21-R24-R25-R26-R17-R22,0)</f>
        <v>0</v>
      </c>
      <c r="S27" s="376">
        <f>=IF(S21&gt;=0,S21-S24-S25-S26-S17-S22,0)</f>
        <v>0</v>
      </c>
      <c r="T27" s="376">
        <f>=IF(T21&gt;=0,T21-T24-T25-T26-T17-T22,0)</f>
        <v>0</v>
      </c>
      <c r="U27" s="376">
        <f>=IF(U21&gt;=0,U21-U24-U25-U26-U17-U22,0)</f>
        <v>0</v>
      </c>
      <c r="V27" s="376">
        <f>=IF(V21&gt;=0,V21-V24-V25-V26-V17-V22,0)</f>
        <v>0</v>
      </c>
      <c r="W27" s="376">
        <f>=IF(W21&gt;=0,W21-W24-W25-W26-W17-W22,0)</f>
        <v>0</v>
      </c>
      <c r="X27" s="376">
        <f>=IF(X21&gt;=0,X21-X24-X25-X26-X17-X22,0)</f>
        <v>0</v>
      </c>
      <c r="Y27" s="376">
        <f>=IF(Y21&gt;=0,Y21-Y24-Y25-Y26-Y17-Y22,0)</f>
        <v>0</v>
      </c>
    </row>
    <row r="28" spans="1:26" s="699" customFormat="true" ht="12" customHeight="true">
      <c r="A28" s="397">
        <v>15</v>
      </c>
      <c r="B28" s="402" t="s">
        <v>763</v>
      </c>
      <c r="C28" s="376">
        <f>=SUM(D28:Y28)</f>
        <v>0</v>
      </c>
      <c r="D28" s="376">
        <f>=D27*辅助表1评估项目基础数据表!$F$11</f>
        <v>0</v>
      </c>
      <c r="E28" s="376">
        <f>=E27*辅助表1评估项目基础数据表!$F$11</f>
        <v>0</v>
      </c>
      <c r="F28" s="376">
        <f>=F27*辅助表1评估项目基础数据表!$F$11</f>
        <v>0</v>
      </c>
      <c r="G28" s="376">
        <f>=G27*辅助表1评估项目基础数据表!$F$11</f>
        <v>0</v>
      </c>
      <c r="H28" s="376">
        <f>=H27*辅助表1评估项目基础数据表!$F$11</f>
        <v>0</v>
      </c>
      <c r="I28" s="376">
        <f>=I27*辅助表1评估项目基础数据表!$F$11</f>
        <v>0</v>
      </c>
      <c r="J28" s="376">
        <f>=J27*辅助表1评估项目基础数据表!$F$11</f>
        <v>0</v>
      </c>
      <c r="K28" s="376">
        <f>=K27*辅助表1评估项目基础数据表!$F$11</f>
        <v>0</v>
      </c>
      <c r="L28" s="376">
        <f>=L27*辅助表1评估项目基础数据表!$F$11</f>
        <v>0</v>
      </c>
      <c r="M28" s="376">
        <f>=M27*辅助表1评估项目基础数据表!$F$11</f>
        <v>0</v>
      </c>
      <c r="N28" s="376">
        <f>=N27*辅助表1评估项目基础数据表!$F$11</f>
        <v>0</v>
      </c>
      <c r="O28" s="376">
        <f>=O27*辅助表1评估项目基础数据表!$F$11</f>
        <v>0</v>
      </c>
      <c r="P28" s="376">
        <f>=P27*辅助表1评估项目基础数据表!$F$11</f>
        <v>0</v>
      </c>
      <c r="Q28" s="376">
        <f>=Q27*辅助表1评估项目基础数据表!$F$11</f>
        <v>0</v>
      </c>
      <c r="R28" s="376">
        <f>=R27*辅助表1评估项目基础数据表!$F$11</f>
        <v>0</v>
      </c>
      <c r="S28" s="376">
        <f>=S27*辅助表1评估项目基础数据表!$F$11</f>
        <v>0</v>
      </c>
      <c r="T28" s="376">
        <f>=T27*辅助表1评估项目基础数据表!$F$11</f>
        <v>0</v>
      </c>
      <c r="U28" s="376">
        <f>=U27*辅助表1评估项目基础数据表!$F$11</f>
        <v>0</v>
      </c>
      <c r="V28" s="376">
        <f>=V27*辅助表1评估项目基础数据表!$F$11</f>
        <v>0</v>
      </c>
      <c r="W28" s="376">
        <f>=W27*辅助表1评估项目基础数据表!$F$11</f>
        <v>0</v>
      </c>
      <c r="X28" s="376">
        <f>=X27*辅助表1评估项目基础数据表!$F$11</f>
        <v>0</v>
      </c>
      <c r="Y28" s="376">
        <f>=Y27*辅助表1评估项目基础数据表!$F$11</f>
        <v>0</v>
      </c>
      <c r="Z28" s="406" t="s">
        <v>764</v>
      </c>
    </row>
    <row r="29" spans="1:26" s="699" customFormat="true" ht="12" customHeight="true">
      <c r="A29" s="397">
        <v>16</v>
      </c>
      <c r="B29" s="402" t="s">
        <v>765</v>
      </c>
      <c r="C29" s="376">
        <f>=SUM(D29:Y29)</f>
        <v>3811.08437479004</v>
      </c>
      <c r="D29" s="376">
        <f>=D27-D28</f>
        <v>0</v>
      </c>
      <c r="E29" s="376">
        <f>=E27-E28</f>
        <v>0</v>
      </c>
      <c r="F29" s="376">
        <f>=F27-F28</f>
        <v>132.794259417553</v>
      </c>
      <c r="G29" s="376">
        <f>=G27-G28</f>
        <v>273.422935899007</v>
      </c>
      <c r="H29" s="376">
        <f>=H27-H28</f>
        <v>293.63257438493</v>
      </c>
      <c r="I29" s="376">
        <f>=I27-I28</f>
        <v>312.332774621115</v>
      </c>
      <c r="J29" s="376">
        <f>=J27-J28</f>
        <v>333.535023639322</v>
      </c>
      <c r="K29" s="376">
        <f>=K27-K28</f>
        <v>351.990979061532</v>
      </c>
      <c r="L29" s="376">
        <f>=L27-L28</f>
        <v>371.527317552563</v>
      </c>
      <c r="M29" s="376">
        <f>=M27-M28</f>
        <v>380.870475569555</v>
      </c>
      <c r="N29" s="376">
        <f>=N27-N28</f>
        <v>312.639302343917</v>
      </c>
      <c r="O29" s="376">
        <f>=O27-O28</f>
        <v>331.666930421903</v>
      </c>
      <c r="P29" s="376">
        <f>=P27-P28</f>
        <v>348.947401166415</v>
      </c>
      <c r="Q29" s="376">
        <f>=Q27-Q28</f>
        <v>367.72440071223</v>
      </c>
      <c r="R29" s="376">
        <f>=R27-R28</f>
        <v>0</v>
      </c>
      <c r="S29" s="376">
        <f>=S27-S28</f>
        <v>0</v>
      </c>
      <c r="T29" s="376">
        <f>=T27-T28</f>
        <v>0</v>
      </c>
      <c r="U29" s="376">
        <f>=U27-U28</f>
        <v>0</v>
      </c>
      <c r="V29" s="376">
        <f>=V27-V28</f>
        <v>0</v>
      </c>
      <c r="W29" s="376">
        <f>=W27-W28</f>
        <v>0</v>
      </c>
      <c r="X29" s="376">
        <f>=X27-X28</f>
        <v>0</v>
      </c>
      <c r="Y29" s="376">
        <f>=Y27-Y28</f>
        <v>0</v>
      </c>
      <c r="Z29" s="399" t="s">
        <v>766</v>
      </c>
    </row>
    <row r="30" spans="1:25" s="699" customFormat="true" ht="12" customHeight="true">
      <c r="A30" s="397">
        <v>17</v>
      </c>
      <c r="B30" s="402" t="s">
        <v>767</v>
      </c>
      <c r="C30" s="401" t="s"/>
      <c r="D30" s="376">
        <f>=D29</f>
        <v>0</v>
      </c>
      <c r="E30" s="376">
        <f>=D30+E29</f>
        <v>0</v>
      </c>
      <c r="F30" s="376">
        <f>=E30+F29</f>
        <v>132.794259417553</v>
      </c>
      <c r="G30" s="376">
        <f>=F30+G29</f>
        <v>406.21719531656</v>
      </c>
      <c r="H30" s="376">
        <f>=G30+H29</f>
        <v>699.84976970149</v>
      </c>
      <c r="I30" s="376">
        <f>=H30+I29</f>
        <v>1012.1825443226</v>
      </c>
      <c r="J30" s="376">
        <f>=I30+J29</f>
        <v>1345.71756796193</v>
      </c>
      <c r="K30" s="376">
        <f>=J30+K29</f>
        <v>1697.70854702346</v>
      </c>
      <c r="L30" s="376">
        <f>=K30+L29</f>
        <v>2069.23586457602</v>
      </c>
      <c r="M30" s="376">
        <f>=L30+M29</f>
        <v>2450.10634014558</v>
      </c>
      <c r="N30" s="376">
        <f>=M30+N29</f>
        <v>2762.74564248949</v>
      </c>
      <c r="O30" s="376">
        <f>=N30+O29</f>
        <v>3094.4125729114</v>
      </c>
      <c r="P30" s="376">
        <f>=O30+P29</f>
        <v>3443.35997407781</v>
      </c>
      <c r="Q30" s="376">
        <f>=P30+Q29</f>
        <v>3811.08437479004</v>
      </c>
      <c r="R30" s="376">
        <f>=Q30+R29</f>
        <v>3811.08437479004</v>
      </c>
      <c r="S30" s="376">
        <f>=R30+S29</f>
        <v>3811.08437479004</v>
      </c>
      <c r="T30" s="376">
        <f>=S30+T29</f>
        <v>3811.08437479004</v>
      </c>
      <c r="U30" s="376">
        <f>=T30+U29</f>
        <v>3811.08437479004</v>
      </c>
      <c r="V30" s="376">
        <f>=U30+V29</f>
        <v>3811.08437479004</v>
      </c>
      <c r="W30" s="376">
        <f>=V30+W29</f>
        <v>3811.08437479004</v>
      </c>
      <c r="X30" s="376">
        <f>=W30+X29</f>
        <v>3811.08437479004</v>
      </c>
      <c r="Y30" s="376">
        <f>=X30+Y29</f>
        <v>3811.08437479004</v>
      </c>
    </row>
    <row r="31" spans="1:26" s="699" customFormat="true" ht="12" customHeight="true">
      <c r="A31" s="397">
        <v>18</v>
      </c>
      <c r="B31" s="402" t="s">
        <v>768</v>
      </c>
      <c r="C31" s="376">
        <f>=SUM(D31:Y31)</f>
        <v>282.576579581226</v>
      </c>
      <c r="D31" s="376">
        <f>=IF(D16&lt;0,D16,(D29+D17+D22)*辅助表1评估项目基础数据表!$F$12)</f>
        <v>0</v>
      </c>
      <c r="E31" s="376">
        <f>=IF(E16&lt;0,E16,(E29+E17+E22)*辅助表1评估项目基础数据表!$F$12)</f>
        <v>0</v>
      </c>
      <c r="F31" s="376">
        <f>=IF(F16&lt;0,F16,(F29+F17+F22)*辅助表1评估项目基础数据表!$F$12)</f>
        <v>111.547177910745</v>
      </c>
      <c r="G31" s="376">
        <f>=IF(G16&lt;0,G16,(G29+G17+G22)*辅助表1评估项目基础数据表!$F$12)</f>
        <v>229.675266155166</v>
      </c>
      <c r="H31" s="376">
        <f>=IF(H16&lt;0,H16,(H29+H17+H22)*辅助表1评估项目基础数据表!$F$12)</f>
        <v>246.651362483341</v>
      </c>
      <c r="I31" s="376">
        <f>=IF(I16&lt;0,I16,(I29+I17+I22)*辅助表1评估项目基础数据表!$F$12)</f>
        <v>262.359530681736</v>
      </c>
      <c r="J31" s="376">
        <f>=IF(J16&lt;0,J16,(J29+J17+J22)*辅助表1评估项目基础数据表!$F$12)</f>
        <v>280.16941985703</v>
      </c>
      <c r="K31" s="376">
        <f>=IF(K16&lt;0,K16,(K29+K17+K22)*辅助表1评估项目基础数据表!$F$12)</f>
        <v>295.672422411687</v>
      </c>
      <c r="L31" s="376">
        <f>=IF(L16&lt;0,L16,(L29+L17+L22)*辅助表1评估项目基础数据表!$F$12)</f>
        <v>312.082946744153</v>
      </c>
      <c r="M31" s="376">
        <f>=IF(M16&lt;0,M16,(M29+M17+M22)*辅助表1评估项目基础数据表!$F$12)</f>
        <v>319.931199478426</v>
      </c>
      <c r="N31" s="376">
        <f>=IF(N16&lt;0,N16,(N29+N17+N22)*辅助表1评估项目基础数据表!$F$12)</f>
        <v>262.61701396889</v>
      </c>
      <c r="O31" s="376">
        <f>=IF(O16&lt;0,O16,(O29+O17+O22)*辅助表1评估项目基础数据表!$F$12)</f>
        <v>278.600221554398</v>
      </c>
      <c r="P31" s="376">
        <f>=IF(P16&lt;0,P16,(P29+P17+P22)*辅助表1评估项目基础数据表!$F$12)</f>
        <v>293.115816979789</v>
      </c>
      <c r="Q31" s="376">
        <f>=IF(Q16&lt;0,Q16,(Q29+Q17+Q22)*辅助表1评估项目基础数据表!$F$12)</f>
        <v>308.888496598273</v>
      </c>
      <c r="R31" s="376">
        <f>=IF(R16&lt;0,R16,(R29+R17+R22)*辅助表1评估项目基础数据表!$F$12)</f>
        <v>-364.841786905301</v>
      </c>
      <c r="S31" s="376">
        <f>=IF(S16&lt;0,S16,(S29+S17+S22)*辅助表1评估项目基础数据表!$F$12)</f>
        <v>-364.841786905301</v>
      </c>
      <c r="T31" s="376">
        <f>=IF(T16&lt;0,T16,(T29+T17+T22)*辅助表1评估项目基础数据表!$F$12)</f>
        <v>-364.841786905301</v>
      </c>
      <c r="U31" s="376">
        <f>=IF(U16&lt;0,U16,(U29+U17+U22)*辅助表1评估项目基础数据表!$F$12)</f>
        <v>-364.841786905301</v>
      </c>
      <c r="V31" s="376">
        <f>=IF(V16&lt;0,V16,(V29+V17+V22)*辅助表1评估项目基础数据表!$F$12)</f>
        <v>-364.841786905301</v>
      </c>
      <c r="W31" s="376">
        <f>=IF(W16&lt;0,W16,(W29+W17+W22)*辅助表1评估项目基础数据表!$F$12)</f>
        <v>-364.841786905301</v>
      </c>
      <c r="X31" s="376">
        <f>=IF(X16&lt;0,X16,(X29+X17+X22)*辅助表1评估项目基础数据表!$F$12)</f>
        <v>-364.841786905301</v>
      </c>
      <c r="Y31" s="376">
        <f>=IF(Y16&lt;0,Y16,(Y29+Y17+Y22)*辅助表1评估项目基础数据表!$F$12)</f>
        <v>-364.841786905301</v>
      </c>
      <c r="Z31" s="399" t="s">
        <v>769</v>
      </c>
    </row>
    <row r="32" spans="1:26" s="699" customFormat="true" ht="12" customHeight="true"/>
    <row r="33" spans="1:1" s="699" customFormat="true" ht="12" customHeight="true">
      <c r="A33" s="399" t="s">
        <v>770</v>
      </c>
    </row>
    <row r="34" spans="1:1" s="699" customFormat="true" ht="12" customHeight="true">
      <c r="A34" s="399" t="s">
        <v>771</v>
      </c>
    </row>
    <row r="35" spans="1:1" s="699" customFormat="true" ht="12" customHeight="true">
      <c r="A35" s="407" t="s"/>
    </row>
    <row r="36" spans="1:26" s="699" customFormat="true" ht="12" customHeight="true"/>
    <row r="37" spans="1:26" s="699" customFormat="true" ht="12" customHeight="true"/>
    <row r="38" spans="1:26" s="699" customFormat="true" ht="12" customHeight="true"/>
    <row r="39" spans="1:26" s="699" customFormat="true" ht="12" customHeight="true"/>
    <row r="40" spans="1:26" s="699" customFormat="true" ht="12" customHeight="true"/>
    <row r="41" spans="1:26" s="699" customFormat="true" ht="12" customHeight="true"/>
  </sheetData>
  <sheetProtection/>
  <mergeCells count="3">
    <mergeCell ref="A3:A4"/>
    <mergeCell ref="B3:B4"/>
    <mergeCell ref="C3:C4"/>
  </mergeCells>
  <pageMargins left="0.748031" right="0.551181" top="0.984252" bottom="0.984252" header="0.590551" footer="0.590551"/>
  <pageSetup paperSize="9" orientation="landscape" blackAndWhite="true"/>
  <headerFooter alignWithMargins="false"/>
  <colBreaks count="1" manualBreakCount="1">
    <brk id="45" max="65535" man="true"/>
  </colBreaks>
</worksheet>
</file>

<file path=xl/worksheets/sheet7.xml><?xml version="1.0" encoding="utf-8"?>
<worksheet xmlns:r="http://schemas.openxmlformats.org/officeDocument/2006/relationships" xmlns="http://schemas.openxmlformats.org/spreadsheetml/2006/main">
  <sheetPr>
    <tabColor theme="2"/>
  </sheetPr>
  <dimension ref="AB142"/>
  <sheetViews>
    <sheetView showGridLines="false" showZeros="false" showOutlineSymbols="false" topLeftCell="A1" workbookViewId="0">
      <pane xSplit="4" ySplit="4" topLeftCell="F110" activePane="bottomRight" state="frozen"/>
    </sheetView>
  </sheetViews>
  <sheetFormatPr defaultColWidth="9" defaultRowHeight="12" customHeight="true"/>
  <cols>
    <col min="1" max="1" width="6.625" style="698"/>
    <col min="2" max="2" width="10.125" style="698"/>
    <col min="3" max="3" width="9" style="698"/>
    <col min="4" max="4" width="18.875" style="698"/>
    <col min="5" max="5" width="10.625" style="698"/>
    <col min="6" max="6" width="15.875" style="698"/>
    <col min="7" max="27" width="10.625" style="698"/>
  </cols>
  <sheetData>
    <row r="1" spans="1:26" ht="12" customHeight="true">
      <c r="A1" s="347" t="s"/>
      <c r="B1" s="348" t="s"/>
      <c r="C1" s="348" t="s"/>
      <c r="D1" s="348" t="s"/>
      <c r="E1" s="348" t="s">
        <v>979</v>
      </c>
      <c r="F1" s="348" t="s"/>
      <c r="G1" s="348" t="s"/>
      <c r="H1" s="348" t="s"/>
      <c r="I1" s="348" t="s"/>
      <c r="J1" s="348" t="s"/>
      <c r="K1" s="348" t="s"/>
      <c r="L1" s="348" t="s"/>
      <c r="M1" s="348" t="s"/>
      <c r="N1" s="348" t="s"/>
      <c r="O1" s="348" t="s"/>
      <c r="P1" s="348" t="s"/>
      <c r="Q1" s="348" t="s"/>
      <c r="R1" s="348" t="s"/>
      <c r="S1" s="348" t="s"/>
      <c r="T1" s="348" t="s"/>
      <c r="U1" s="348" t="s"/>
      <c r="V1" s="348" t="s"/>
      <c r="W1" s="348" t="s"/>
      <c r="X1" s="348" t="s"/>
      <c r="Y1" s="348" t="s"/>
      <c r="Z1" s="348" t="s"/>
    </row>
    <row r="2" spans="1:26" ht="12" customHeight="true">
      <c r="A2" s="349" t="s">
        <v>980</v>
      </c>
      <c r="C2" s="350" t="s"/>
      <c r="D2" s="350" t="s"/>
      <c r="E2" s="350" t="s">
        <v>438</v>
      </c>
      <c r="F2" s="350" t="s"/>
      <c r="G2" s="350" t="s"/>
      <c r="H2" s="350" t="s"/>
      <c r="I2" s="350" t="s"/>
      <c r="J2" s="350" t="s"/>
      <c r="K2" s="350" t="s"/>
      <c r="L2" s="350" t="s"/>
      <c r="M2" s="350" t="s"/>
      <c r="N2" s="350" t="s"/>
      <c r="O2" s="350" t="s"/>
      <c r="P2" s="350" t="s"/>
      <c r="Q2" s="350" t="s"/>
      <c r="R2" s="350" t="s"/>
      <c r="S2" s="350" t="s"/>
      <c r="T2" s="350" t="s"/>
      <c r="U2" s="350" t="s"/>
      <c r="V2" s="350" t="s"/>
      <c r="W2" s="350" t="s"/>
      <c r="X2" s="350" t="s"/>
      <c r="Y2" s="350" t="s"/>
      <c r="Z2" s="350" t="s"/>
    </row>
    <row r="3" spans="1:26" ht="12" customHeight="true">
      <c r="A3" s="520" t="s">
        <v>981</v>
      </c>
      <c r="B3" s="521" t="s">
        <v>738</v>
      </c>
      <c r="C3" s="520" t="s">
        <v>982</v>
      </c>
      <c r="D3" s="520" t="s">
        <v>983</v>
      </c>
      <c r="E3" s="296" t="s">
        <v>620</v>
      </c>
      <c r="F3" s="296" t="s"/>
      <c r="G3" s="352" t="s">
        <v>621</v>
      </c>
      <c r="H3" s="503" t="s"/>
      <c r="I3" s="503" t="s"/>
      <c r="J3" s="503" t="s"/>
      <c r="K3" s="503" t="s"/>
      <c r="L3" s="503" t="s"/>
      <c r="M3" s="503" t="s"/>
      <c r="N3" s="503" t="s"/>
      <c r="O3" s="503" t="s"/>
      <c r="P3" s="503" t="s"/>
      <c r="Q3" s="503" t="s"/>
      <c r="R3" s="503" t="s"/>
      <c r="S3" s="503" t="s"/>
      <c r="T3" s="503" t="s"/>
      <c r="U3" s="503" t="s"/>
      <c r="V3" s="503" t="s"/>
      <c r="W3" s="503" t="s"/>
      <c r="X3" s="503" t="s"/>
      <c r="Y3" s="503" t="s"/>
      <c r="Z3" s="503" t="s"/>
    </row>
    <row r="4" spans="1:26" ht="12" customHeight="true">
      <c r="A4" s="522" t="s"/>
      <c r="B4" s="523" t="s"/>
      <c r="C4" s="522" t="s"/>
      <c r="D4" s="522" t="s"/>
      <c r="E4" s="294" t="s">
        <v>622</v>
      </c>
      <c r="F4" s="294" t="s">
        <v>623</v>
      </c>
      <c r="G4" s="294" t="s">
        <v>622</v>
      </c>
      <c r="H4" s="294" t="s">
        <v>623</v>
      </c>
      <c r="I4" s="294" t="s">
        <v>624</v>
      </c>
      <c r="J4" s="294" t="s">
        <v>625</v>
      </c>
      <c r="K4" s="294" t="s">
        <v>626</v>
      </c>
      <c r="L4" s="294" t="s">
        <v>627</v>
      </c>
      <c r="M4" s="294" t="s">
        <v>628</v>
      </c>
      <c r="N4" s="294" t="s">
        <v>629</v>
      </c>
      <c r="O4" s="294" t="s">
        <v>630</v>
      </c>
      <c r="P4" s="294" t="s">
        <v>631</v>
      </c>
      <c r="Q4" s="294" t="s">
        <v>632</v>
      </c>
      <c r="R4" s="294" t="s">
        <v>633</v>
      </c>
      <c r="S4" s="294" t="s">
        <v>634</v>
      </c>
      <c r="T4" s="294" t="s">
        <v>635</v>
      </c>
      <c r="U4" s="294" t="s">
        <v>636</v>
      </c>
      <c r="V4" s="294" t="s">
        <v>702</v>
      </c>
      <c r="W4" s="294" t="s">
        <v>703</v>
      </c>
      <c r="X4" s="294" t="s">
        <v>637</v>
      </c>
      <c r="Y4" s="294" t="s">
        <v>638</v>
      </c>
      <c r="Z4" s="294" t="s">
        <v>639</v>
      </c>
    </row>
    <row r="5" spans="1:26" s="699" customFormat="true" ht="12" customHeight="true">
      <c r="A5" s="415" t="s">
        <v>442</v>
      </c>
      <c r="B5" s="415" t="s">
        <v>984</v>
      </c>
      <c r="C5" s="524" t="s"/>
      <c r="D5" s="524" t="s"/>
      <c r="E5" s="415" t="s"/>
      <c r="F5" s="415" t="s"/>
      <c r="G5" s="415" t="s"/>
      <c r="H5" s="415" t="s"/>
      <c r="I5" s="415" t="s"/>
      <c r="J5" s="415" t="s"/>
      <c r="K5" s="415" t="s"/>
      <c r="L5" s="415" t="s"/>
      <c r="M5" s="415" t="s"/>
      <c r="N5" s="415" t="s"/>
      <c r="O5" s="415" t="s"/>
      <c r="P5" s="415" t="s"/>
      <c r="Q5" s="415" t="s"/>
      <c r="R5" s="415" t="s"/>
      <c r="S5" s="415" t="s"/>
      <c r="T5" s="415" t="s"/>
      <c r="U5" s="415" t="s"/>
      <c r="V5" s="415" t="s"/>
      <c r="W5" s="415" t="s"/>
      <c r="X5" s="415" t="s"/>
      <c r="Y5" s="415" t="s"/>
      <c r="Z5" s="415" t="s"/>
    </row>
    <row r="6" spans="1:26" s="699" customFormat="true" ht="12" customHeight="true">
      <c r="A6" s="373">
        <v>1</v>
      </c>
      <c r="B6" s="415" t="s">
        <v>985</v>
      </c>
      <c r="C6" s="401" t="s"/>
      <c r="D6" s="401" t="s"/>
      <c r="E6" s="376">
        <f>=E17+E27+E37+E47+E57+E68+E78+E88+E98+E107+E116+E121</f>
        <v>0</v>
      </c>
      <c r="F6" s="376">
        <f>=F17+F27+F37+F47+F57+F68+F78+F88+F98+F107+F116+F121</f>
        <v>0</v>
      </c>
      <c r="G6" s="376">
        <f>=G17+G27+G37+G47+G57+G68+G78+G88+G98+G107+G116+G121</f>
        <v>7000</v>
      </c>
      <c r="H6" s="376">
        <f>=H17+H27+H37+H47+H57+H68+H78+H88+H98+H107+H116+H121</f>
        <v>6691.00891733312</v>
      </c>
      <c r="I6" s="376">
        <f>=I17+I27+I37+I47+I57+I68+I78+I88+I98+I107+I116+I121</f>
        <v>6066.44584166569</v>
      </c>
      <c r="J6" s="376">
        <f>=J17+J27+J37+J47+J57+J68+J78+J88+J98+J107+J116+J121</f>
        <v>5424.90666967007</v>
      </c>
      <c r="K6" s="376">
        <f>=K17+K27+K37+K47+K57+K68+K78+K88+K98+K107+K116+K121</f>
        <v>4767.65932947607</v>
      </c>
      <c r="L6" s="376">
        <f>=L17+L27+L37+L47+L57+L68+L78+L88+L98+L107+L116+L121</f>
        <v>4092.60210010676</v>
      </c>
      <c r="M6" s="376">
        <f>=M17+M27+M37+M47+M57+M68+M78+M88+M98+M107+M116+M121</f>
        <v>3402.04186818281</v>
      </c>
      <c r="N6" s="376">
        <f>=N17+N27+N37+N47+N57+N68+N78+N88+N98+N107+N116+N121</f>
        <v>2695.07111192638</v>
      </c>
      <c r="O6" s="376">
        <f>=O17+O27+O37+O47+O57+O68+O78+O88+O98+O107+O116+O121</f>
        <v>1980.25210293569</v>
      </c>
      <c r="P6" s="376">
        <f>=P17+P27+P37+P47+P57+P68+P78+P88+P98+P107+P116+P121</f>
        <v>1322.74727945453</v>
      </c>
      <c r="Q6" s="376">
        <f>=Q17+Q27+Q37+Q47+Q57+Q68+Q78+Q88+Q98+Q107+Q116+Q121</f>
        <v>649.259248387856</v>
      </c>
      <c r="R6" s="376">
        <f>=R17+R27+R37+R47+R57+R68+R78+R88+R98+R107+R116+R121</f>
        <v>0</v>
      </c>
      <c r="S6" s="376">
        <f>=S17+S27+S37+S47+S57+S68+S78+S88+S98+S107+S116+S121</f>
        <v>0</v>
      </c>
      <c r="T6" s="376">
        <f>=T17+T27+T37+T47+T57+T68+T78+T88+T98+T107+T116+T121</f>
        <v>0</v>
      </c>
      <c r="U6" s="376">
        <f>=U17+U27+U37+U47+U57+U68+U78+U88+U98+U107+U116+U121</f>
        <v>0</v>
      </c>
      <c r="V6" s="376">
        <f>=V17+V27+V37+V47+V57+V68+V78+V88+V98+V107+V116+V121</f>
        <v>0</v>
      </c>
      <c r="W6" s="376">
        <f>=W17+W27+W37+W47+W57+W68+W78+W88+W98+W107+W116+W121</f>
        <v>0</v>
      </c>
      <c r="X6" s="376">
        <f>=X17+X27+X37+X47+X57+X68+X78+X88+X98+X107+X116+X121</f>
        <v>0</v>
      </c>
      <c r="Y6" s="376">
        <f>=Y17+Y27+Y37+Y47+Y57+Y68+Y78+Y88+Y98+Y107+Y116+Y121</f>
        <v>0</v>
      </c>
      <c r="Z6" s="376">
        <f>=Z17+Z27+Z37+Z47+Z57+Z68+Z78+Z88+Z98+Z107+Z116+Z121</f>
        <v>0</v>
      </c>
    </row>
    <row r="7" spans="1:26" s="699" customFormat="true" ht="12" customHeight="true">
      <c r="A7" s="373">
        <v>2</v>
      </c>
      <c r="B7" s="415" t="s">
        <v>986</v>
      </c>
      <c r="C7" s="401" t="s"/>
      <c r="D7" s="401" t="s"/>
      <c r="E7" s="376">
        <f>=E18+E28+E38+E48+E58+E69+E79+E89+E99+E108+E117+E122</f>
        <v>0</v>
      </c>
      <c r="F7" s="376">
        <f>=F18+F28+F38+F48+F58+F69+F79+F89+F99+F108+F117+F122</f>
        <v>7000</v>
      </c>
      <c r="G7" s="376">
        <f>=G18+G28+G38+G48+G58+G69+G79+G89+G99+G108+G117+G122</f>
        <v>0</v>
      </c>
      <c r="H7" s="376">
        <f>=H18+H28+H38+H48+H58+H69+H79+H89+H99+H108+H117+H122</f>
        <v>0</v>
      </c>
      <c r="I7" s="376">
        <f>=I18+I28+I38+I48+I58+I69+I79+I89+I99+I108+I117+I122</f>
        <v>0</v>
      </c>
      <c r="J7" s="376">
        <f>=J18+J28+J38+J48+J58+J69+J79+J89+J99+J108+J117+J122</f>
        <v>0</v>
      </c>
      <c r="K7" s="376">
        <f>=K18+K28+K38+K48+K58+K69+K79+K89+K99+K108+K117+K122</f>
        <v>0</v>
      </c>
      <c r="L7" s="376">
        <f>=L18+L28+L38+L48+L58+L69+L79+L89+L99+L108+L117+L122</f>
        <v>0</v>
      </c>
      <c r="M7" s="376">
        <f>=M18+M28+M38+M48+M58+M69+M79+M89+M99+M108+M117+M122</f>
        <v>0</v>
      </c>
      <c r="N7" s="376">
        <f>=N18+N28+N38+N48+N58+N69+N79+N89+N99+N108+N117+N122</f>
        <v>0</v>
      </c>
      <c r="O7" s="376">
        <f>=O18+O28+O38+O48+O58+O69+O79+O89+O99+O108+O117+O122</f>
        <v>0</v>
      </c>
      <c r="P7" s="376">
        <f>=P18+P28+P38+P48+P58+P69+P79+P89+P99+P108+P117+P122</f>
        <v>0</v>
      </c>
      <c r="Q7" s="376">
        <f>=Q18+Q28+Q38+Q48+Q58+Q69+Q79+Q89+Q99+Q108+Q117+Q122</f>
        <v>0</v>
      </c>
      <c r="R7" s="376">
        <f>=R18+R28+R38+R48+R58+R69+R79+R89+R99+R108+R117+R122</f>
        <v>0</v>
      </c>
      <c r="S7" s="376">
        <f>=S18+S28+S38+S48+S58+S69+S79+S89+S99+S108+S117+S122</f>
        <v>0</v>
      </c>
      <c r="T7" s="376">
        <f>=T18+T28+T38+T48+T58+T69+T79+T89+T99+T108+T117+T122</f>
        <v>0</v>
      </c>
      <c r="U7" s="376">
        <f>=U18+U28+U38+U48+U58+U69+U79+U89+U99+U108+U117+U122</f>
        <v>0</v>
      </c>
      <c r="V7" s="376">
        <f>=V18+V28+V38+V48+V58+V69+V79+V89+V99+V108+V117+V122</f>
        <v>0</v>
      </c>
      <c r="W7" s="376">
        <f>=W18+W28+W38+W48+W58+W69+W79+W89+W99+W108+W117+W122</f>
        <v>0</v>
      </c>
      <c r="X7" s="376">
        <f>=X18+X28+X38+X48+X58+X69+X79+X89+X99+X108+X117+X122</f>
        <v>0</v>
      </c>
      <c r="Y7" s="376">
        <f>=Y18+Y28+Y38+Y48+Y58+Y69+Y79+Y89+Y99+Y108+Y117+Y122</f>
        <v>0</v>
      </c>
      <c r="Z7" s="376">
        <f>=Z18+Z28+Z38+Z48+Z58+Z69+Z79+Z89+Z99+Z108+Z117+Z122</f>
        <v>0</v>
      </c>
    </row>
    <row r="8" spans="1:26" s="699" customFormat="true" ht="12" customHeight="true">
      <c r="A8" s="373">
        <v>3</v>
      </c>
      <c r="B8" s="415" t="s">
        <v>987</v>
      </c>
      <c r="C8" s="401" t="s"/>
      <c r="D8" s="401" t="s"/>
      <c r="E8" s="376">
        <f>=E19+E29+E39+E49+E59+E70+E80+E90+E100+E109</f>
        <v>0</v>
      </c>
      <c r="F8" s="376">
        <f>=F19+F29+F39+F49+F59+F70+F80+F90+F100+F109</f>
        <v>78.75</v>
      </c>
      <c r="G8" s="376">
        <f>=G19+G29+G39+G49+G59+G70+G80+G90+G100+G109</f>
        <v>157.5</v>
      </c>
      <c r="H8" s="376">
        <f>=H19+H29+H39+H49+H59+H70+H80+H90+H100+H109</f>
        <v>301.09540127999</v>
      </c>
      <c r="I8" s="376">
        <f>=I19+I29+I39+I49+I59+I70+I80+I90+I100+I109</f>
        <v>272.990062874956</v>
      </c>
      <c r="J8" s="376">
        <f>=J19+J29+J39+J49+J59+J70+J80+J90+J100+J109</f>
        <v>244.120800135153</v>
      </c>
      <c r="K8" s="376">
        <f>=K19+K29+K39+K49+K59+K70+K80+K90+K100+K109</f>
        <v>214.544669826423</v>
      </c>
      <c r="L8" s="376">
        <f>=L19+L29+L39+L49+L59+L70+L80+L90+L100+L109</f>
        <v>184.167094504804</v>
      </c>
      <c r="M8" s="376">
        <f>=M19+M29+M39+M49+M59+M70+M80+M90+M100+M109</f>
        <v>153.091884068226</v>
      </c>
      <c r="N8" s="376">
        <f>=N19+N29+N39+N49+N59+N70+N80+N90+N100+N109</f>
        <v>121.278200036687</v>
      </c>
      <c r="O8" s="376">
        <f>=O19+O29+O39+O49+O59+O70+O80+O90+O100+O109</f>
        <v>89.1113446321059</v>
      </c>
      <c r="P8" s="376">
        <f>=P19+P29+P39+P49+P59+P70+P80+P90+P100+P109</f>
        <v>59.5236275754536</v>
      </c>
      <c r="Q8" s="376">
        <f>=Q19+Q29+Q39+Q49+Q59+Q70+Q80+Q90+Q100+Q109</f>
        <v>29.2166661774535</v>
      </c>
      <c r="R8" s="376">
        <f>=R19+R29+R39+R49+R59+R70+R80+R90+R100+R109</f>
        <v>0</v>
      </c>
      <c r="S8" s="376">
        <f>=S19+S29+S39+S49+S59+S70+S80+S90+S100+S109</f>
        <v>0</v>
      </c>
      <c r="T8" s="376">
        <f>=T19+T29+T39+T49+T59+T70+T80+T90+T100+T109</f>
        <v>0</v>
      </c>
      <c r="U8" s="376">
        <f>=U19+U29+U39+U49+U59+U70+U80+U90+U100+U109</f>
        <v>0</v>
      </c>
      <c r="V8" s="376">
        <f>=V19+V29+V39+V49+V59+V70+V80+V90+V100+V109</f>
        <v>0</v>
      </c>
      <c r="W8" s="376">
        <f>=W19+W29+W39+W49+W59+W70+W80+W90+W100+W109</f>
        <v>0</v>
      </c>
      <c r="X8" s="376">
        <f>=X19+X29+X39+X49+X59+X70+X80+X90+X100+X109</f>
        <v>0</v>
      </c>
      <c r="Y8" s="376">
        <f>=Y19+Y29+Y39+Y49+Y59+Y70+Y80+Y90+Y100+Y109</f>
        <v>0</v>
      </c>
      <c r="Z8" s="376">
        <f>=Z19+Z29+Z39+Z49+Z59+Z70+Z80+Z90+Z100+Z109</f>
        <v>0</v>
      </c>
    </row>
    <row r="9" spans="1:26" s="699" customFormat="true" ht="12" customHeight="true">
      <c r="A9" s="373">
        <v>3.1</v>
      </c>
      <c r="B9" s="415" t="s">
        <v>988</v>
      </c>
      <c r="C9" s="401" t="s"/>
      <c r="D9" s="401" t="s"/>
      <c r="E9" s="376">
        <f>=E20+E30+E40+E50+E60+E71+E81+E91+E101+E110</f>
        <v>0</v>
      </c>
      <c r="F9" s="376">
        <f>=F20+F30+F40+F50+F60+F71+F81+F91+F101+F110</f>
        <v>78.75</v>
      </c>
      <c r="G9" s="376" t="s"/>
      <c r="H9" s="376" t="s"/>
      <c r="I9" s="376" t="s"/>
      <c r="J9" s="376" t="s"/>
      <c r="K9" s="376" t="s"/>
      <c r="L9" s="376" t="s"/>
      <c r="M9" s="376" t="s"/>
      <c r="N9" s="376" t="s"/>
      <c r="O9" s="376" t="s"/>
      <c r="P9" s="376" t="s"/>
      <c r="Q9" s="376" t="s"/>
      <c r="R9" s="376" t="s"/>
      <c r="S9" s="376" t="s"/>
      <c r="T9" s="376" t="s"/>
      <c r="U9" s="376" t="s"/>
      <c r="V9" s="376" t="s"/>
      <c r="W9" s="376" t="s"/>
      <c r="X9" s="376" t="s"/>
      <c r="Y9" s="376" t="s"/>
      <c r="Z9" s="376" t="s"/>
    </row>
    <row r="10" spans="1:26" s="699" customFormat="true" ht="12" customHeight="true">
      <c r="A10" s="373">
        <v>3.2</v>
      </c>
      <c r="B10" s="415" t="s">
        <v>989</v>
      </c>
      <c r="C10" s="401" t="s"/>
      <c r="D10" s="401" t="s"/>
      <c r="E10" s="376">
        <f>=E21+E31+E41+E51+E61+E72+E82+E92+E102+E111</f>
        <v>0</v>
      </c>
      <c r="F10" s="376">
        <f>=F21+F31+F41+F51+F61+F72+F82+F92+F102+F111</f>
        <v>0</v>
      </c>
      <c r="G10" s="376">
        <f>=G21+G31+G41+G51+G61+G72+G82+G92+G102+G111</f>
        <v>157.5</v>
      </c>
      <c r="H10" s="376">
        <f>=H21+H31+H41+H51+H61+H72+H82+H92+H102+H111</f>
        <v>301.09540127999</v>
      </c>
      <c r="I10" s="376">
        <f>=I21+I31+I41+I51+I61+I72+I82+I92+I102+I111</f>
        <v>272.990062874956</v>
      </c>
      <c r="J10" s="376">
        <f>=J21+J31+J41+J51+J61+J72+J82+J92+J102+J111</f>
        <v>244.120800135153</v>
      </c>
      <c r="K10" s="376">
        <f>=K21+K31+K41+K51+K61+K72+K82+K92+K102+K111</f>
        <v>214.544669826423</v>
      </c>
      <c r="L10" s="376">
        <f>=L21+L31+L41+L51+L61+L72+L82+L92+L102+L111</f>
        <v>184.167094504804</v>
      </c>
      <c r="M10" s="376">
        <f>=M21+M31+M41+M51+M61+M72+M82+M92+M102+M111</f>
        <v>153.091884068226</v>
      </c>
      <c r="N10" s="376">
        <f>=N21+N31+N41+N51+N61+N72+N82+N92+N102+N111</f>
        <v>121.278200036687</v>
      </c>
      <c r="O10" s="376">
        <f>=O21+O31+O41+O51+O61+O72+O82+O92+O102+O111</f>
        <v>89.1113446321059</v>
      </c>
      <c r="P10" s="376">
        <f>=P21+P31+P41+P51+P61+P72+P82+P92+P102+P111</f>
        <v>59.5236275754536</v>
      </c>
      <c r="Q10" s="376">
        <f>=Q21+Q31+Q41+Q51+Q61+Q72+Q82+Q92+Q102+Q111</f>
        <v>29.2166661774535</v>
      </c>
      <c r="R10" s="376">
        <f>=R21+R31+R41+R51+R61+R72+R82+R92+R102+R111</f>
        <v>0</v>
      </c>
      <c r="S10" s="376">
        <f>=S21+S31+S41+S51+S61+S72+S82+S92+S102+S111</f>
        <v>0</v>
      </c>
      <c r="T10" s="376">
        <f>=T21+T31+T41+T51+T61+T72+T82+T92+T102+T111</f>
        <v>0</v>
      </c>
      <c r="U10" s="376">
        <f>=U21+U31+U41+U51+U61+U72+U82+U92+U102+U111</f>
        <v>0</v>
      </c>
      <c r="V10" s="376">
        <f>=V21+V31+V41+V51+V61+V72+V82+V92+V102+V111</f>
        <v>0</v>
      </c>
      <c r="W10" s="376">
        <f>=W21+W31+W41+W51+W61+W72+W82+W92+W102+W111</f>
        <v>0</v>
      </c>
      <c r="X10" s="376">
        <f>=X21+X31+X41+X51+X61+X72+X82+X92+X102+X111</f>
        <v>0</v>
      </c>
      <c r="Y10" s="376">
        <f>=Y21+Y31+Y41+Y51+Y61+Y72+Y82+Y92+Y102+Y111</f>
        <v>0</v>
      </c>
      <c r="Z10" s="376">
        <f>=Z21+Z31+Z41+Z51+Z61+Z72+Z82+Z92+Z102+Z111</f>
        <v>0</v>
      </c>
    </row>
    <row r="11" spans="1:26" s="699" customFormat="true" ht="12" customHeight="true">
      <c r="A11" s="373">
        <v>4</v>
      </c>
      <c r="B11" s="415" t="s">
        <v>990</v>
      </c>
      <c r="C11" s="401" t="s"/>
      <c r="D11" s="401" t="s"/>
      <c r="E11" s="376">
        <f>=E22+E32+E42+E52+E62+E73+E83+E93+E103+E112+E118+E123</f>
        <v>0</v>
      </c>
      <c r="F11" s="376">
        <f>=F22+F32+F42+F52+F62+F73+F83+F93+F103+F112+F118+F123</f>
        <v>0</v>
      </c>
      <c r="G11" s="376">
        <f>=G22+G32+G42+G52+G62+G73+G83+G93+G103+G112+G118+G123</f>
        <v>308.99108266688</v>
      </c>
      <c r="H11" s="376">
        <f>=H22+H32+H42+H52+H62+H73+H83+H93+H103+H112+H118+H123</f>
        <v>624.563075667437</v>
      </c>
      <c r="I11" s="376">
        <f>=I22+I32+I42+I52+I62+I73+I83+I93+I103+I112+I118+I123</f>
        <v>641.539171995612</v>
      </c>
      <c r="J11" s="376">
        <f>=J22+J32+J42+J52+J62+J73+J83+J93+J103+J112+J118+J123</f>
        <v>657.247340194007</v>
      </c>
      <c r="K11" s="376">
        <f>=K22+K32+K42+K52+K62+K73+K83+K93+K103+K112+K118+K123</f>
        <v>675.057229369301</v>
      </c>
      <c r="L11" s="376">
        <f>=L22+L32+L42+L52+L62+L73+L83+L93+L103+L112+L118+L123</f>
        <v>690.560231923958</v>
      </c>
      <c r="M11" s="376">
        <f>=M22+M32+M42+M52+M62+M73+M83+M93+M103+M112+M118+M123</f>
        <v>706.970756256424</v>
      </c>
      <c r="N11" s="376">
        <f>=N22+N32+N42+N52+N62+N73+N83+N93+N103+N112+N118+N123</f>
        <v>714.819008990697</v>
      </c>
      <c r="O11" s="376">
        <f>=O22+O32+O42+O52+O62+O73+O83+O93+O103+O112+O118+O123</f>
        <v>657.504823481161</v>
      </c>
      <c r="P11" s="376">
        <f>=P22+P32+P42+P52+P62+P73+P83+P93+P103+P112+P118+P123</f>
        <v>673.488031066669</v>
      </c>
      <c r="Q11" s="376">
        <f>=Q22+Q32+Q42+Q52+Q62+Q73+Q83+Q93+Q103+Q112+Q118+Q123</f>
        <v>649.259248387856</v>
      </c>
      <c r="R11" s="376">
        <f>=R22+R32+R42+R52+R62+R73+R83+R93+R103+R112+R118+R123</f>
        <v>0</v>
      </c>
      <c r="S11" s="376">
        <f>=S22+S32+S42+S52+S62+S73+S83+S93+S103+S112+S118+S123</f>
        <v>0</v>
      </c>
      <c r="T11" s="376">
        <f>=T22+T32+T42+T52+T62+T73+T83+T93+T103+T112+T118+T123</f>
        <v>0</v>
      </c>
      <c r="U11" s="376">
        <f>=U22+U32+U42+U52+U62+U73+U83+U93+U103+U112+U118+U123</f>
        <v>0</v>
      </c>
      <c r="V11" s="376">
        <f>=V22+V32+V42+V52+V62+V73+V83+V93+V103+V112+V118+V123</f>
        <v>0</v>
      </c>
      <c r="W11" s="376">
        <f>=W22+W32+W42+W52+W62+W73+W83+W93+W103+W112+W118+W123</f>
        <v>0</v>
      </c>
      <c r="X11" s="376">
        <f>=X22+X32+X42+X52+X62+X73+X83+X93+X103+X112+X118+X123</f>
        <v>0</v>
      </c>
      <c r="Y11" s="376">
        <f>=Y22+Y32+Y42+Y52+Y62+Y73+Y83+Y93+Y103+Y112+Y118+Y123</f>
        <v>0</v>
      </c>
      <c r="Z11" s="376">
        <f>=Z22+Z32+Z42+Z52+Z62+Z73+Z83+Z93+Z103+Z112+Z118+Z123</f>
        <v>0</v>
      </c>
    </row>
    <row r="12" spans="1:26" s="699" customFormat="true" ht="12" customHeight="true">
      <c r="A12" s="373">
        <v>5</v>
      </c>
      <c r="B12" s="415" t="s">
        <v>991</v>
      </c>
      <c r="C12" s="401" t="s"/>
      <c r="D12" s="401" t="s"/>
      <c r="E12" s="376">
        <f>=E23+E33+E43+E53+E63+E74+E84+E94+E104+E113</f>
        <v>0</v>
      </c>
      <c r="F12" s="376">
        <f>=F23+F33+F43+F53+F63+F74+F84+F94+F104+F113</f>
        <v>78.75</v>
      </c>
      <c r="G12" s="376">
        <f>=G23+G33+G43+G53+G63+G74+G84+G94+G104+G113</f>
        <v>157.5</v>
      </c>
      <c r="H12" s="376">
        <f>=H23+H33+H43+H53+H63+H74+H84+H94+H104+H113</f>
        <v>301.09540127999</v>
      </c>
      <c r="I12" s="376">
        <f>=I23+I33+I43+I53+I63+I74+I84+I94+I104+I113</f>
        <v>272.990062874956</v>
      </c>
      <c r="J12" s="376">
        <f>=J23+J33+J43+J53+J63+J74+J84+J94+J104+J113</f>
        <v>244.120800135153</v>
      </c>
      <c r="K12" s="376">
        <f>=K23+K33+K43+K53+K63+K74+K84+K94+K104+K113</f>
        <v>214.544669826423</v>
      </c>
      <c r="L12" s="376">
        <f>=L23+L33+L43+L53+L63+L74+L84+L94+L104+L113</f>
        <v>184.167094504804</v>
      </c>
      <c r="M12" s="376">
        <f>=M23+M33+M43+M53+M63+M74+M84+M94+M104+M113</f>
        <v>153.091884068226</v>
      </c>
      <c r="N12" s="376">
        <f>=N23+N33+N43+N53+N63+N74+N84+N94+N104+N113</f>
        <v>121.278200036687</v>
      </c>
      <c r="O12" s="376">
        <f>=O23+O33+O43+O53+O63+O74+O84+O94+O104+O113</f>
        <v>89.1113446321059</v>
      </c>
      <c r="P12" s="376">
        <f>=P23+P33+P43+P53+P63+P74+P84+P94+P104+P113</f>
        <v>59.5236275754536</v>
      </c>
      <c r="Q12" s="376">
        <f>=Q23+Q33+Q43+Q53+Q63+Q74+Q84+Q94+Q104+Q113</f>
        <v>29.2166661774535</v>
      </c>
      <c r="R12" s="376">
        <f>=R23+R33+R43+R53+R63+R74+R84+R94+R104+R113</f>
        <v>0</v>
      </c>
      <c r="S12" s="376">
        <f>=S23+S33+S43+S53+S63+S74+S84+S94+S104+S113</f>
        <v>0</v>
      </c>
      <c r="T12" s="376">
        <f>=T23+T33+T43+T53+T63+T74+T84+T94+T104+T113</f>
        <v>0</v>
      </c>
      <c r="U12" s="376">
        <f>=U23+U33+U43+U53+U63+U74+U84+U94+U104+U113</f>
        <v>0</v>
      </c>
      <c r="V12" s="376">
        <f>=V23+V33+V43+V53+V63+V74+V84+V94+V104+V113</f>
        <v>0</v>
      </c>
      <c r="W12" s="376">
        <f>=W23+W33+W43+W53+W63+W74+W84+W94+W104+W113</f>
        <v>0</v>
      </c>
      <c r="X12" s="376">
        <f>=X23+X33+X43+X53+X63+X74+X84+X94+X104+X113</f>
        <v>0</v>
      </c>
      <c r="Y12" s="376">
        <f>=Y23+Y33+Y43+Y53+Y63+Y74+Y84+Y94+Y104+Y113</f>
        <v>0</v>
      </c>
      <c r="Z12" s="376">
        <f>=Z23+Z33+Z43+Z53+Z63+Z74+Z84+Z94+Z104+Z113</f>
        <v>0</v>
      </c>
    </row>
    <row r="13" spans="1:26" s="699" customFormat="true" ht="12" customHeight="true">
      <c r="A13" s="373">
        <v>6</v>
      </c>
      <c r="B13" s="415" t="s">
        <v>992</v>
      </c>
      <c r="C13" s="401" t="s"/>
      <c r="D13" s="401" t="s"/>
      <c r="E13" s="376">
        <f>=E24+E34+E44+E54+E64+E75+E85+E95+E105+E114+E119+E124</f>
        <v>0</v>
      </c>
      <c r="F13" s="376">
        <f>=F24+F34+F44+F54+F64+F75+F85+F95+F105+F114+F119+F124</f>
        <v>7000</v>
      </c>
      <c r="G13" s="376">
        <f>=G24+G34+G44+G54+G64+G75+G85+G95+G105+G114+G119+G124</f>
        <v>6691.00891733312</v>
      </c>
      <c r="H13" s="376">
        <f>=H24+H34+H44+H54+H64+H75+H85+H95+H105+H114+H119+H124</f>
        <v>6066.44584166569</v>
      </c>
      <c r="I13" s="376">
        <f>=I24+I34+I44+I54+I64+I75+I85+I95+I105+I114+I119+I124</f>
        <v>5424.90666967007</v>
      </c>
      <c r="J13" s="376">
        <f>=J24+J34+J44+J54+J64+J75+J85+J95+J105+J114+J119+J124</f>
        <v>4767.65932947607</v>
      </c>
      <c r="K13" s="376">
        <f>=K24+K34+K44+K54+K64+K75+K85+K95+K105+K114+K119+K124</f>
        <v>4092.60210010676</v>
      </c>
      <c r="L13" s="376">
        <f>=L24+L34+L44+L54+L64+L75+L85+L95+L105+L114+L119+L124</f>
        <v>3402.04186818281</v>
      </c>
      <c r="M13" s="376">
        <f>=M24+M34+M44+M54+M64+M75+M85+M95+M105+M114+M119+M124</f>
        <v>2695.07111192638</v>
      </c>
      <c r="N13" s="376">
        <f>=N24+N34+N44+N54+N64+N75+N85+N95+N105+N114+N119+N124</f>
        <v>1980.25210293569</v>
      </c>
      <c r="O13" s="376">
        <f>=O24+O34+O44+O54+O64+O75+O85+O95+O105+O114+O119+O124</f>
        <v>1322.74727945453</v>
      </c>
      <c r="P13" s="376">
        <f>=P24+P34+P44+P54+P64+P75+P85+P95+P105+P114+P119+P124</f>
        <v>649.259248387856</v>
      </c>
      <c r="Q13" s="376">
        <f>=Q24+Q34+Q44+Q54+Q64+Q75+Q85+Q95+Q105+Q114+Q119+Q124</f>
        <v>0</v>
      </c>
      <c r="R13" s="376">
        <f>=R24+R34+R44+R54+R64+R75+R85+R95+R105+R114+R119+R124</f>
        <v>0</v>
      </c>
      <c r="S13" s="376">
        <f>=S24+S34+S44+S54+S64+S75+S85+S95+S105+S114+S119+S124</f>
        <v>0</v>
      </c>
      <c r="T13" s="376">
        <f>=T24+T34+T44+T54+T64+T75+T85+T95+T105+T114+T119+T124</f>
        <v>0</v>
      </c>
      <c r="U13" s="376">
        <f>=U24+U34+U44+U54+U64+U75+U85+U95+U105+U114+U119+U124</f>
        <v>0</v>
      </c>
      <c r="V13" s="376">
        <f>=V24+V34+V44+V54+V64+V75+V85+V95+V105+V114+V119+V124</f>
        <v>0</v>
      </c>
      <c r="W13" s="376">
        <f>=W24+W34+W44+W54+W64+W75+W85+W95+W105+W114+W119+W124</f>
        <v>0</v>
      </c>
      <c r="X13" s="376">
        <f>=X24+X34+X44+X54+X64+X75+X85+X95+X105+X114+X119+X124</f>
        <v>0</v>
      </c>
      <c r="Y13" s="376">
        <f>=Y24+Y34+Y44+Y54+Y64+Y75+Y85+Y95+Y105+Y114+Y119+Y124</f>
        <v>0</v>
      </c>
      <c r="Z13" s="376">
        <f>=Z24+Z34+Z44+Z54+Z64+Z75+Z85+Z95+Z105+Z114+Z119+Z124</f>
        <v>0</v>
      </c>
    </row>
    <row r="14" spans="1:26" s="699" customFormat="true" ht="12" customHeight="true">
      <c r="A14" s="373" t="s">
        <v>993</v>
      </c>
      <c r="B14" s="415" t="s">
        <v>994</v>
      </c>
      <c r="C14" s="524" t="s"/>
      <c r="D14" s="524" t="s"/>
      <c r="E14" s="415" t="s"/>
      <c r="F14" s="415" t="s"/>
      <c r="G14" s="415" t="s"/>
      <c r="H14" s="415" t="s"/>
      <c r="I14" s="415" t="s"/>
      <c r="J14" s="415" t="s"/>
      <c r="K14" s="415" t="s"/>
      <c r="L14" s="415" t="s"/>
      <c r="M14" s="415" t="s"/>
      <c r="N14" s="415" t="s"/>
      <c r="O14" s="415" t="s"/>
      <c r="P14" s="415" t="s"/>
      <c r="Q14" s="415" t="s"/>
      <c r="R14" s="415" t="s"/>
      <c r="S14" s="415" t="s"/>
      <c r="T14" s="415" t="s"/>
      <c r="U14" s="415" t="s"/>
      <c r="V14" s="415" t="s"/>
      <c r="W14" s="415" t="s"/>
      <c r="X14" s="415" t="s"/>
      <c r="Y14" s="415" t="s"/>
      <c r="Z14" s="415" t="s"/>
    </row>
    <row r="15" spans="1:26" s="699" customFormat="true" ht="12" customHeight="true">
      <c r="A15" s="373">
        <v>1.1</v>
      </c>
      <c r="B15" s="415" t="s">
        <v>995</v>
      </c>
      <c r="C15" s="525">
        <f>=辅助表1评估项目基础数据表!$C$3+1</f>
        <v>3</v>
      </c>
      <c r="D15" s="524" t="s"/>
      <c r="E15" s="415" t="s"/>
      <c r="F15" s="415" t="s"/>
      <c r="G15" s="415" t="s"/>
      <c r="H15" s="415" t="s"/>
      <c r="I15" s="415" t="s"/>
      <c r="J15" s="415" t="s"/>
      <c r="K15" s="415" t="s"/>
      <c r="L15" s="415" t="s"/>
      <c r="M15" s="415" t="s"/>
      <c r="N15" s="415" t="s"/>
      <c r="O15" s="415" t="s"/>
      <c r="P15" s="415" t="s"/>
      <c r="Q15" s="415" t="s"/>
      <c r="R15" s="415" t="s"/>
      <c r="S15" s="415" t="s"/>
      <c r="T15" s="415" t="s"/>
      <c r="U15" s="415" t="s"/>
      <c r="V15" s="415" t="s"/>
      <c r="W15" s="415" t="s"/>
      <c r="X15" s="415" t="s"/>
      <c r="Y15" s="415" t="s"/>
      <c r="Z15" s="415" t="s"/>
    </row>
    <row r="16" spans="1:26" s="699" customFormat="true" ht="12" customHeight="true">
      <c r="A16" s="373" t="s"/>
      <c r="B16" s="415" t="s">
        <v>996</v>
      </c>
      <c r="C16" s="401" t="s"/>
      <c r="D16" s="401" t="s"/>
      <c r="E16" s="526">
        <f>=IF(E17+E18&gt;0,辅助表1评估项目基础数据表!$C$4,0)</f>
        <v>0</v>
      </c>
      <c r="F16" s="526">
        <f>=IF(F17+F18&gt;0,6,0)</f>
        <v>6</v>
      </c>
      <c r="G16" s="526">
        <f>=IF(G17+G18&gt;0,6,0)</f>
        <v>6</v>
      </c>
      <c r="H16" s="526">
        <f>=IF(H17+H18&gt;0,12,0)</f>
        <v>12</v>
      </c>
      <c r="I16" s="526">
        <f>=IF(I17+I18&gt;0,12,0)</f>
        <v>12</v>
      </c>
      <c r="J16" s="526">
        <f>=IF(J17+J18&gt;0,12,0)</f>
        <v>12</v>
      </c>
      <c r="K16" s="526">
        <f>=IF(K17+K18&gt;0,12,0)</f>
        <v>12</v>
      </c>
      <c r="L16" s="526">
        <f>=IF(L17+L18&gt;0,12,0)</f>
        <v>12</v>
      </c>
      <c r="M16" s="526">
        <f>=IF(M17+M18&gt;0,12,0)</f>
        <v>12</v>
      </c>
      <c r="N16" s="526">
        <f>=IF(N17+N18&gt;0,12,0)</f>
        <v>12</v>
      </c>
      <c r="O16" s="526">
        <f>=IF(O17+O18&gt;0,12,0)</f>
        <v>12</v>
      </c>
      <c r="P16" s="526">
        <f>=IF(P17+P18&gt;0,12,0)</f>
        <v>12</v>
      </c>
      <c r="Q16" s="526">
        <f>=IF(Q17+Q18&gt;0,12,0)</f>
        <v>12</v>
      </c>
      <c r="R16" s="526">
        <f>=IF(R17+R18&gt;0,12,0)</f>
        <v>0</v>
      </c>
      <c r="S16" s="526">
        <f>=IF(S17+S18&gt;0,12,0)</f>
        <v>0</v>
      </c>
      <c r="T16" s="526">
        <f>=IF(T17+T18&gt;0,12,0)</f>
        <v>0</v>
      </c>
      <c r="U16" s="526">
        <f>=IF(U17+U18&gt;0,12,0)</f>
        <v>0</v>
      </c>
      <c r="V16" s="526">
        <f>=IF(V17+V18&gt;0,12,0)</f>
        <v>0</v>
      </c>
      <c r="W16" s="526">
        <f>=IF(W17+W18&gt;0,12,0)</f>
        <v>0</v>
      </c>
      <c r="X16" s="526">
        <f>=IF(X17+X18&gt;0,12,0)</f>
        <v>0</v>
      </c>
      <c r="Y16" s="526">
        <f>=IF(Y17+Y18&gt;0,12,0)</f>
        <v>0</v>
      </c>
      <c r="Z16" s="526">
        <f>=IF(Z17+Z18&gt;0,12,0)</f>
        <v>0</v>
      </c>
    </row>
    <row r="17" spans="1:27" s="699" customFormat="true" ht="12" customHeight="true">
      <c r="A17" s="373">
        <v>1</v>
      </c>
      <c r="B17" s="415" t="s">
        <v>985</v>
      </c>
      <c r="C17" s="401" t="s"/>
      <c r="D17" s="401" t="s"/>
      <c r="E17" s="376">
        <f>=0</f>
        <v>0</v>
      </c>
      <c r="F17" s="376">
        <f>=E24</f>
        <v>0</v>
      </c>
      <c r="G17" s="376">
        <f>=F24</f>
        <v>7000</v>
      </c>
      <c r="H17" s="376">
        <f>=G24</f>
        <v>6691.00891733312</v>
      </c>
      <c r="I17" s="376">
        <f>=H24</f>
        <v>6066.44584166569</v>
      </c>
      <c r="J17" s="376">
        <f>=I24</f>
        <v>5424.90666967007</v>
      </c>
      <c r="K17" s="376">
        <f>=J24</f>
        <v>4767.65932947607</v>
      </c>
      <c r="L17" s="376">
        <f>=K24</f>
        <v>4092.60210010676</v>
      </c>
      <c r="M17" s="376">
        <f>=L24</f>
        <v>3402.04186818281</v>
      </c>
      <c r="N17" s="376">
        <f>=M24</f>
        <v>2695.07111192638</v>
      </c>
      <c r="O17" s="376">
        <f>=N24</f>
        <v>1980.25210293569</v>
      </c>
      <c r="P17" s="376">
        <f>=O24</f>
        <v>1322.74727945453</v>
      </c>
      <c r="Q17" s="376">
        <f>=P24</f>
        <v>649.259248387856</v>
      </c>
      <c r="R17" s="376">
        <f>=Q24</f>
        <v>0</v>
      </c>
      <c r="S17" s="376">
        <f>=R24</f>
        <v>0</v>
      </c>
      <c r="T17" s="376">
        <f>=S24</f>
        <v>0</v>
      </c>
      <c r="U17" s="376">
        <f>=T24</f>
        <v>0</v>
      </c>
      <c r="V17" s="376">
        <f>=U24</f>
        <v>0</v>
      </c>
      <c r="W17" s="376">
        <f>=V24</f>
        <v>0</v>
      </c>
      <c r="X17" s="376">
        <f>=W24</f>
        <v>0</v>
      </c>
      <c r="Y17" s="376">
        <f>=X24</f>
        <v>0</v>
      </c>
      <c r="Z17" s="376">
        <f>=Y24</f>
        <v>0</v>
      </c>
      <c r="AA17" s="399" t="s">
        <v>997</v>
      </c>
    </row>
    <row r="18" spans="1:27" s="699" customFormat="true" ht="12" customHeight="true">
      <c r="A18" s="373">
        <v>2</v>
      </c>
      <c r="B18" s="415" t="s">
        <v>986</v>
      </c>
      <c r="C18" s="401" t="s"/>
      <c r="D18" s="401" t="s"/>
      <c r="E18" s="376">
        <f>=评估表3投资计划与资金筹措表!F28</f>
        <v>0</v>
      </c>
      <c r="F18" s="376">
        <f>=评估表3投资计划与资金筹措表!G28</f>
        <v>7000</v>
      </c>
      <c r="G18" s="376">
        <f>=评估表3投资计划与资金筹措表!R28</f>
        <v>0</v>
      </c>
      <c r="H18" s="376">
        <f>=评估表3投资计划与资金筹措表!S28</f>
        <v>0</v>
      </c>
      <c r="I18" s="376">
        <f>=评估表3投资计划与资金筹措表!T28</f>
        <v>0</v>
      </c>
      <c r="J18" s="376">
        <f>=评估表3投资计划与资金筹措表!U28</f>
        <v>0</v>
      </c>
      <c r="K18" s="376">
        <f>=评估表3投资计划与资金筹措表!V28</f>
        <v>0</v>
      </c>
      <c r="L18" s="376">
        <f>=评估表3投资计划与资金筹措表!W28</f>
        <v>0</v>
      </c>
      <c r="M18" s="376" t="s"/>
      <c r="N18" s="376" t="s"/>
      <c r="O18" s="376" t="s"/>
      <c r="P18" s="376" t="s"/>
      <c r="Q18" s="376" t="s"/>
      <c r="R18" s="376" t="s"/>
      <c r="S18" s="376" t="s"/>
      <c r="T18" s="376" t="s"/>
      <c r="U18" s="376" t="s"/>
      <c r="V18" s="376" t="s"/>
      <c r="W18" s="376" t="s"/>
      <c r="X18" s="376" t="s"/>
      <c r="Y18" s="376" t="s"/>
      <c r="Z18" s="376" t="s"/>
      <c r="AA18" s="399" t="s">
        <v>592</v>
      </c>
    </row>
    <row r="19" spans="1:27" s="699" customFormat="true" ht="12" customHeight="true">
      <c r="A19" s="373">
        <v>3</v>
      </c>
      <c r="B19" s="415" t="s">
        <v>987</v>
      </c>
      <c r="C19" s="401" t="s"/>
      <c r="D19" s="401" t="s"/>
      <c r="E19" s="376">
        <f>=(E17+E18/2)*评估表3投资计划与资金筹措表!$D$28*E16/12</f>
        <v>0</v>
      </c>
      <c r="F19" s="376">
        <f>=(F17+F18/2)*评估表3投资计划与资金筹措表!$D$28*F16/12</f>
        <v>78.75</v>
      </c>
      <c r="G19" s="376">
        <f>=(G17+G18/2)*评估表3投资计划与资金筹措表!$D$28*G16/12</f>
        <v>157.5</v>
      </c>
      <c r="H19" s="376">
        <f>=(H17+H18/2)*评估表3投资计划与资金筹措表!$D$28*H16/12</f>
        <v>301.09540127999</v>
      </c>
      <c r="I19" s="376">
        <f>=(I17+I18/2)*评估表3投资计划与资金筹措表!$D$28*I16/12</f>
        <v>272.990062874956</v>
      </c>
      <c r="J19" s="376">
        <f>=(J17+J18/2)*评估表3投资计划与资金筹措表!$D$28*J16/12</f>
        <v>244.120800135153</v>
      </c>
      <c r="K19" s="376">
        <f>=(K17+K18/2)*评估表3投资计划与资金筹措表!$D$28*K16/12</f>
        <v>214.544669826423</v>
      </c>
      <c r="L19" s="376">
        <f>=(L17+L18/2)*评估表3投资计划与资金筹措表!$D$28*L16/12</f>
        <v>184.167094504804</v>
      </c>
      <c r="M19" s="376">
        <f>=(M17+M18/2)*评估表3投资计划与资金筹措表!$D$28*M16/12</f>
        <v>153.091884068226</v>
      </c>
      <c r="N19" s="376">
        <f>=(N17+N18/2)*评估表3投资计划与资金筹措表!$D$28*N16/12</f>
        <v>121.278200036687</v>
      </c>
      <c r="O19" s="376">
        <f>=(O17+O18/2)*评估表3投资计划与资金筹措表!$D$28*O16/12</f>
        <v>89.1113446321059</v>
      </c>
      <c r="P19" s="376">
        <f>=(P17+P18/2)*评估表3投资计划与资金筹措表!$D$28*P16/12</f>
        <v>59.5236275754536</v>
      </c>
      <c r="Q19" s="376">
        <f>=(Q17+Q18/2)*评估表3投资计划与资金筹措表!$D$28*Q16/12</f>
        <v>29.2166661774535</v>
      </c>
      <c r="R19" s="376">
        <f>=(R17+R18/2)*评估表3投资计划与资金筹措表!$D$28*R16/12</f>
        <v>0</v>
      </c>
      <c r="S19" s="376">
        <f>=(S17+S18/2)*评估表3投资计划与资金筹措表!$D$28*S16/12</f>
        <v>0</v>
      </c>
      <c r="T19" s="376">
        <f>=(T17+T18/2)*评估表3投资计划与资金筹措表!$D$28*T16/12</f>
        <v>0</v>
      </c>
      <c r="U19" s="376">
        <f>=(U17+U18/2)*评估表3投资计划与资金筹措表!$D$28*U16/12</f>
        <v>0</v>
      </c>
      <c r="V19" s="376">
        <f>=(V17+V18/2)*评估表3投资计划与资金筹措表!$D$28*V16/12</f>
        <v>0</v>
      </c>
      <c r="W19" s="376">
        <f>=(W17+W18/2)*评估表3投资计划与资金筹措表!$D$28*W16/12</f>
        <v>0</v>
      </c>
      <c r="X19" s="376">
        <f>=(X17+X18/2)*评估表3投资计划与资金筹措表!$D$28*X16/12</f>
        <v>0</v>
      </c>
      <c r="Y19" s="376">
        <f>=(Y17+Y18/2)*评估表3投资计划与资金筹措表!$D$28*Y16/12</f>
        <v>0</v>
      </c>
      <c r="Z19" s="376">
        <f>=(Z17+Z18/2)*评估表3投资计划与资金筹措表!$D$28*Z16/12</f>
        <v>0</v>
      </c>
      <c r="AA19" s="399" t="s">
        <v>998</v>
      </c>
    </row>
    <row r="20" spans="1:27" s="699" customFormat="true" ht="12" customHeight="true">
      <c r="A20" s="373">
        <v>3.1</v>
      </c>
      <c r="B20" s="415" t="s">
        <v>988</v>
      </c>
      <c r="C20" s="401" t="s"/>
      <c r="D20" s="401" t="s"/>
      <c r="E20" s="376">
        <f>=IF(E$133&lt;$C15,E19,0)</f>
        <v>0</v>
      </c>
      <c r="F20" s="376">
        <f>=IF(F$133&lt;$C15,F19,0)</f>
        <v>78.75</v>
      </c>
      <c r="G20" s="401" t="s"/>
      <c r="H20" s="401" t="s"/>
      <c r="I20" s="401" t="s"/>
      <c r="J20" s="401" t="s"/>
      <c r="K20" s="401" t="s"/>
      <c r="L20" s="401" t="s"/>
      <c r="M20" s="401" t="s"/>
      <c r="N20" s="401" t="s"/>
      <c r="O20" s="401" t="s"/>
      <c r="P20" s="401" t="s"/>
      <c r="Q20" s="401" t="s"/>
      <c r="R20" s="401" t="s"/>
      <c r="S20" s="401" t="s"/>
      <c r="T20" s="401" t="s"/>
      <c r="U20" s="401" t="s"/>
      <c r="V20" s="401" t="s"/>
      <c r="W20" s="401" t="s"/>
      <c r="X20" s="401" t="s"/>
      <c r="Y20" s="401" t="s"/>
      <c r="Z20" s="401" t="s"/>
      <c r="AA20" s="399" t="s">
        <v>999</v>
      </c>
    </row>
    <row r="21" spans="1:27" s="699" customFormat="true" ht="12" customHeight="true">
      <c r="A21" s="373">
        <v>3.2</v>
      </c>
      <c r="B21" s="415" t="s">
        <v>989</v>
      </c>
      <c r="C21" s="401" t="s"/>
      <c r="D21" s="401" t="s"/>
      <c r="E21" s="376">
        <f>=IF(E$133&gt;=$C15,E19,0)</f>
        <v>0</v>
      </c>
      <c r="F21" s="376">
        <f>=IF(F$133&gt;=$C15,F19,0)</f>
        <v>0</v>
      </c>
      <c r="G21" s="376">
        <f>=G19</f>
        <v>157.5</v>
      </c>
      <c r="H21" s="376">
        <f>=H19</f>
        <v>301.09540127999</v>
      </c>
      <c r="I21" s="376">
        <f>=I19</f>
        <v>272.990062874956</v>
      </c>
      <c r="J21" s="376">
        <f>=J19</f>
        <v>244.120800135153</v>
      </c>
      <c r="K21" s="376">
        <f>=K19</f>
        <v>214.544669826423</v>
      </c>
      <c r="L21" s="376">
        <f>=L19</f>
        <v>184.167094504804</v>
      </c>
      <c r="M21" s="376">
        <f>=M19</f>
        <v>153.091884068226</v>
      </c>
      <c r="N21" s="376">
        <f>=N19</f>
        <v>121.278200036687</v>
      </c>
      <c r="O21" s="376">
        <f>=O19</f>
        <v>89.1113446321059</v>
      </c>
      <c r="P21" s="376">
        <f>=P19</f>
        <v>59.5236275754536</v>
      </c>
      <c r="Q21" s="376">
        <f>=Q19</f>
        <v>29.2166661774535</v>
      </c>
      <c r="R21" s="376">
        <f>=R19</f>
        <v>0</v>
      </c>
      <c r="S21" s="376">
        <f>=S19</f>
        <v>0</v>
      </c>
      <c r="T21" s="376">
        <f>=T19</f>
        <v>0</v>
      </c>
      <c r="U21" s="376">
        <f>=U19</f>
        <v>0</v>
      </c>
      <c r="V21" s="376">
        <f>=V19</f>
        <v>0</v>
      </c>
      <c r="W21" s="376">
        <f>=W19</f>
        <v>0</v>
      </c>
      <c r="X21" s="376">
        <f>=X19</f>
        <v>0</v>
      </c>
      <c r="Y21" s="376">
        <f>=Y19</f>
        <v>0</v>
      </c>
      <c r="Z21" s="376">
        <f>=Z19</f>
        <v>0</v>
      </c>
      <c r="AA21" s="399" t="s">
        <v>1000</v>
      </c>
    </row>
    <row r="22" spans="1:27" s="702" customFormat="true" ht="12" customHeight="true">
      <c r="A22" s="527">
        <v>4</v>
      </c>
      <c r="B22" s="528" t="s">
        <v>990</v>
      </c>
      <c r="C22" s="529" t="s"/>
      <c r="D22" s="529" t="s"/>
      <c r="E22" s="529">
        <f>=IF(AND(E$133&gt;=$C15,OR($D$125="归还贷款",E$125&lt;0)),MIN(E17,E17/E$140*(E$125-E$139)),0)</f>
        <v>0</v>
      </c>
      <c r="F22" s="529">
        <f>=IF(AND(F$133&gt;=$C15,OR($D$125="归还贷款",F$125&lt;0)),MIN(F17,F17/F$140*(F$125-F$139)),0)</f>
        <v>0</v>
      </c>
      <c r="G22" s="529">
        <f>=IF(G$138&gt;0,MIN(G17,G17/G$138*(G$125-G$139)),0)</f>
        <v>308.99108266688</v>
      </c>
      <c r="H22" s="529">
        <f>=IF(H$138&gt;0,MIN(H17,H17/H$138*(H$125-H$139)),0)</f>
        <v>624.563075667437</v>
      </c>
      <c r="I22" s="529">
        <f>=IF(I$138&gt;0,MIN(I17,I17/I$138*(I$125-I$139)),0)</f>
        <v>641.539171995612</v>
      </c>
      <c r="J22" s="529">
        <f>=IF(J$138&gt;0,MIN(J17,J17/J$138*(J$125-J$139)),0)</f>
        <v>657.247340194007</v>
      </c>
      <c r="K22" s="529">
        <f>=IF(K$138&gt;0,MIN(K17,K17/K$138*(K$125-K$139)),0)</f>
        <v>675.057229369301</v>
      </c>
      <c r="L22" s="529">
        <f>=IF(L$138&gt;0,MIN(L17,L17/L$138*(L$125-L$139)),0)</f>
        <v>690.560231923958</v>
      </c>
      <c r="M22" s="529">
        <f>=IF(M$138&gt;0,MIN(M17,M17/M$138*(M$125-M$139)),0)</f>
        <v>706.970756256424</v>
      </c>
      <c r="N22" s="529">
        <f>=IF(N$138&gt;0,MIN(N17,N17/N$138*(N$125-N$139)),0)</f>
        <v>714.819008990697</v>
      </c>
      <c r="O22" s="529">
        <f>=IF(O$138&gt;0,MIN(O17,O17/O$138*(O$125-O$139)),0)</f>
        <v>657.504823481161</v>
      </c>
      <c r="P22" s="529">
        <f>=IF(P$138&gt;0,MIN(P17,P17/P$138*(P$125-P$139)),0)</f>
        <v>673.488031066669</v>
      </c>
      <c r="Q22" s="529">
        <f>=IF(Q$138&gt;0,MIN(Q17,Q17/Q$138*(Q$125-Q$139)),0)</f>
        <v>649.259248387856</v>
      </c>
      <c r="R22" s="529">
        <f>=IF(R$138&gt;0,MIN(R17,R17/R$138*(R$125-R$139)),0)</f>
        <v>0</v>
      </c>
      <c r="S22" s="529">
        <f>=IF(S$138&gt;0,MIN(S17,S17/S$138*(S$125-S$139)),0)</f>
        <v>0</v>
      </c>
      <c r="T22" s="529">
        <f>=IF(T$138&gt;0,MIN(T17,T17/T$138*(T$125-T$139)),0)</f>
        <v>0</v>
      </c>
      <c r="U22" s="529">
        <f>=IF(U$138&gt;0,MIN(U17,U17/U$138*(U$125-U$139)),0)</f>
        <v>0</v>
      </c>
      <c r="V22" s="529">
        <f>=IF(V$138&gt;0,MIN(V17,V17/V$138*(V$125-V$139)),0)</f>
        <v>0</v>
      </c>
      <c r="W22" s="529">
        <f>=IF(W$138&gt;0,MIN(W17,W17/W$138*(W$125-W$139)),0)</f>
        <v>0</v>
      </c>
      <c r="X22" s="529">
        <f>=IF(X$138&gt;0,MIN(X17,X17/X$138*(X$125-X$139)),0)</f>
        <v>0</v>
      </c>
      <c r="Y22" s="529">
        <f>=IF(Y$138&gt;0,MIN(Y17,Y17/Y$138*(Y$125-Y$139)),0)</f>
        <v>0</v>
      </c>
      <c r="Z22" s="529">
        <f>=IF(Z$138&gt;0,MIN(Z17,Z17/Z$138*(Z$125-Z$139)),0)</f>
        <v>0</v>
      </c>
      <c r="AA22" s="530" t="s">
        <v>1001</v>
      </c>
    </row>
    <row r="23" spans="1:26" s="699" customFormat="true" ht="12" customHeight="true">
      <c r="A23" s="373">
        <v>5</v>
      </c>
      <c r="B23" s="415" t="s">
        <v>991</v>
      </c>
      <c r="C23" s="401" t="s"/>
      <c r="D23" s="401" t="s"/>
      <c r="E23" s="376">
        <f>=E19</f>
        <v>0</v>
      </c>
      <c r="F23" s="376">
        <f>=F19</f>
        <v>78.75</v>
      </c>
      <c r="G23" s="376">
        <f>=G19</f>
        <v>157.5</v>
      </c>
      <c r="H23" s="376">
        <f>=H19</f>
        <v>301.09540127999</v>
      </c>
      <c r="I23" s="376">
        <f>=I19</f>
        <v>272.990062874956</v>
      </c>
      <c r="J23" s="376">
        <f>=J19</f>
        <v>244.120800135153</v>
      </c>
      <c r="K23" s="376">
        <f>=K19</f>
        <v>214.544669826423</v>
      </c>
      <c r="L23" s="376">
        <f>=L19</f>
        <v>184.167094504804</v>
      </c>
      <c r="M23" s="376">
        <f>=M19</f>
        <v>153.091884068226</v>
      </c>
      <c r="N23" s="376">
        <f>=N19</f>
        <v>121.278200036687</v>
      </c>
      <c r="O23" s="376">
        <f>=O19</f>
        <v>89.1113446321059</v>
      </c>
      <c r="P23" s="376">
        <f>=P19</f>
        <v>59.5236275754536</v>
      </c>
      <c r="Q23" s="376">
        <f>=Q19</f>
        <v>29.2166661774535</v>
      </c>
      <c r="R23" s="376">
        <f>=R19</f>
        <v>0</v>
      </c>
      <c r="S23" s="376">
        <f>=S19</f>
        <v>0</v>
      </c>
      <c r="T23" s="376">
        <f>=T19</f>
        <v>0</v>
      </c>
      <c r="U23" s="376">
        <f>=U19</f>
        <v>0</v>
      </c>
      <c r="V23" s="376">
        <f>=V19</f>
        <v>0</v>
      </c>
      <c r="W23" s="376">
        <f>=W19</f>
        <v>0</v>
      </c>
      <c r="X23" s="376">
        <f>=X19</f>
        <v>0</v>
      </c>
      <c r="Y23" s="376">
        <f>=Y19</f>
        <v>0</v>
      </c>
      <c r="Z23" s="376">
        <f>=Z19</f>
        <v>0</v>
      </c>
    </row>
    <row r="24" spans="1:27" s="699" customFormat="true" ht="12" customHeight="true">
      <c r="A24" s="373">
        <v>6</v>
      </c>
      <c r="B24" s="415" t="s">
        <v>992</v>
      </c>
      <c r="C24" s="401" t="s"/>
      <c r="D24" s="401" t="s"/>
      <c r="E24" s="376">
        <f>=E17+E18-E22</f>
        <v>0</v>
      </c>
      <c r="F24" s="376">
        <f>=F17+F18-F22</f>
        <v>7000</v>
      </c>
      <c r="G24" s="376">
        <f>=G17+G18-G22</f>
        <v>6691.00891733312</v>
      </c>
      <c r="H24" s="376">
        <f>=H17+H18-H22</f>
        <v>6066.44584166569</v>
      </c>
      <c r="I24" s="376">
        <f>=I17+I18-I22</f>
        <v>5424.90666967007</v>
      </c>
      <c r="J24" s="376">
        <f>=J17+J18-J22</f>
        <v>4767.65932947607</v>
      </c>
      <c r="K24" s="376">
        <f>=K17+K18-K22</f>
        <v>4092.60210010676</v>
      </c>
      <c r="L24" s="376">
        <f>=L17+L18-L22</f>
        <v>3402.04186818281</v>
      </c>
      <c r="M24" s="376">
        <f>=M17+M18-M22</f>
        <v>2695.07111192638</v>
      </c>
      <c r="N24" s="376">
        <f>=N17+N18-N22</f>
        <v>1980.25210293569</v>
      </c>
      <c r="O24" s="376">
        <f>=O17+O18-O22</f>
        <v>1322.74727945453</v>
      </c>
      <c r="P24" s="376">
        <f>=P17+P18-P22</f>
        <v>649.259248387856</v>
      </c>
      <c r="Q24" s="376">
        <f>=Q17+Q18-Q22</f>
        <v>0</v>
      </c>
      <c r="R24" s="376">
        <f>=R17+R18-R22</f>
        <v>0</v>
      </c>
      <c r="S24" s="376">
        <f>=S17+S18-S22</f>
        <v>0</v>
      </c>
      <c r="T24" s="376">
        <f>=T17+T18-T22</f>
        <v>0</v>
      </c>
      <c r="U24" s="376">
        <f>=U17+U18-U22</f>
        <v>0</v>
      </c>
      <c r="V24" s="376">
        <f>=V17+V18-V22</f>
        <v>0</v>
      </c>
      <c r="W24" s="376">
        <f>=W17+W18-W22</f>
        <v>0</v>
      </c>
      <c r="X24" s="376">
        <f>=X17+X18-X22</f>
        <v>0</v>
      </c>
      <c r="Y24" s="376">
        <f>=Y17+Y18-Y22</f>
        <v>0</v>
      </c>
      <c r="Z24" s="376">
        <f>=Z17+Z18-Z22</f>
        <v>0</v>
      </c>
      <c r="AA24" s="399" t="s">
        <v>1002</v>
      </c>
    </row>
    <row r="25" spans="1:26" s="699" customFormat="true" ht="12" customHeight="true">
      <c r="A25" s="373">
        <v>1.2</v>
      </c>
      <c r="B25" s="415" t="s">
        <v>1003</v>
      </c>
      <c r="C25" s="525">
        <f>=辅助表1评估项目基础数据表!$C$3+1</f>
        <v>3</v>
      </c>
      <c r="D25" s="524" t="s"/>
      <c r="E25" s="415" t="s"/>
      <c r="F25" s="415" t="s"/>
      <c r="G25" s="415" t="s"/>
      <c r="H25" s="415" t="s"/>
      <c r="I25" s="415" t="s"/>
      <c r="J25" s="415" t="s"/>
      <c r="K25" s="415" t="s"/>
      <c r="L25" s="415" t="s"/>
      <c r="M25" s="415" t="s"/>
      <c r="N25" s="415" t="s"/>
      <c r="O25" s="415" t="s"/>
      <c r="P25" s="415" t="s"/>
      <c r="Q25" s="415" t="s"/>
      <c r="R25" s="415" t="s"/>
      <c r="S25" s="415" t="s"/>
      <c r="T25" s="415" t="s"/>
      <c r="U25" s="415" t="s"/>
      <c r="V25" s="415" t="s"/>
      <c r="W25" s="415" t="s"/>
      <c r="X25" s="415" t="s"/>
      <c r="Y25" s="415" t="s"/>
      <c r="Z25" s="415" t="s"/>
    </row>
    <row r="26" spans="1:26" s="699" customFormat="true" ht="12" customHeight="true">
      <c r="A26" s="373" t="s"/>
      <c r="B26" s="415" t="s">
        <v>996</v>
      </c>
      <c r="C26" s="401" t="s"/>
      <c r="D26" s="401" t="s"/>
      <c r="E26" s="526">
        <f>=IF(E27+E28&gt;0,辅助表1评估项目基础数据表!$C$4,0)</f>
        <v>0</v>
      </c>
      <c r="F26" s="526">
        <f>=IF(F27+F28&gt;0,12,0)</f>
        <v>0</v>
      </c>
      <c r="G26" s="526">
        <f>=IF(G27+G28&gt;0,12,0)</f>
        <v>0</v>
      </c>
      <c r="H26" s="526">
        <f>=IF(H27+H28&gt;0,12,0)</f>
        <v>0</v>
      </c>
      <c r="I26" s="526">
        <f>=IF(I27+I28&gt;0,12,0)</f>
        <v>0</v>
      </c>
      <c r="J26" s="526">
        <f>=IF(J27+J28&gt;0,12,0)</f>
        <v>0</v>
      </c>
      <c r="K26" s="526">
        <f>=IF(K27+K28&gt;0,12,0)</f>
        <v>0</v>
      </c>
      <c r="L26" s="526">
        <f>=IF(L27+L28&gt;0,12,0)</f>
        <v>0</v>
      </c>
      <c r="M26" s="526">
        <f>=IF(M27+M28&gt;0,12,0)</f>
        <v>0</v>
      </c>
      <c r="N26" s="526">
        <f>=IF(N27+N28&gt;0,12,0)</f>
        <v>0</v>
      </c>
      <c r="O26" s="526">
        <f>=IF(O27+O28&gt;0,12,0)</f>
        <v>0</v>
      </c>
      <c r="P26" s="526">
        <f>=IF(P27+P28&gt;0,12,0)</f>
        <v>0</v>
      </c>
      <c r="Q26" s="526">
        <f>=IF(Q27+Q28&gt;0,12,0)</f>
        <v>0</v>
      </c>
      <c r="R26" s="526">
        <f>=IF(R27+R28&gt;0,12,0)</f>
        <v>0</v>
      </c>
      <c r="S26" s="526">
        <f>=IF(S27+S28&gt;0,12,0)</f>
        <v>0</v>
      </c>
      <c r="T26" s="526">
        <f>=IF(T27+T28&gt;0,12,0)</f>
        <v>0</v>
      </c>
      <c r="U26" s="526">
        <f>=IF(U27+U28&gt;0,12,0)</f>
        <v>0</v>
      </c>
      <c r="V26" s="526">
        <f>=IF(V27+V28&gt;0,12,0)</f>
        <v>0</v>
      </c>
      <c r="W26" s="526">
        <f>=IF(W27+W28&gt;0,12,0)</f>
        <v>0</v>
      </c>
      <c r="X26" s="526">
        <f>=IF(X27+X28&gt;0,12,0)</f>
        <v>0</v>
      </c>
      <c r="Y26" s="526">
        <f>=IF(Y27+Y28&gt;0,12,0)</f>
        <v>0</v>
      </c>
      <c r="Z26" s="526">
        <f>=IF(Z27+Z28&gt;0,12,0)</f>
        <v>0</v>
      </c>
    </row>
    <row r="27" spans="1:26" s="699" customFormat="true" ht="12" customHeight="true">
      <c r="A27" s="373">
        <v>1</v>
      </c>
      <c r="B27" s="415" t="s">
        <v>985</v>
      </c>
      <c r="C27" s="401" t="s"/>
      <c r="D27" s="401" t="s"/>
      <c r="E27" s="376">
        <v>0</v>
      </c>
      <c r="F27" s="376">
        <f>=E34</f>
        <v>0</v>
      </c>
      <c r="G27" s="376">
        <f>=F34</f>
        <v>0</v>
      </c>
      <c r="H27" s="376">
        <f>=G34</f>
        <v>0</v>
      </c>
      <c r="I27" s="376">
        <f>=H34</f>
        <v>0</v>
      </c>
      <c r="J27" s="376">
        <f>=I34</f>
        <v>0</v>
      </c>
      <c r="K27" s="376">
        <f>=J34</f>
        <v>0</v>
      </c>
      <c r="L27" s="376">
        <f>=K34</f>
        <v>0</v>
      </c>
      <c r="M27" s="376">
        <f>=L34</f>
        <v>0</v>
      </c>
      <c r="N27" s="376">
        <f>=M34</f>
        <v>0</v>
      </c>
      <c r="O27" s="376">
        <f>=N34</f>
        <v>0</v>
      </c>
      <c r="P27" s="376">
        <f>=O34</f>
        <v>0</v>
      </c>
      <c r="Q27" s="376">
        <f>=P34</f>
        <v>0</v>
      </c>
      <c r="R27" s="376">
        <f>=Q34</f>
        <v>0</v>
      </c>
      <c r="S27" s="376">
        <f>=R34</f>
        <v>0</v>
      </c>
      <c r="T27" s="376">
        <f>=S34</f>
        <v>0</v>
      </c>
      <c r="U27" s="376">
        <f>=T34</f>
        <v>0</v>
      </c>
      <c r="V27" s="376">
        <f>=U34</f>
        <v>0</v>
      </c>
      <c r="W27" s="376">
        <f>=V34</f>
        <v>0</v>
      </c>
      <c r="X27" s="376">
        <f>=W34</f>
        <v>0</v>
      </c>
      <c r="Y27" s="376">
        <f>=X34</f>
        <v>0</v>
      </c>
      <c r="Z27" s="376">
        <f>=Y34</f>
        <v>0</v>
      </c>
    </row>
    <row r="28" spans="1:26" s="699" customFormat="true" ht="12" customHeight="true">
      <c r="A28" s="373">
        <v>2</v>
      </c>
      <c r="B28" s="415" t="s">
        <v>986</v>
      </c>
      <c r="C28" s="401" t="s"/>
      <c r="D28" s="401" t="s"/>
      <c r="E28" s="376">
        <f>=评估表3投资计划与资金筹措表!F29</f>
        <v>0</v>
      </c>
      <c r="F28" s="376">
        <f>=评估表3投资计划与资金筹措表!G29</f>
        <v>0</v>
      </c>
      <c r="G28" s="376">
        <f>=评估表3投资计划与资金筹措表!R29</f>
        <v>0</v>
      </c>
      <c r="H28" s="376">
        <f>=评估表3投资计划与资金筹措表!S29</f>
        <v>0</v>
      </c>
      <c r="I28" s="376">
        <f>=评估表3投资计划与资金筹措表!T29</f>
        <v>0</v>
      </c>
      <c r="J28" s="376">
        <f>=评估表3投资计划与资金筹措表!U29</f>
        <v>0</v>
      </c>
      <c r="K28" s="376">
        <f>=评估表3投资计划与资金筹措表!V29</f>
        <v>0</v>
      </c>
      <c r="L28" s="376">
        <f>=评估表3投资计划与资金筹措表!W29</f>
        <v>0</v>
      </c>
      <c r="M28" s="376" t="s"/>
      <c r="N28" s="376" t="s"/>
      <c r="O28" s="376" t="s"/>
      <c r="P28" s="376" t="s"/>
      <c r="Q28" s="376" t="s"/>
      <c r="R28" s="376" t="s"/>
      <c r="S28" s="376" t="s"/>
      <c r="T28" s="376" t="s"/>
      <c r="U28" s="376" t="s"/>
      <c r="V28" s="376" t="s"/>
      <c r="W28" s="376" t="s"/>
      <c r="X28" s="376" t="s"/>
      <c r="Y28" s="376" t="s"/>
      <c r="Z28" s="376" t="s"/>
    </row>
    <row r="29" spans="1:26" s="699" customFormat="true" ht="12" customHeight="true">
      <c r="A29" s="373">
        <v>3</v>
      </c>
      <c r="B29" s="415" t="s">
        <v>987</v>
      </c>
      <c r="C29" s="401" t="s"/>
      <c r="D29" s="401" t="s"/>
      <c r="E29" s="376">
        <f>=(E27+E28/2)*评估表3投资计划与资金筹措表!$D$29*E26/12</f>
        <v>0</v>
      </c>
      <c r="F29" s="376">
        <f>=(F27+F28/2)*评估表3投资计划与资金筹措表!$D$29*F26/12</f>
        <v>0</v>
      </c>
      <c r="G29" s="376">
        <f>=(G27+G28/2)*评估表3投资计划与资金筹措表!$D$29*G26/12</f>
        <v>0</v>
      </c>
      <c r="H29" s="376">
        <f>=(H27+H28/2)*评估表3投资计划与资金筹措表!$D$29*H26/12</f>
        <v>0</v>
      </c>
      <c r="I29" s="376">
        <f>=(I27+I28/2)*评估表3投资计划与资金筹措表!$D$29*I26/12</f>
        <v>0</v>
      </c>
      <c r="J29" s="376">
        <f>=(J27+J28/2)*评估表3投资计划与资金筹措表!$D$29*J26/12</f>
        <v>0</v>
      </c>
      <c r="K29" s="376">
        <f>=(K27+K28/2)*评估表3投资计划与资金筹措表!$D$29*K26/12</f>
        <v>0</v>
      </c>
      <c r="L29" s="376">
        <f>=(L27+L28/2)*评估表3投资计划与资金筹措表!$D$29*L26/12</f>
        <v>0</v>
      </c>
      <c r="M29" s="376">
        <f>=(M27+M28/2)*评估表3投资计划与资金筹措表!$D$29*M26/12</f>
        <v>0</v>
      </c>
      <c r="N29" s="376">
        <f>=(N27+N28/2)*评估表3投资计划与资金筹措表!$D$29*N26/12</f>
        <v>0</v>
      </c>
      <c r="O29" s="376">
        <f>=(O27+O28/2)*评估表3投资计划与资金筹措表!$D$29*O26/12</f>
        <v>0</v>
      </c>
      <c r="P29" s="376">
        <f>=(P27+P28/2)*评估表3投资计划与资金筹措表!$D$29*P26/12</f>
        <v>0</v>
      </c>
      <c r="Q29" s="376">
        <f>=(Q27+Q28/2)*评估表3投资计划与资金筹措表!$D$29*Q26/12</f>
        <v>0</v>
      </c>
      <c r="R29" s="376">
        <f>=(R27+R28/2)*评估表3投资计划与资金筹措表!$D$29*R26/12</f>
        <v>0</v>
      </c>
      <c r="S29" s="376">
        <f>=(S27+S28/2)*评估表3投资计划与资金筹措表!$D$29*S26/12</f>
        <v>0</v>
      </c>
      <c r="T29" s="376">
        <f>=(T27+T28/2)*评估表3投资计划与资金筹措表!$D$29*T26/12</f>
        <v>0</v>
      </c>
      <c r="U29" s="376">
        <f>=(U27+U28/2)*评估表3投资计划与资金筹措表!$D$29*U26/12</f>
        <v>0</v>
      </c>
      <c r="V29" s="376">
        <f>=(V27+V28/2)*评估表3投资计划与资金筹措表!$D$29*V26/12</f>
        <v>0</v>
      </c>
      <c r="W29" s="376">
        <f>=(W27+W28/2)*评估表3投资计划与资金筹措表!$D$29*W26/12</f>
        <v>0</v>
      </c>
      <c r="X29" s="376">
        <f>=(X27+X28/2)*评估表3投资计划与资金筹措表!$D$29*X26/12</f>
        <v>0</v>
      </c>
      <c r="Y29" s="376">
        <f>=(Y27+Y28/2)*评估表3投资计划与资金筹措表!$D$29*Y26/12</f>
        <v>0</v>
      </c>
      <c r="Z29" s="376">
        <f>=(Z27+Z28/2)*评估表3投资计划与资金筹措表!$D$29*Z26/12</f>
        <v>0</v>
      </c>
    </row>
    <row r="30" spans="1:26" s="699" customFormat="true" ht="12" customHeight="true">
      <c r="A30" s="373">
        <v>3.1</v>
      </c>
      <c r="B30" s="415" t="s">
        <v>988</v>
      </c>
      <c r="C30" s="401" t="s"/>
      <c r="D30" s="401" t="s"/>
      <c r="E30" s="376">
        <f>=IF(E$133&lt;$C25,E29,0)</f>
        <v>0</v>
      </c>
      <c r="F30" s="376">
        <f>=IF(F$133&lt;$C25,F29,0)</f>
        <v>0</v>
      </c>
      <c r="G30" s="401" t="s"/>
      <c r="H30" s="401" t="s"/>
      <c r="I30" s="401" t="s"/>
      <c r="J30" s="401" t="s"/>
      <c r="K30" s="401" t="s"/>
      <c r="L30" s="401" t="s"/>
      <c r="M30" s="401" t="s"/>
      <c r="N30" s="401" t="s"/>
      <c r="O30" s="401" t="s"/>
      <c r="P30" s="401" t="s"/>
      <c r="Q30" s="401" t="s"/>
      <c r="R30" s="401" t="s"/>
      <c r="S30" s="401" t="s"/>
      <c r="T30" s="401" t="s"/>
      <c r="U30" s="401" t="s"/>
      <c r="V30" s="401" t="s"/>
      <c r="W30" s="401" t="s"/>
      <c r="X30" s="401" t="s"/>
      <c r="Y30" s="401" t="s"/>
      <c r="Z30" s="401" t="s"/>
    </row>
    <row r="31" spans="1:26" s="699" customFormat="true" ht="12" customHeight="true">
      <c r="A31" s="373">
        <v>3.2</v>
      </c>
      <c r="B31" s="415" t="s">
        <v>989</v>
      </c>
      <c r="C31" s="401" t="s"/>
      <c r="D31" s="401" t="s"/>
      <c r="E31" s="376">
        <f>=IF(E$133&gt;=$C25,E29,0)</f>
        <v>0</v>
      </c>
      <c r="F31" s="376">
        <f>=IF(F$133&gt;=$C25,F29,0)</f>
        <v>0</v>
      </c>
      <c r="G31" s="376">
        <f>=G29</f>
        <v>0</v>
      </c>
      <c r="H31" s="376">
        <f>=H29</f>
        <v>0</v>
      </c>
      <c r="I31" s="376">
        <f>=I29</f>
        <v>0</v>
      </c>
      <c r="J31" s="376">
        <f>=J29</f>
        <v>0</v>
      </c>
      <c r="K31" s="376">
        <f>=K29</f>
        <v>0</v>
      </c>
      <c r="L31" s="376">
        <f>=L29</f>
        <v>0</v>
      </c>
      <c r="M31" s="376">
        <f>=M29</f>
        <v>0</v>
      </c>
      <c r="N31" s="376">
        <f>=N29</f>
        <v>0</v>
      </c>
      <c r="O31" s="376">
        <f>=O29</f>
        <v>0</v>
      </c>
      <c r="P31" s="376">
        <f>=P29</f>
        <v>0</v>
      </c>
      <c r="Q31" s="376">
        <f>=Q29</f>
        <v>0</v>
      </c>
      <c r="R31" s="376">
        <f>=R29</f>
        <v>0</v>
      </c>
      <c r="S31" s="376">
        <f>=S29</f>
        <v>0</v>
      </c>
      <c r="T31" s="376">
        <f>=T29</f>
        <v>0</v>
      </c>
      <c r="U31" s="376">
        <f>=U29</f>
        <v>0</v>
      </c>
      <c r="V31" s="376">
        <f>=V29</f>
        <v>0</v>
      </c>
      <c r="W31" s="376">
        <f>=W29</f>
        <v>0</v>
      </c>
      <c r="X31" s="376">
        <f>=X29</f>
        <v>0</v>
      </c>
      <c r="Y31" s="376">
        <f>=Y29</f>
        <v>0</v>
      </c>
      <c r="Z31" s="376">
        <f>=Z29</f>
        <v>0</v>
      </c>
    </row>
    <row r="32" spans="1:26" s="699" customFormat="true" ht="12" customHeight="true">
      <c r="A32" s="373">
        <v>4</v>
      </c>
      <c r="B32" s="415" t="s">
        <v>990</v>
      </c>
      <c r="C32" s="401" t="s"/>
      <c r="D32" s="401" t="s"/>
      <c r="E32" s="376">
        <f>=IF(AND(E$133&gt;=$C25,OR($D$125="归还贷款",E$125&lt;0)),MIN(E27,E27/E$140*(E$125-E$139)),0)</f>
        <v>0</v>
      </c>
      <c r="F32" s="376">
        <f>=IF(AND(F$133&gt;=$C25,OR($D$125="归还贷款",F$125&lt;0)),MIN(F27,F27/F$140*(F$125-F$139)),0)</f>
        <v>0</v>
      </c>
      <c r="G32" s="376">
        <f>=IF(G$138&gt;0,MIN(G27,G27/G$138*(G$125-G$139)),0)</f>
        <v>0</v>
      </c>
      <c r="H32" s="376">
        <f>=IF(H$138&gt;0,MIN(H27,H27/H$138*(H$125-H$139)),0)</f>
        <v>0</v>
      </c>
      <c r="I32" s="376">
        <f>=IF(I$138&gt;0,MIN(I27,I27/I$138*(I$125-I$139)),0)</f>
        <v>0</v>
      </c>
      <c r="J32" s="376">
        <f>=IF(J$138&gt;0,MIN(J27,J27/J$138*(J$125-J$139)),0)</f>
        <v>0</v>
      </c>
      <c r="K32" s="376">
        <f>=IF(K$138&gt;0,MIN(K27,K27/K$138*(K$125-K$139)),0)</f>
        <v>0</v>
      </c>
      <c r="L32" s="376">
        <f>=IF(L$138&gt;0,MIN(L27,L27/L$138*(L$125-L$139)),0)</f>
        <v>0</v>
      </c>
      <c r="M32" s="376">
        <f>=IF(M$138&gt;0,MIN(M27,M27/M$138*(M$125-M$139)),0)</f>
        <v>0</v>
      </c>
      <c r="N32" s="376">
        <f>=IF(N$138&gt;0,MIN(N27,N27/N$138*(N$125-N$139)),0)</f>
        <v>0</v>
      </c>
      <c r="O32" s="376">
        <f>=IF(O$138&gt;0,MIN(O27,O27/O$138*(O$125-O$139)),0)</f>
        <v>0</v>
      </c>
      <c r="P32" s="376">
        <f>=IF(P$138&gt;0,MIN(P27,P27/P$138*(P$125-P$139)),0)</f>
        <v>0</v>
      </c>
      <c r="Q32" s="376">
        <f>=IF(Q$138&gt;0,MIN(Q27,Q27/Q$138*(Q$125-Q$139)),0)</f>
        <v>0</v>
      </c>
      <c r="R32" s="376">
        <f>=IF(R$138&gt;0,MIN(R27,R27/R$138*(R$125-R$139)),0)</f>
        <v>0</v>
      </c>
      <c r="S32" s="376">
        <f>=IF(S$138&gt;0,MIN(S27,S27/S$138*(S$125-S$139)),0)</f>
        <v>0</v>
      </c>
      <c r="T32" s="376">
        <f>=IF(T$138&gt;0,MIN(T27,T27/T$138*(T$125-T$139)),0)</f>
        <v>0</v>
      </c>
      <c r="U32" s="376">
        <f>=IF(U$138&gt;0,MIN(U27,U27/U$138*(U$125-U$139)),0)</f>
        <v>0</v>
      </c>
      <c r="V32" s="376">
        <f>=IF(V$138&gt;0,MIN(V27,V27/V$138*(V$125-V$139)),0)</f>
        <v>0</v>
      </c>
      <c r="W32" s="376">
        <f>=IF(W$138&gt;0,MIN(W27,W27/W$138*(W$125-W$139)),0)</f>
        <v>0</v>
      </c>
      <c r="X32" s="376">
        <f>=IF(X$138&gt;0,MIN(X27,X27/X$138*(X$125-X$139)),0)</f>
        <v>0</v>
      </c>
      <c r="Y32" s="376">
        <f>=IF(Y$138&gt;0,MIN(Y27,Y27/Y$138*(Y$125-Y$139)),0)</f>
        <v>0</v>
      </c>
      <c r="Z32" s="376">
        <f>=IF(Z$138&gt;0,MIN(Z27,Z27/Z$138*(Z$125-Z$139)),0)</f>
        <v>0</v>
      </c>
    </row>
    <row r="33" spans="1:26" s="699" customFormat="true" ht="12" customHeight="true">
      <c r="A33" s="373">
        <v>5</v>
      </c>
      <c r="B33" s="415" t="s">
        <v>991</v>
      </c>
      <c r="C33" s="401" t="s"/>
      <c r="D33" s="401" t="s"/>
      <c r="E33" s="376">
        <f>=E29</f>
        <v>0</v>
      </c>
      <c r="F33" s="376">
        <f>=F29</f>
        <v>0</v>
      </c>
      <c r="G33" s="376">
        <f>=G29</f>
        <v>0</v>
      </c>
      <c r="H33" s="376">
        <f>=H29</f>
        <v>0</v>
      </c>
      <c r="I33" s="376">
        <f>=I29</f>
        <v>0</v>
      </c>
      <c r="J33" s="376">
        <f>=J29</f>
        <v>0</v>
      </c>
      <c r="K33" s="376">
        <f>=K29</f>
        <v>0</v>
      </c>
      <c r="L33" s="376">
        <f>=L29</f>
        <v>0</v>
      </c>
      <c r="M33" s="376">
        <f>=M29</f>
        <v>0</v>
      </c>
      <c r="N33" s="376">
        <f>=N29</f>
        <v>0</v>
      </c>
      <c r="O33" s="376">
        <f>=O29</f>
        <v>0</v>
      </c>
      <c r="P33" s="376">
        <f>=P29</f>
        <v>0</v>
      </c>
      <c r="Q33" s="376">
        <f>=Q29</f>
        <v>0</v>
      </c>
      <c r="R33" s="376">
        <f>=R29</f>
        <v>0</v>
      </c>
      <c r="S33" s="376">
        <f>=S29</f>
        <v>0</v>
      </c>
      <c r="T33" s="376">
        <f>=T29</f>
        <v>0</v>
      </c>
      <c r="U33" s="376">
        <f>=U29</f>
        <v>0</v>
      </c>
      <c r="V33" s="376">
        <f>=V29</f>
        <v>0</v>
      </c>
      <c r="W33" s="376">
        <f>=W29</f>
        <v>0</v>
      </c>
      <c r="X33" s="376">
        <f>=X29</f>
        <v>0</v>
      </c>
      <c r="Y33" s="376">
        <f>=Y29</f>
        <v>0</v>
      </c>
      <c r="Z33" s="376">
        <f>=Z29</f>
        <v>0</v>
      </c>
    </row>
    <row r="34" spans="1:26" s="699" customFormat="true" ht="12" customHeight="true">
      <c r="A34" s="373">
        <v>6</v>
      </c>
      <c r="B34" s="415" t="s">
        <v>992</v>
      </c>
      <c r="C34" s="401" t="s"/>
      <c r="D34" s="401" t="s"/>
      <c r="E34" s="376">
        <f>=E27+E28-E32</f>
        <v>0</v>
      </c>
      <c r="F34" s="376">
        <f>=F27+F28-F32</f>
        <v>0</v>
      </c>
      <c r="G34" s="376">
        <f>=G27+G28-G32</f>
        <v>0</v>
      </c>
      <c r="H34" s="376">
        <f>=H27+H28-H32</f>
        <v>0</v>
      </c>
      <c r="I34" s="376">
        <f>=I27+I28-I32</f>
        <v>0</v>
      </c>
      <c r="J34" s="376">
        <f>=J27+J28-J32</f>
        <v>0</v>
      </c>
      <c r="K34" s="376">
        <f>=K27+K28-K32</f>
        <v>0</v>
      </c>
      <c r="L34" s="376">
        <f>=L27+L28-L32</f>
        <v>0</v>
      </c>
      <c r="M34" s="376">
        <f>=M27+M28-M32</f>
        <v>0</v>
      </c>
      <c r="N34" s="376">
        <f>=N27+N28-N32</f>
        <v>0</v>
      </c>
      <c r="O34" s="376">
        <f>=O27+O28-O32</f>
        <v>0</v>
      </c>
      <c r="P34" s="376">
        <f>=P27+P28-P32</f>
        <v>0</v>
      </c>
      <c r="Q34" s="376">
        <f>=Q27+Q28-Q32</f>
        <v>0</v>
      </c>
      <c r="R34" s="376">
        <f>=R27+R28-R32</f>
        <v>0</v>
      </c>
      <c r="S34" s="376">
        <f>=S27+S28-S32</f>
        <v>0</v>
      </c>
      <c r="T34" s="376">
        <f>=T27+T28-T32</f>
        <v>0</v>
      </c>
      <c r="U34" s="376">
        <f>=U27+U28-U32</f>
        <v>0</v>
      </c>
      <c r="V34" s="376">
        <f>=V27+V28-V32</f>
        <v>0</v>
      </c>
      <c r="W34" s="376">
        <f>=W27+W28-W32</f>
        <v>0</v>
      </c>
      <c r="X34" s="376">
        <f>=X27+X28-X32</f>
        <v>0</v>
      </c>
      <c r="Y34" s="376">
        <f>=Y27+Y28-Y32</f>
        <v>0</v>
      </c>
      <c r="Z34" s="376">
        <f>=Z27+Z28-Z32</f>
        <v>0</v>
      </c>
    </row>
    <row r="35" spans="1:26" s="699" customFormat="true" ht="12" customHeight="true">
      <c r="A35" s="373">
        <v>1.3</v>
      </c>
      <c r="B35" s="415" t="s">
        <v>1004</v>
      </c>
      <c r="C35" s="525">
        <f>=辅助表1评估项目基础数据表!$C$3+1</f>
        <v>3</v>
      </c>
      <c r="D35" s="524" t="s"/>
      <c r="E35" s="415" t="s"/>
      <c r="F35" s="415" t="s"/>
      <c r="G35" s="415" t="s"/>
      <c r="H35" s="415" t="s"/>
      <c r="I35" s="415" t="s"/>
      <c r="J35" s="415" t="s"/>
      <c r="K35" s="415" t="s"/>
      <c r="L35" s="415" t="s"/>
      <c r="M35" s="415" t="s"/>
      <c r="N35" s="415" t="s"/>
      <c r="O35" s="415" t="s"/>
      <c r="P35" s="415" t="s"/>
      <c r="Q35" s="415" t="s"/>
      <c r="R35" s="415" t="s"/>
      <c r="S35" s="415" t="s"/>
      <c r="T35" s="415" t="s"/>
      <c r="U35" s="415" t="s"/>
      <c r="V35" s="415" t="s"/>
      <c r="W35" s="415" t="s"/>
      <c r="X35" s="415" t="s"/>
      <c r="Y35" s="415" t="s"/>
      <c r="Z35" s="415" t="s"/>
    </row>
    <row r="36" spans="1:26" s="699" customFormat="true" ht="12" customHeight="true">
      <c r="A36" s="373" t="s"/>
      <c r="B36" s="415" t="s">
        <v>996</v>
      </c>
      <c r="C36" s="401" t="s"/>
      <c r="D36" s="401" t="s"/>
      <c r="E36" s="526">
        <f>=IF(E37+E38&gt;0,辅助表1评估项目基础数据表!$C$4,0)</f>
        <v>0</v>
      </c>
      <c r="F36" s="526">
        <f>=IF(F37+F38&gt;0,12,0)</f>
        <v>0</v>
      </c>
      <c r="G36" s="526">
        <f>=IF(G37+G38&gt;0,12,0)</f>
        <v>0</v>
      </c>
      <c r="H36" s="526">
        <f>=IF(H37+H38&gt;0,12,0)</f>
        <v>0</v>
      </c>
      <c r="I36" s="526">
        <f>=IF(I37+I38&gt;0,12,0)</f>
        <v>0</v>
      </c>
      <c r="J36" s="526">
        <f>=IF(J37+J38&gt;0,12,0)</f>
        <v>0</v>
      </c>
      <c r="K36" s="526">
        <f>=IF(K37+K38&gt;0,12,0)</f>
        <v>0</v>
      </c>
      <c r="L36" s="526">
        <f>=IF(L37+L38&gt;0,12,0)</f>
        <v>0</v>
      </c>
      <c r="M36" s="526">
        <f>=IF(M37+M38&gt;0,12,0)</f>
        <v>0</v>
      </c>
      <c r="N36" s="526">
        <f>=IF(N37+N38&gt;0,12,0)</f>
        <v>0</v>
      </c>
      <c r="O36" s="526">
        <f>=IF(O37+O38&gt;0,12,0)</f>
        <v>0</v>
      </c>
      <c r="P36" s="526">
        <f>=IF(P37+P38&gt;0,12,0)</f>
        <v>0</v>
      </c>
      <c r="Q36" s="526">
        <f>=IF(Q37+Q38&gt;0,12,0)</f>
        <v>0</v>
      </c>
      <c r="R36" s="526">
        <f>=IF(R37+R38&gt;0,12,0)</f>
        <v>0</v>
      </c>
      <c r="S36" s="526">
        <f>=IF(S37+S38&gt;0,12,0)</f>
        <v>0</v>
      </c>
      <c r="T36" s="526">
        <f>=IF(T37+T38&gt;0,12,0)</f>
        <v>0</v>
      </c>
      <c r="U36" s="526">
        <f>=IF(U37+U38&gt;0,12,0)</f>
        <v>0</v>
      </c>
      <c r="V36" s="526">
        <f>=IF(V37+V38&gt;0,12,0)</f>
        <v>0</v>
      </c>
      <c r="W36" s="526">
        <f>=IF(W37+W38&gt;0,12,0)</f>
        <v>0</v>
      </c>
      <c r="X36" s="526">
        <f>=IF(X37+X38&gt;0,12,0)</f>
        <v>0</v>
      </c>
      <c r="Y36" s="526">
        <f>=IF(Y37+Y38&gt;0,12,0)</f>
        <v>0</v>
      </c>
      <c r="Z36" s="526">
        <f>=IF(Z37+Z38&gt;0,12,0)</f>
        <v>0</v>
      </c>
    </row>
    <row r="37" spans="1:26" s="699" customFormat="true" ht="12" customHeight="true">
      <c r="A37" s="373">
        <v>1</v>
      </c>
      <c r="B37" s="415" t="s">
        <v>985</v>
      </c>
      <c r="C37" s="401" t="s"/>
      <c r="D37" s="401" t="s"/>
      <c r="E37" s="376">
        <v>0</v>
      </c>
      <c r="F37" s="376">
        <f>=E44</f>
        <v>0</v>
      </c>
      <c r="G37" s="376">
        <f>=F44</f>
        <v>0</v>
      </c>
      <c r="H37" s="376">
        <f>=G44</f>
        <v>0</v>
      </c>
      <c r="I37" s="376">
        <f>=H44</f>
        <v>0</v>
      </c>
      <c r="J37" s="376">
        <f>=I44</f>
        <v>0</v>
      </c>
      <c r="K37" s="376">
        <f>=J44</f>
        <v>0</v>
      </c>
      <c r="L37" s="376">
        <f>=K44</f>
        <v>0</v>
      </c>
      <c r="M37" s="376">
        <f>=L44</f>
        <v>0</v>
      </c>
      <c r="N37" s="376">
        <f>=M44</f>
        <v>0</v>
      </c>
      <c r="O37" s="376">
        <f>=N44</f>
        <v>0</v>
      </c>
      <c r="P37" s="376">
        <f>=O44</f>
        <v>0</v>
      </c>
      <c r="Q37" s="376">
        <f>=P44</f>
        <v>0</v>
      </c>
      <c r="R37" s="376">
        <f>=Q44</f>
        <v>0</v>
      </c>
      <c r="S37" s="376">
        <f>=R44</f>
        <v>0</v>
      </c>
      <c r="T37" s="376">
        <f>=S44</f>
        <v>0</v>
      </c>
      <c r="U37" s="376">
        <f>=T44</f>
        <v>0</v>
      </c>
      <c r="V37" s="376">
        <f>=U44</f>
        <v>0</v>
      </c>
      <c r="W37" s="376">
        <f>=V44</f>
        <v>0</v>
      </c>
      <c r="X37" s="376">
        <f>=W44</f>
        <v>0</v>
      </c>
      <c r="Y37" s="376">
        <f>=X44</f>
        <v>0</v>
      </c>
      <c r="Z37" s="376">
        <f>=Y44</f>
        <v>0</v>
      </c>
    </row>
    <row r="38" spans="1:26" s="699" customFormat="true" ht="12" customHeight="true">
      <c r="A38" s="373">
        <v>2</v>
      </c>
      <c r="B38" s="415" t="s">
        <v>986</v>
      </c>
      <c r="C38" s="401" t="s"/>
      <c r="D38" s="401" t="s"/>
      <c r="E38" s="376">
        <f>=评估表3投资计划与资金筹措表!F30</f>
        <v>0</v>
      </c>
      <c r="F38" s="376">
        <f>=评估表3投资计划与资金筹措表!G30</f>
        <v>0</v>
      </c>
      <c r="G38" s="376">
        <f>=评估表3投资计划与资金筹措表!R30</f>
        <v>0</v>
      </c>
      <c r="H38" s="376">
        <f>=评估表3投资计划与资金筹措表!S30</f>
        <v>0</v>
      </c>
      <c r="I38" s="376">
        <f>=评估表3投资计划与资金筹措表!T30</f>
        <v>0</v>
      </c>
      <c r="J38" s="376">
        <f>=评估表3投资计划与资金筹措表!U30</f>
        <v>0</v>
      </c>
      <c r="K38" s="376">
        <f>=评估表3投资计划与资金筹措表!V30</f>
        <v>0</v>
      </c>
      <c r="L38" s="376">
        <f>=评估表3投资计划与资金筹措表!W30</f>
        <v>0</v>
      </c>
      <c r="M38" s="376" t="s"/>
      <c r="N38" s="376" t="s"/>
      <c r="O38" s="376" t="s"/>
      <c r="P38" s="376" t="s"/>
      <c r="Q38" s="376" t="s"/>
      <c r="R38" s="376" t="s"/>
      <c r="S38" s="376" t="s"/>
      <c r="T38" s="376" t="s"/>
      <c r="U38" s="376" t="s"/>
      <c r="V38" s="376" t="s"/>
      <c r="W38" s="376" t="s"/>
      <c r="X38" s="376" t="s"/>
      <c r="Y38" s="376" t="s"/>
      <c r="Z38" s="376" t="s"/>
    </row>
    <row r="39" spans="1:26" s="699" customFormat="true" ht="12" customHeight="true">
      <c r="A39" s="373">
        <v>3</v>
      </c>
      <c r="B39" s="415" t="s">
        <v>987</v>
      </c>
      <c r="C39" s="401" t="s"/>
      <c r="D39" s="401" t="s"/>
      <c r="E39" s="376">
        <f>=(E37+E38/2)*评估表3投资计划与资金筹措表!$D$30*E36/12</f>
        <v>0</v>
      </c>
      <c r="F39" s="376">
        <f>=(F37+F38/2)*评估表3投资计划与资金筹措表!$D$30*F36/12</f>
        <v>0</v>
      </c>
      <c r="G39" s="376">
        <f>=(G37+G38/2)*评估表3投资计划与资金筹措表!$D$30*G36/12</f>
        <v>0</v>
      </c>
      <c r="H39" s="376">
        <f>=(H37+H38/2)*评估表3投资计划与资金筹措表!$D$30*H36/12</f>
        <v>0</v>
      </c>
      <c r="I39" s="376">
        <f>=(I37+I38/2)*评估表3投资计划与资金筹措表!$D$30*I36/12</f>
        <v>0</v>
      </c>
      <c r="J39" s="376">
        <f>=(J37+J38/2)*评估表3投资计划与资金筹措表!$D$30*J36/12</f>
        <v>0</v>
      </c>
      <c r="K39" s="376">
        <f>=(K37+K38/2)*评估表3投资计划与资金筹措表!$D$30*K36/12</f>
        <v>0</v>
      </c>
      <c r="L39" s="376">
        <f>=(L37+L38/2)*评估表3投资计划与资金筹措表!$D$30*L36/12</f>
        <v>0</v>
      </c>
      <c r="M39" s="376">
        <f>=(M37+M38/2)*评估表3投资计划与资金筹措表!$D$30*M36/12</f>
        <v>0</v>
      </c>
      <c r="N39" s="376">
        <f>=(N37+N38/2)*评估表3投资计划与资金筹措表!$D$30*N36/12</f>
        <v>0</v>
      </c>
      <c r="O39" s="376">
        <f>=(O37+O38/2)*评估表3投资计划与资金筹措表!$D$30*O36/12</f>
        <v>0</v>
      </c>
      <c r="P39" s="376">
        <f>=(P37+P38/2)*评估表3投资计划与资金筹措表!$D$30*P36/12</f>
        <v>0</v>
      </c>
      <c r="Q39" s="376">
        <f>=(Q37+Q38/2)*评估表3投资计划与资金筹措表!$D$30*Q36/12</f>
        <v>0</v>
      </c>
      <c r="R39" s="376">
        <f>=(R37+R38/2)*评估表3投资计划与资金筹措表!$D$30*R36/12</f>
        <v>0</v>
      </c>
      <c r="S39" s="376">
        <f>=(S37+S38/2)*评估表3投资计划与资金筹措表!$D$30*S36/12</f>
        <v>0</v>
      </c>
      <c r="T39" s="376">
        <f>=(T37+T38/2)*评估表3投资计划与资金筹措表!$D$30*T36/12</f>
        <v>0</v>
      </c>
      <c r="U39" s="376">
        <f>=(U37+U38/2)*评估表3投资计划与资金筹措表!$D$30*U36/12</f>
        <v>0</v>
      </c>
      <c r="V39" s="376">
        <f>=(V37+V38/2)*评估表3投资计划与资金筹措表!$D$30*V36/12</f>
        <v>0</v>
      </c>
      <c r="W39" s="376">
        <f>=(W37+W38/2)*评估表3投资计划与资金筹措表!$D$30*W36/12</f>
        <v>0</v>
      </c>
      <c r="X39" s="376">
        <f>=(X37+X38/2)*评估表3投资计划与资金筹措表!$D$30*X36/12</f>
        <v>0</v>
      </c>
      <c r="Y39" s="376">
        <f>=(Y37+Y38/2)*评估表3投资计划与资金筹措表!$D$30*Y36/12</f>
        <v>0</v>
      </c>
      <c r="Z39" s="376">
        <f>=(Z37+Z38/2)*评估表3投资计划与资金筹措表!$D$30*Z36/12</f>
        <v>0</v>
      </c>
    </row>
    <row r="40" spans="1:26" s="699" customFormat="true" ht="12" customHeight="true">
      <c r="A40" s="373">
        <v>3.1</v>
      </c>
      <c r="B40" s="415" t="s">
        <v>988</v>
      </c>
      <c r="C40" s="401" t="s"/>
      <c r="D40" s="401" t="s"/>
      <c r="E40" s="376">
        <f>=IF(E$133&lt;$C35,E39,0)</f>
        <v>0</v>
      </c>
      <c r="F40" s="376">
        <f>=IF(F$133&lt;$C35,F39,0)</f>
        <v>0</v>
      </c>
      <c r="G40" s="401" t="s"/>
      <c r="H40" s="401" t="s"/>
      <c r="I40" s="401" t="s"/>
      <c r="J40" s="401" t="s"/>
      <c r="K40" s="401" t="s"/>
      <c r="L40" s="401" t="s"/>
      <c r="M40" s="401" t="s"/>
      <c r="N40" s="401" t="s"/>
      <c r="O40" s="401" t="s"/>
      <c r="P40" s="401" t="s"/>
      <c r="Q40" s="401" t="s"/>
      <c r="R40" s="401" t="s"/>
      <c r="S40" s="401" t="s"/>
      <c r="T40" s="401" t="s"/>
      <c r="U40" s="401" t="s"/>
      <c r="V40" s="401" t="s"/>
      <c r="W40" s="401" t="s"/>
      <c r="X40" s="401" t="s"/>
      <c r="Y40" s="401" t="s"/>
      <c r="Z40" s="401" t="s"/>
    </row>
    <row r="41" spans="1:26" s="699" customFormat="true" ht="12" customHeight="true">
      <c r="A41" s="373">
        <v>3.2</v>
      </c>
      <c r="B41" s="415" t="s">
        <v>989</v>
      </c>
      <c r="C41" s="401" t="s"/>
      <c r="D41" s="401" t="s"/>
      <c r="E41" s="376">
        <f>=IF(E$133&gt;=$C35,E39,0)</f>
        <v>0</v>
      </c>
      <c r="F41" s="376">
        <f>=IF(F$133&gt;=$C35,F39,0)</f>
        <v>0</v>
      </c>
      <c r="G41" s="376">
        <f>=G39</f>
        <v>0</v>
      </c>
      <c r="H41" s="376">
        <f>=H39</f>
        <v>0</v>
      </c>
      <c r="I41" s="376">
        <f>=I39</f>
        <v>0</v>
      </c>
      <c r="J41" s="376">
        <f>=J39</f>
        <v>0</v>
      </c>
      <c r="K41" s="376">
        <f>=K39</f>
        <v>0</v>
      </c>
      <c r="L41" s="376">
        <f>=L39</f>
        <v>0</v>
      </c>
      <c r="M41" s="376">
        <f>=M39</f>
        <v>0</v>
      </c>
      <c r="N41" s="376">
        <f>=N39</f>
        <v>0</v>
      </c>
      <c r="O41" s="376">
        <f>=O39</f>
        <v>0</v>
      </c>
      <c r="P41" s="376">
        <f>=P39</f>
        <v>0</v>
      </c>
      <c r="Q41" s="376">
        <f>=Q39</f>
        <v>0</v>
      </c>
      <c r="R41" s="376">
        <f>=R39</f>
        <v>0</v>
      </c>
      <c r="S41" s="376">
        <f>=S39</f>
        <v>0</v>
      </c>
      <c r="T41" s="376">
        <f>=T39</f>
        <v>0</v>
      </c>
      <c r="U41" s="376">
        <f>=U39</f>
        <v>0</v>
      </c>
      <c r="V41" s="376">
        <f>=V39</f>
        <v>0</v>
      </c>
      <c r="W41" s="376">
        <f>=W39</f>
        <v>0</v>
      </c>
      <c r="X41" s="376">
        <f>=X39</f>
        <v>0</v>
      </c>
      <c r="Y41" s="376">
        <f>=Y39</f>
        <v>0</v>
      </c>
      <c r="Z41" s="376">
        <f>=Z39</f>
        <v>0</v>
      </c>
    </row>
    <row r="42" spans="1:26" s="699" customFormat="true" ht="12" customHeight="true">
      <c r="A42" s="373">
        <v>4</v>
      </c>
      <c r="B42" s="415" t="s">
        <v>990</v>
      </c>
      <c r="C42" s="401" t="s"/>
      <c r="D42" s="401" t="s"/>
      <c r="E42" s="376">
        <f>=IF(AND(E$133&gt;=$C35,OR($D$125="归还贷款",E$125&lt;0)),MIN(E37,E37/E$140*(E$125-E$139)),0)</f>
        <v>0</v>
      </c>
      <c r="F42" s="376">
        <f>=IF(AND(F$133&gt;=$C35,OR($D$125="归还贷款",F$125&lt;0)),MIN(F37,F37/F$140*(F$125-F$139)),0)</f>
        <v>0</v>
      </c>
      <c r="G42" s="376">
        <f>=IF(G$138&gt;0,MIN(G37,G37/G$138*(G$125-G$139)),0)</f>
        <v>0</v>
      </c>
      <c r="H42" s="376">
        <f>=IF(H$138&gt;0,MIN(H37,H37/H$138*(H$125-H$139)),0)</f>
        <v>0</v>
      </c>
      <c r="I42" s="376">
        <f>=IF(I$138&gt;0,MIN(I37,I37/I$138*(I$125-I$139)),0)</f>
        <v>0</v>
      </c>
      <c r="J42" s="376">
        <f>=IF(J$138&gt;0,MIN(J37,J37/J$138*(J$125-J$139)),0)</f>
        <v>0</v>
      </c>
      <c r="K42" s="376">
        <f>=IF(K$138&gt;0,MIN(K37,K37/K$138*(K$125-K$139)),0)</f>
        <v>0</v>
      </c>
      <c r="L42" s="376">
        <f>=IF(L$138&gt;0,MIN(L37,L37/L$138*(L$125-L$139)),0)</f>
        <v>0</v>
      </c>
      <c r="M42" s="376">
        <f>=IF(M$138&gt;0,MIN(M37,M37/M$138*(M$125-M$139)),0)</f>
        <v>0</v>
      </c>
      <c r="N42" s="376">
        <f>=IF(N$138&gt;0,MIN(N37,N37/N$138*(N$125-N$139)),0)</f>
        <v>0</v>
      </c>
      <c r="O42" s="376">
        <f>=IF(O$138&gt;0,MIN(O37,O37/O$138*(O$125-O$139)),0)</f>
        <v>0</v>
      </c>
      <c r="P42" s="376">
        <f>=IF(P$138&gt;0,MIN(P37,P37/P$138*(P$125-P$139)),0)</f>
        <v>0</v>
      </c>
      <c r="Q42" s="376">
        <f>=IF(Q$138&gt;0,MIN(Q37,Q37/Q$138*(Q$125-Q$139)),0)</f>
        <v>0</v>
      </c>
      <c r="R42" s="376">
        <f>=IF(R$138&gt;0,MIN(R37,R37/R$138*(R$125-R$139)),0)</f>
        <v>0</v>
      </c>
      <c r="S42" s="376">
        <f>=IF(S$138&gt;0,MIN(S37,S37/S$138*(S$125-S$139)),0)</f>
        <v>0</v>
      </c>
      <c r="T42" s="376">
        <f>=IF(T$138&gt;0,MIN(T37,T37/T$138*(T$125-T$139)),0)</f>
        <v>0</v>
      </c>
      <c r="U42" s="376">
        <f>=IF(U$138&gt;0,MIN(U37,U37/U$138*(U$125-U$139)),0)</f>
        <v>0</v>
      </c>
      <c r="V42" s="376">
        <f>=IF(V$138&gt;0,MIN(V37,V37/V$138*(V$125-V$139)),0)</f>
        <v>0</v>
      </c>
      <c r="W42" s="376">
        <f>=IF(W$138&gt;0,MIN(W37,W37/W$138*(W$125-W$139)),0)</f>
        <v>0</v>
      </c>
      <c r="X42" s="376">
        <f>=IF(X$138&gt;0,MIN(X37,X37/X$138*(X$125-X$139)),0)</f>
        <v>0</v>
      </c>
      <c r="Y42" s="376">
        <f>=IF(Y$138&gt;0,MIN(Y37,Y37/Y$138*(Y$125-Y$139)),0)</f>
        <v>0</v>
      </c>
      <c r="Z42" s="376">
        <f>=IF(Z$138&gt;0,MIN(Z37,Z37/Z$138*(Z$125-Z$139)),0)</f>
        <v>0</v>
      </c>
    </row>
    <row r="43" spans="1:26" s="699" customFormat="true" ht="12" customHeight="true">
      <c r="A43" s="373">
        <v>5</v>
      </c>
      <c r="B43" s="415" t="s">
        <v>991</v>
      </c>
      <c r="C43" s="401" t="s"/>
      <c r="D43" s="401" t="s"/>
      <c r="E43" s="376">
        <f>=E39</f>
        <v>0</v>
      </c>
      <c r="F43" s="376">
        <f>=F39</f>
        <v>0</v>
      </c>
      <c r="G43" s="376">
        <f>=G39</f>
        <v>0</v>
      </c>
      <c r="H43" s="376">
        <f>=H39</f>
        <v>0</v>
      </c>
      <c r="I43" s="376">
        <f>=I39</f>
        <v>0</v>
      </c>
      <c r="J43" s="376">
        <f>=J39</f>
        <v>0</v>
      </c>
      <c r="K43" s="376">
        <f>=K39</f>
        <v>0</v>
      </c>
      <c r="L43" s="376">
        <f>=L39</f>
        <v>0</v>
      </c>
      <c r="M43" s="376">
        <f>=M39</f>
        <v>0</v>
      </c>
      <c r="N43" s="376">
        <f>=N39</f>
        <v>0</v>
      </c>
      <c r="O43" s="376">
        <f>=O39</f>
        <v>0</v>
      </c>
      <c r="P43" s="376">
        <f>=P39</f>
        <v>0</v>
      </c>
      <c r="Q43" s="376">
        <f>=Q39</f>
        <v>0</v>
      </c>
      <c r="R43" s="376">
        <f>=R39</f>
        <v>0</v>
      </c>
      <c r="S43" s="376">
        <f>=S39</f>
        <v>0</v>
      </c>
      <c r="T43" s="376">
        <f>=T39</f>
        <v>0</v>
      </c>
      <c r="U43" s="376">
        <f>=U39</f>
        <v>0</v>
      </c>
      <c r="V43" s="376">
        <f>=V39</f>
        <v>0</v>
      </c>
      <c r="W43" s="376">
        <f>=W39</f>
        <v>0</v>
      </c>
      <c r="X43" s="376">
        <f>=X39</f>
        <v>0</v>
      </c>
      <c r="Y43" s="376">
        <f>=Y39</f>
        <v>0</v>
      </c>
      <c r="Z43" s="376">
        <f>=Z39</f>
        <v>0</v>
      </c>
    </row>
    <row r="44" spans="1:26" s="699" customFormat="true" ht="12" customHeight="true">
      <c r="A44" s="373">
        <v>6</v>
      </c>
      <c r="B44" s="415" t="s">
        <v>992</v>
      </c>
      <c r="C44" s="401" t="s"/>
      <c r="D44" s="401" t="s"/>
      <c r="E44" s="376">
        <f>=E37+E38-E42</f>
        <v>0</v>
      </c>
      <c r="F44" s="376">
        <f>=F37+F38-F42</f>
        <v>0</v>
      </c>
      <c r="G44" s="376">
        <f>=G37+G38-G42</f>
        <v>0</v>
      </c>
      <c r="H44" s="376">
        <f>=H37+H38-H42</f>
        <v>0</v>
      </c>
      <c r="I44" s="376">
        <f>=I37+I38-I42</f>
        <v>0</v>
      </c>
      <c r="J44" s="376">
        <f>=J37+J38-J42</f>
        <v>0</v>
      </c>
      <c r="K44" s="376">
        <f>=K37+K38-K42</f>
        <v>0</v>
      </c>
      <c r="L44" s="376">
        <f>=L37+L38-L42</f>
        <v>0</v>
      </c>
      <c r="M44" s="376">
        <f>=M37+M38-M42</f>
        <v>0</v>
      </c>
      <c r="N44" s="376">
        <f>=N37+N38-N42</f>
        <v>0</v>
      </c>
      <c r="O44" s="376">
        <f>=O37+O38-O42</f>
        <v>0</v>
      </c>
      <c r="P44" s="376">
        <f>=P37+P38-P42</f>
        <v>0</v>
      </c>
      <c r="Q44" s="376">
        <f>=Q37+Q38-Q42</f>
        <v>0</v>
      </c>
      <c r="R44" s="376">
        <f>=R37+R38-R42</f>
        <v>0</v>
      </c>
      <c r="S44" s="376">
        <f>=S37+S38-S42</f>
        <v>0</v>
      </c>
      <c r="T44" s="376">
        <f>=T37+T38-T42</f>
        <v>0</v>
      </c>
      <c r="U44" s="376">
        <f>=U37+U38-U42</f>
        <v>0</v>
      </c>
      <c r="V44" s="376">
        <f>=V37+V38-V42</f>
        <v>0</v>
      </c>
      <c r="W44" s="376">
        <f>=W37+W38-W42</f>
        <v>0</v>
      </c>
      <c r="X44" s="376">
        <f>=X37+X38-X42</f>
        <v>0</v>
      </c>
      <c r="Y44" s="376">
        <f>=Y37+Y38-Y42</f>
        <v>0</v>
      </c>
      <c r="Z44" s="376">
        <f>=Z37+Z38-Z42</f>
        <v>0</v>
      </c>
    </row>
    <row r="45" spans="1:26" s="699" customFormat="true" ht="12" customHeight="true">
      <c r="A45" s="373">
        <v>1.4</v>
      </c>
      <c r="B45" s="415" t="s">
        <v>1005</v>
      </c>
      <c r="C45" s="525">
        <f>=辅助表1评估项目基础数据表!$C$3+1</f>
        <v>3</v>
      </c>
      <c r="D45" s="524" t="s"/>
      <c r="E45" s="531" t="s"/>
      <c r="F45" s="531" t="s"/>
      <c r="G45" s="531" t="s"/>
      <c r="H45" s="531" t="s"/>
      <c r="I45" s="531" t="s"/>
      <c r="J45" s="531" t="s"/>
      <c r="K45" s="531" t="s"/>
      <c r="L45" s="531" t="s"/>
      <c r="M45" s="531" t="s"/>
      <c r="N45" s="531" t="s"/>
      <c r="O45" s="531" t="s"/>
      <c r="P45" s="531" t="s"/>
      <c r="Q45" s="531" t="s"/>
      <c r="R45" s="531" t="s"/>
      <c r="S45" s="531" t="s"/>
      <c r="T45" s="531" t="s"/>
      <c r="U45" s="531" t="s"/>
      <c r="V45" s="531" t="s"/>
      <c r="W45" s="531" t="s"/>
      <c r="X45" s="531" t="s"/>
      <c r="Y45" s="531" t="s"/>
      <c r="Z45" s="531" t="s"/>
    </row>
    <row r="46" spans="1:26" s="699" customFormat="true" ht="12" customHeight="true">
      <c r="A46" s="373" t="s"/>
      <c r="B46" s="415" t="s">
        <v>996</v>
      </c>
      <c r="C46" s="401" t="s"/>
      <c r="D46" s="401" t="s"/>
      <c r="E46" s="526">
        <f>=IF(E47+E48&gt;0,辅助表1评估项目基础数据表!$C$4,0)</f>
        <v>0</v>
      </c>
      <c r="F46" s="526">
        <f>=IF(F47+F48&gt;0,12,0)</f>
        <v>0</v>
      </c>
      <c r="G46" s="526">
        <f>=IF(G47+G48&gt;0,12,0)</f>
        <v>0</v>
      </c>
      <c r="H46" s="526">
        <f>=IF(H47+H48&gt;0,12,0)</f>
        <v>0</v>
      </c>
      <c r="I46" s="526">
        <f>=IF(I47+I48&gt;0,12,0)</f>
        <v>0</v>
      </c>
      <c r="J46" s="526">
        <f>=IF(J47+J48&gt;0,12,0)</f>
        <v>0</v>
      </c>
      <c r="K46" s="526">
        <f>=IF(K47+K48&gt;0,12,0)</f>
        <v>0</v>
      </c>
      <c r="L46" s="526">
        <f>=IF(L47+L48&gt;0,12,0)</f>
        <v>0</v>
      </c>
      <c r="M46" s="526">
        <f>=IF(M47+M48&gt;0,12,0)</f>
        <v>0</v>
      </c>
      <c r="N46" s="526">
        <f>=IF(N47+N48&gt;0,12,0)</f>
        <v>0</v>
      </c>
      <c r="O46" s="526">
        <f>=IF(O47+O48&gt;0,12,0)</f>
        <v>0</v>
      </c>
      <c r="P46" s="526">
        <f>=IF(P47+P48&gt;0,12,0)</f>
        <v>0</v>
      </c>
      <c r="Q46" s="526">
        <f>=IF(Q47+Q48&gt;0,12,0)</f>
        <v>0</v>
      </c>
      <c r="R46" s="526">
        <f>=IF(R47+R48&gt;0,12,0)</f>
        <v>0</v>
      </c>
      <c r="S46" s="526">
        <f>=IF(S47+S48&gt;0,12,0)</f>
        <v>0</v>
      </c>
      <c r="T46" s="526">
        <f>=IF(T47+T48&gt;0,12,0)</f>
        <v>0</v>
      </c>
      <c r="U46" s="526">
        <f>=IF(U47+U48&gt;0,12,0)</f>
        <v>0</v>
      </c>
      <c r="V46" s="526">
        <f>=IF(V47+V48&gt;0,12,0)</f>
        <v>0</v>
      </c>
      <c r="W46" s="526">
        <f>=IF(W47+W48&gt;0,12,0)</f>
        <v>0</v>
      </c>
      <c r="X46" s="526">
        <f>=IF(X47+X48&gt;0,12,0)</f>
        <v>0</v>
      </c>
      <c r="Y46" s="526">
        <f>=IF(Y47+Y48&gt;0,12,0)</f>
        <v>0</v>
      </c>
      <c r="Z46" s="526">
        <f>=IF(Z47+Z48&gt;0,12,0)</f>
        <v>0</v>
      </c>
    </row>
    <row r="47" spans="1:26" s="699" customFormat="true" ht="12" customHeight="true">
      <c r="A47" s="373">
        <v>1</v>
      </c>
      <c r="B47" s="415" t="s">
        <v>985</v>
      </c>
      <c r="C47" s="401" t="s"/>
      <c r="D47" s="401" t="s"/>
      <c r="E47" s="376">
        <v>0</v>
      </c>
      <c r="F47" s="376">
        <f>=E54</f>
        <v>0</v>
      </c>
      <c r="G47" s="376">
        <f>=F54</f>
        <v>0</v>
      </c>
      <c r="H47" s="376">
        <f>=G54</f>
        <v>0</v>
      </c>
      <c r="I47" s="376">
        <f>=H54</f>
        <v>0</v>
      </c>
      <c r="J47" s="376">
        <f>=I54</f>
        <v>0</v>
      </c>
      <c r="K47" s="376">
        <f>=J54</f>
        <v>0</v>
      </c>
      <c r="L47" s="376">
        <f>=K54</f>
        <v>0</v>
      </c>
      <c r="M47" s="376">
        <f>=L54</f>
        <v>0</v>
      </c>
      <c r="N47" s="376">
        <f>=M54</f>
        <v>0</v>
      </c>
      <c r="O47" s="376">
        <f>=N54</f>
        <v>0</v>
      </c>
      <c r="P47" s="376">
        <f>=O54</f>
        <v>0</v>
      </c>
      <c r="Q47" s="376">
        <f>=P54</f>
        <v>0</v>
      </c>
      <c r="R47" s="376">
        <f>=Q54</f>
        <v>0</v>
      </c>
      <c r="S47" s="376">
        <f>=R54</f>
        <v>0</v>
      </c>
      <c r="T47" s="376">
        <f>=S54</f>
        <v>0</v>
      </c>
      <c r="U47" s="376">
        <f>=T54</f>
        <v>0</v>
      </c>
      <c r="V47" s="376">
        <f>=U54</f>
        <v>0</v>
      </c>
      <c r="W47" s="376">
        <f>=V54</f>
        <v>0</v>
      </c>
      <c r="X47" s="376">
        <f>=W54</f>
        <v>0</v>
      </c>
      <c r="Y47" s="376">
        <f>=X54</f>
        <v>0</v>
      </c>
      <c r="Z47" s="376">
        <f>=Y54</f>
        <v>0</v>
      </c>
    </row>
    <row r="48" spans="1:26" s="699" customFormat="true" ht="12" customHeight="true">
      <c r="A48" s="373">
        <v>2</v>
      </c>
      <c r="B48" s="415" t="s">
        <v>986</v>
      </c>
      <c r="C48" s="401" t="s"/>
      <c r="D48" s="401" t="s"/>
      <c r="E48" s="376">
        <f>=评估表3投资计划与资金筹措表!F31</f>
        <v>0</v>
      </c>
      <c r="F48" s="376">
        <f>=评估表3投资计划与资金筹措表!G31</f>
        <v>0</v>
      </c>
      <c r="G48" s="376">
        <f>=评估表3投资计划与资金筹措表!R31</f>
        <v>0</v>
      </c>
      <c r="H48" s="376">
        <f>=评估表3投资计划与资金筹措表!S31</f>
        <v>0</v>
      </c>
      <c r="I48" s="376">
        <f>=评估表3投资计划与资金筹措表!T31</f>
        <v>0</v>
      </c>
      <c r="J48" s="376">
        <f>=评估表3投资计划与资金筹措表!U31</f>
        <v>0</v>
      </c>
      <c r="K48" s="376">
        <f>=评估表3投资计划与资金筹措表!V31</f>
        <v>0</v>
      </c>
      <c r="L48" s="376">
        <f>=评估表3投资计划与资金筹措表!W31</f>
        <v>0</v>
      </c>
      <c r="M48" s="401" t="s"/>
      <c r="N48" s="401" t="s"/>
      <c r="O48" s="401" t="s"/>
      <c r="P48" s="401" t="s"/>
      <c r="Q48" s="401" t="s"/>
      <c r="R48" s="401" t="s"/>
      <c r="S48" s="401" t="s"/>
      <c r="T48" s="401" t="s"/>
      <c r="U48" s="401" t="s"/>
      <c r="V48" s="401" t="s"/>
      <c r="W48" s="401" t="s"/>
      <c r="X48" s="401" t="s"/>
      <c r="Y48" s="401" t="s"/>
      <c r="Z48" s="401" t="s"/>
    </row>
    <row r="49" spans="1:26" s="699" customFormat="true" ht="12" customHeight="true">
      <c r="A49" s="373">
        <v>3</v>
      </c>
      <c r="B49" s="415" t="s">
        <v>987</v>
      </c>
      <c r="C49" s="401" t="s"/>
      <c r="D49" s="401" t="s"/>
      <c r="E49" s="376">
        <f>=(E47+E48/2)*评估表3投资计划与资金筹措表!$D$31*E46/12</f>
        <v>0</v>
      </c>
      <c r="F49" s="376">
        <f>=(F47+F48/2)*评估表3投资计划与资金筹措表!$D$31*F46/12</f>
        <v>0</v>
      </c>
      <c r="G49" s="376">
        <f>=(G47+G48/2)*评估表3投资计划与资金筹措表!$D$31*G46/12</f>
        <v>0</v>
      </c>
      <c r="H49" s="376">
        <f>=(H47+H48/2)*评估表3投资计划与资金筹措表!$D$31*H46/12</f>
        <v>0</v>
      </c>
      <c r="I49" s="376">
        <f>=(I47+I48/2)*评估表3投资计划与资金筹措表!$D$31*I46/12</f>
        <v>0</v>
      </c>
      <c r="J49" s="376">
        <f>=(J47+J48/2)*评估表3投资计划与资金筹措表!$D$31*J46/12</f>
        <v>0</v>
      </c>
      <c r="K49" s="376">
        <f>=(K47+K48/2)*评估表3投资计划与资金筹措表!$D$31*K46/12</f>
        <v>0</v>
      </c>
      <c r="L49" s="376">
        <f>=(L47+L48/2)*评估表3投资计划与资金筹措表!$D$31*L46/12</f>
        <v>0</v>
      </c>
      <c r="M49" s="376">
        <f>=(M47+M48/2)*评估表3投资计划与资金筹措表!$D$31*M46/12</f>
        <v>0</v>
      </c>
      <c r="N49" s="376">
        <f>=(N47+N48/2)*评估表3投资计划与资金筹措表!$D$31*N46/12</f>
        <v>0</v>
      </c>
      <c r="O49" s="376">
        <f>=(O47+O48/2)*评估表3投资计划与资金筹措表!$D$31*O46/12</f>
        <v>0</v>
      </c>
      <c r="P49" s="376">
        <f>=(P47+P48/2)*评估表3投资计划与资金筹措表!$D$31*P46/12</f>
        <v>0</v>
      </c>
      <c r="Q49" s="376">
        <f>=(Q47+Q48/2)*评估表3投资计划与资金筹措表!$D$31*Q46/12</f>
        <v>0</v>
      </c>
      <c r="R49" s="376">
        <f>=(R47+R48/2)*评估表3投资计划与资金筹措表!$D$31*R46/12</f>
        <v>0</v>
      </c>
      <c r="S49" s="376">
        <f>=(S47+S48/2)*评估表3投资计划与资金筹措表!$D$31*S46/12</f>
        <v>0</v>
      </c>
      <c r="T49" s="376">
        <f>=(T47+T48/2)*评估表3投资计划与资金筹措表!$D$31*T46/12</f>
        <v>0</v>
      </c>
      <c r="U49" s="376">
        <f>=(U47+U48/2)*评估表3投资计划与资金筹措表!$D$31*U46/12</f>
        <v>0</v>
      </c>
      <c r="V49" s="376">
        <f>=(V47+V48/2)*评估表3投资计划与资金筹措表!$D$31*V46/12</f>
        <v>0</v>
      </c>
      <c r="W49" s="376">
        <f>=(W47+W48/2)*评估表3投资计划与资金筹措表!$D$31*W46/12</f>
        <v>0</v>
      </c>
      <c r="X49" s="376">
        <f>=(X47+X48/2)*评估表3投资计划与资金筹措表!$D$31*X46/12</f>
        <v>0</v>
      </c>
      <c r="Y49" s="376">
        <f>=(Y47+Y48/2)*评估表3投资计划与资金筹措表!$D$31*Y46/12</f>
        <v>0</v>
      </c>
      <c r="Z49" s="376">
        <f>=(Z47+Z48/2)*评估表3投资计划与资金筹措表!$D$31*Z46/12</f>
        <v>0</v>
      </c>
    </row>
    <row r="50" spans="1:26" s="699" customFormat="true" ht="12" customHeight="true">
      <c r="A50" s="373">
        <v>3.1</v>
      </c>
      <c r="B50" s="415" t="s">
        <v>988</v>
      </c>
      <c r="C50" s="401" t="s"/>
      <c r="D50" s="401" t="s"/>
      <c r="E50" s="376">
        <f>=IF(E$133&lt;$C45,E49,0)</f>
        <v>0</v>
      </c>
      <c r="F50" s="376">
        <f>=IF(F$133&lt;$C45,F49,0)</f>
        <v>0</v>
      </c>
      <c r="G50" s="401" t="s"/>
      <c r="H50" s="401" t="s"/>
      <c r="I50" s="401" t="s"/>
      <c r="J50" s="401" t="s"/>
      <c r="K50" s="401" t="s"/>
      <c r="L50" s="401" t="s"/>
      <c r="M50" s="401" t="s"/>
      <c r="N50" s="401" t="s"/>
      <c r="O50" s="401" t="s"/>
      <c r="P50" s="401" t="s"/>
      <c r="Q50" s="401" t="s"/>
      <c r="R50" s="401" t="s"/>
      <c r="S50" s="401" t="s"/>
      <c r="T50" s="401" t="s"/>
      <c r="U50" s="401" t="s"/>
      <c r="V50" s="401" t="s"/>
      <c r="W50" s="401" t="s"/>
      <c r="X50" s="401" t="s"/>
      <c r="Y50" s="401" t="s"/>
      <c r="Z50" s="401" t="s"/>
    </row>
    <row r="51" spans="1:26" s="699" customFormat="true" ht="12" customHeight="true">
      <c r="A51" s="373">
        <v>3.2</v>
      </c>
      <c r="B51" s="415" t="s">
        <v>989</v>
      </c>
      <c r="C51" s="401" t="s"/>
      <c r="D51" s="401" t="s"/>
      <c r="E51" s="376">
        <f>=IF(E$133&gt;=$C45,E49,0)</f>
        <v>0</v>
      </c>
      <c r="F51" s="376">
        <f>=IF(F$133&gt;=$C45,F49,0)</f>
        <v>0</v>
      </c>
      <c r="G51" s="376">
        <f>=G49</f>
        <v>0</v>
      </c>
      <c r="H51" s="376">
        <f>=H49</f>
        <v>0</v>
      </c>
      <c r="I51" s="376">
        <f>=I49</f>
        <v>0</v>
      </c>
      <c r="J51" s="376">
        <f>=J49</f>
        <v>0</v>
      </c>
      <c r="K51" s="376">
        <f>=K49</f>
        <v>0</v>
      </c>
      <c r="L51" s="376">
        <f>=L49</f>
        <v>0</v>
      </c>
      <c r="M51" s="376">
        <f>=M49</f>
        <v>0</v>
      </c>
      <c r="N51" s="376">
        <f>=N49</f>
        <v>0</v>
      </c>
      <c r="O51" s="376">
        <f>=O49</f>
        <v>0</v>
      </c>
      <c r="P51" s="376">
        <f>=P49</f>
        <v>0</v>
      </c>
      <c r="Q51" s="376">
        <f>=Q49</f>
        <v>0</v>
      </c>
      <c r="R51" s="376">
        <f>=R49</f>
        <v>0</v>
      </c>
      <c r="S51" s="376">
        <f>=S49</f>
        <v>0</v>
      </c>
      <c r="T51" s="376">
        <f>=T49</f>
        <v>0</v>
      </c>
      <c r="U51" s="376">
        <f>=U49</f>
        <v>0</v>
      </c>
      <c r="V51" s="376">
        <f>=V49</f>
        <v>0</v>
      </c>
      <c r="W51" s="376">
        <f>=W49</f>
        <v>0</v>
      </c>
      <c r="X51" s="376">
        <f>=X49</f>
        <v>0</v>
      </c>
      <c r="Y51" s="376">
        <f>=Y49</f>
        <v>0</v>
      </c>
      <c r="Z51" s="376">
        <f>=Z49</f>
        <v>0</v>
      </c>
    </row>
    <row r="52" spans="1:26" s="699" customFormat="true" ht="12" customHeight="true">
      <c r="A52" s="373">
        <v>4</v>
      </c>
      <c r="B52" s="415" t="s">
        <v>990</v>
      </c>
      <c r="C52" s="401" t="s"/>
      <c r="D52" s="401" t="s"/>
      <c r="E52" s="376">
        <f>=IF(AND(E$133&gt;=$C45,OR($D$125="归还贷款",E$125&lt;0)),MIN(E47,E47/E$140*(E$125-E$139)),0)</f>
        <v>0</v>
      </c>
      <c r="F52" s="376">
        <f>=IF(AND(F$133&gt;=$C45,OR($D$125="归还贷款",F$125&lt;0)),MIN(F47,F47/F$140*(F$125-F$139)),0)</f>
        <v>0</v>
      </c>
      <c r="G52" s="376">
        <f>=IF(G$138&gt;0,MIN(G47,G47/G$138*(G$125-G$139)),0)</f>
        <v>0</v>
      </c>
      <c r="H52" s="376">
        <f>=IF(H$138&gt;0,MIN(H47,H47/H$138*(H$125-H$139)),0)</f>
        <v>0</v>
      </c>
      <c r="I52" s="376">
        <f>=IF(I$138&gt;0,MIN(I47,I47/I$138*(I$125-I$139)),0)</f>
        <v>0</v>
      </c>
      <c r="J52" s="376">
        <f>=IF(J$138&gt;0,MIN(J47,J47/J$138*(J$125-J$139)),0)</f>
        <v>0</v>
      </c>
      <c r="K52" s="376">
        <f>=IF(K$138&gt;0,MIN(K47,K47/K$138*(K$125-K$139)),0)</f>
        <v>0</v>
      </c>
      <c r="L52" s="376">
        <f>=IF(L$138&gt;0,MIN(L47,L47/L$138*(L$125-L$139)),0)</f>
        <v>0</v>
      </c>
      <c r="M52" s="376">
        <f>=IF(M$138&gt;0,MIN(M47,M47/M$138*(M$125-M$139)),0)</f>
        <v>0</v>
      </c>
      <c r="N52" s="376">
        <f>=IF(N$138&gt;0,MIN(N47,N47/N$138*(N$125-N$139)),0)</f>
        <v>0</v>
      </c>
      <c r="O52" s="376">
        <f>=IF(O$138&gt;0,MIN(O47,O47/O$138*(O$125-O$139)),0)</f>
        <v>0</v>
      </c>
      <c r="P52" s="376">
        <f>=IF(P$138&gt;0,MIN(P47,P47/P$138*(P$125-P$139)),0)</f>
        <v>0</v>
      </c>
      <c r="Q52" s="376">
        <f>=IF(Q$138&gt;0,MIN(Q47,Q47/Q$138*(Q$125-Q$139)),0)</f>
        <v>0</v>
      </c>
      <c r="R52" s="376">
        <f>=IF(R$138&gt;0,MIN(R47,R47/R$138*(R$125-R$139)),0)</f>
        <v>0</v>
      </c>
      <c r="S52" s="376">
        <f>=IF(S$138&gt;0,MIN(S47,S47/S$138*(S$125-S$139)),0)</f>
        <v>0</v>
      </c>
      <c r="T52" s="376">
        <f>=IF(T$138&gt;0,MIN(T47,T47/T$138*(T$125-T$139)),0)</f>
        <v>0</v>
      </c>
      <c r="U52" s="376">
        <f>=IF(U$138&gt;0,MIN(U47,U47/U$138*(U$125-U$139)),0)</f>
        <v>0</v>
      </c>
      <c r="V52" s="376">
        <f>=IF(V$138&gt;0,MIN(V47,V47/V$138*(V$125-V$139)),0)</f>
        <v>0</v>
      </c>
      <c r="W52" s="376">
        <f>=IF(W$138&gt;0,MIN(W47,W47/W$138*(W$125-W$139)),0)</f>
        <v>0</v>
      </c>
      <c r="X52" s="376">
        <f>=IF(X$138&gt;0,MIN(X47,X47/X$138*(X$125-X$139)),0)</f>
        <v>0</v>
      </c>
      <c r="Y52" s="376">
        <f>=IF(Y$138&gt;0,MIN(Y47,Y47/Y$138*(Y$125-Y$139)),0)</f>
        <v>0</v>
      </c>
      <c r="Z52" s="376">
        <f>=IF(Z$138&gt;0,MIN(Z47,Z47/Z$138*(Z$125-Z$139)),0)</f>
        <v>0</v>
      </c>
    </row>
    <row r="53" spans="1:26" s="699" customFormat="true" ht="12" customHeight="true">
      <c r="A53" s="373">
        <v>5</v>
      </c>
      <c r="B53" s="415" t="s">
        <v>991</v>
      </c>
      <c r="C53" s="401" t="s"/>
      <c r="D53" s="401" t="s"/>
      <c r="E53" s="376">
        <f>=E49</f>
        <v>0</v>
      </c>
      <c r="F53" s="376">
        <f>=F49</f>
        <v>0</v>
      </c>
      <c r="G53" s="376">
        <f>=G49</f>
        <v>0</v>
      </c>
      <c r="H53" s="376">
        <f>=H49</f>
        <v>0</v>
      </c>
      <c r="I53" s="376">
        <f>=I49</f>
        <v>0</v>
      </c>
      <c r="J53" s="376">
        <f>=J49</f>
        <v>0</v>
      </c>
      <c r="K53" s="376">
        <f>=K49</f>
        <v>0</v>
      </c>
      <c r="L53" s="376">
        <f>=L49</f>
        <v>0</v>
      </c>
      <c r="M53" s="376">
        <f>=M49</f>
        <v>0</v>
      </c>
      <c r="N53" s="376">
        <f>=N49</f>
        <v>0</v>
      </c>
      <c r="O53" s="376">
        <f>=O49</f>
        <v>0</v>
      </c>
      <c r="P53" s="376">
        <f>=P49</f>
        <v>0</v>
      </c>
      <c r="Q53" s="376">
        <f>=Q49</f>
        <v>0</v>
      </c>
      <c r="R53" s="376">
        <f>=R49</f>
        <v>0</v>
      </c>
      <c r="S53" s="376">
        <f>=S49</f>
        <v>0</v>
      </c>
      <c r="T53" s="376">
        <f>=T49</f>
        <v>0</v>
      </c>
      <c r="U53" s="376">
        <f>=U49</f>
        <v>0</v>
      </c>
      <c r="V53" s="376">
        <f>=V49</f>
        <v>0</v>
      </c>
      <c r="W53" s="376">
        <f>=W49</f>
        <v>0</v>
      </c>
      <c r="X53" s="376">
        <f>=X49</f>
        <v>0</v>
      </c>
      <c r="Y53" s="376">
        <f>=Y49</f>
        <v>0</v>
      </c>
      <c r="Z53" s="376">
        <f>=Z49</f>
        <v>0</v>
      </c>
    </row>
    <row r="54" spans="1:26" s="699" customFormat="true" ht="12" customHeight="true">
      <c r="A54" s="373">
        <v>6</v>
      </c>
      <c r="B54" s="415" t="s">
        <v>992</v>
      </c>
      <c r="C54" s="401" t="s"/>
      <c r="D54" s="401" t="s"/>
      <c r="E54" s="376">
        <f>=E47+E48-E52</f>
        <v>0</v>
      </c>
      <c r="F54" s="376">
        <f>=F47+F48-F52</f>
        <v>0</v>
      </c>
      <c r="G54" s="376">
        <f>=G47+G48-G52</f>
        <v>0</v>
      </c>
      <c r="H54" s="376">
        <f>=H47+H48-H52</f>
        <v>0</v>
      </c>
      <c r="I54" s="376">
        <f>=I47+I48-I52</f>
        <v>0</v>
      </c>
      <c r="J54" s="376">
        <f>=J47+J48-J52</f>
        <v>0</v>
      </c>
      <c r="K54" s="376">
        <f>=K47+K48-K52</f>
        <v>0</v>
      </c>
      <c r="L54" s="376">
        <f>=L47+L48-L52</f>
        <v>0</v>
      </c>
      <c r="M54" s="376">
        <f>=M47+M48-M52</f>
        <v>0</v>
      </c>
      <c r="N54" s="376">
        <f>=N47+N48-N52</f>
        <v>0</v>
      </c>
      <c r="O54" s="376">
        <f>=O47+O48-O52</f>
        <v>0</v>
      </c>
      <c r="P54" s="376">
        <f>=P47+P48-P52</f>
        <v>0</v>
      </c>
      <c r="Q54" s="376">
        <f>=Q47+Q48-Q52</f>
        <v>0</v>
      </c>
      <c r="R54" s="376">
        <f>=R47+R48-R52</f>
        <v>0</v>
      </c>
      <c r="S54" s="376">
        <f>=S47+S48-S52</f>
        <v>0</v>
      </c>
      <c r="T54" s="376">
        <f>=T47+T48-T52</f>
        <v>0</v>
      </c>
      <c r="U54" s="376">
        <f>=U47+U48-U52</f>
        <v>0</v>
      </c>
      <c r="V54" s="376">
        <f>=V47+V48-V52</f>
        <v>0</v>
      </c>
      <c r="W54" s="376">
        <f>=W47+W48-W52</f>
        <v>0</v>
      </c>
      <c r="X54" s="376">
        <f>=X47+X48-X52</f>
        <v>0</v>
      </c>
      <c r="Y54" s="376">
        <f>=Y47+Y48-Y52</f>
        <v>0</v>
      </c>
      <c r="Z54" s="376">
        <f>=Z47+Z48-Z52</f>
        <v>0</v>
      </c>
    </row>
    <row r="55" spans="1:26" s="699" customFormat="true" ht="12" customHeight="true">
      <c r="A55" s="373">
        <v>1.5</v>
      </c>
      <c r="B55" s="415" t="s">
        <v>1006</v>
      </c>
      <c r="C55" s="525">
        <f>=辅助表1评估项目基础数据表!$C$3+1</f>
        <v>3</v>
      </c>
      <c r="D55" s="524" t="s"/>
      <c r="E55" s="415" t="s"/>
      <c r="F55" s="415" t="s"/>
      <c r="G55" s="415" t="s"/>
      <c r="H55" s="415" t="s"/>
      <c r="I55" s="415" t="s"/>
      <c r="J55" s="415" t="s"/>
      <c r="K55" s="415" t="s"/>
      <c r="L55" s="415" t="s"/>
      <c r="M55" s="415" t="s"/>
      <c r="N55" s="415" t="s"/>
      <c r="O55" s="415" t="s"/>
      <c r="P55" s="415" t="s"/>
      <c r="Q55" s="415" t="s"/>
      <c r="R55" s="415" t="s"/>
      <c r="S55" s="415" t="s"/>
      <c r="T55" s="415" t="s"/>
      <c r="U55" s="415" t="s"/>
      <c r="V55" s="415" t="s"/>
      <c r="W55" s="415" t="s"/>
      <c r="X55" s="415" t="s"/>
      <c r="Y55" s="415" t="s"/>
      <c r="Z55" s="415" t="s"/>
    </row>
    <row r="56" spans="1:26" s="699" customFormat="true" ht="12" customHeight="true">
      <c r="A56" s="373" t="s"/>
      <c r="B56" s="415" t="s">
        <v>996</v>
      </c>
      <c r="C56" s="401" t="s"/>
      <c r="D56" s="401" t="s"/>
      <c r="E56" s="526">
        <f>=IF(E57+E58&gt;0,辅助表1评估项目基础数据表!$C$4,0)</f>
        <v>0</v>
      </c>
      <c r="F56" s="526">
        <f>=IF(F57+F58&gt;0,12,0)</f>
        <v>0</v>
      </c>
      <c r="G56" s="526">
        <f>=IF(G57+G58&gt;0,12,0)</f>
        <v>0</v>
      </c>
      <c r="H56" s="526">
        <f>=IF(H57+H58&gt;0,12,0)</f>
        <v>0</v>
      </c>
      <c r="I56" s="526">
        <f>=IF(I57+I58&gt;0,12,0)</f>
        <v>0</v>
      </c>
      <c r="J56" s="526">
        <f>=IF(J57+J58&gt;0,12,0)</f>
        <v>0</v>
      </c>
      <c r="K56" s="526">
        <f>=IF(K57+K58&gt;0,12,0)</f>
        <v>0</v>
      </c>
      <c r="L56" s="526">
        <f>=IF(L57+L58&gt;0,12,0)</f>
        <v>0</v>
      </c>
      <c r="M56" s="526">
        <f>=IF(M57+M58&gt;0,12,0)</f>
        <v>0</v>
      </c>
      <c r="N56" s="526">
        <f>=IF(N57+N58&gt;0,12,0)</f>
        <v>0</v>
      </c>
      <c r="O56" s="526">
        <f>=IF(O57+O58&gt;0,12,0)</f>
        <v>0</v>
      </c>
      <c r="P56" s="526">
        <f>=IF(P57+P58&gt;0,12,0)</f>
        <v>0</v>
      </c>
      <c r="Q56" s="526">
        <f>=IF(Q57+Q58&gt;0,12,0)</f>
        <v>0</v>
      </c>
      <c r="R56" s="526">
        <f>=IF(R57+R58&gt;0,12,0)</f>
        <v>0</v>
      </c>
      <c r="S56" s="526">
        <f>=IF(S57+S58&gt;0,12,0)</f>
        <v>0</v>
      </c>
      <c r="T56" s="526">
        <f>=IF(T57+T58&gt;0,12,0)</f>
        <v>0</v>
      </c>
      <c r="U56" s="526">
        <f>=IF(U57+U58&gt;0,12,0)</f>
        <v>0</v>
      </c>
      <c r="V56" s="526">
        <f>=IF(V57+V58&gt;0,12,0)</f>
        <v>0</v>
      </c>
      <c r="W56" s="526">
        <f>=IF(W57+W58&gt;0,12,0)</f>
        <v>0</v>
      </c>
      <c r="X56" s="526">
        <f>=IF(X57+X58&gt;0,12,0)</f>
        <v>0</v>
      </c>
      <c r="Y56" s="526">
        <f>=IF(Y57+Y58&gt;0,12,0)</f>
        <v>0</v>
      </c>
      <c r="Z56" s="526">
        <f>=IF(Z57+Z58&gt;0,12,0)</f>
        <v>0</v>
      </c>
    </row>
    <row r="57" spans="1:26" s="699" customFormat="true" ht="12" customHeight="true">
      <c r="A57" s="373">
        <v>1</v>
      </c>
      <c r="B57" s="415" t="s">
        <v>985</v>
      </c>
      <c r="C57" s="401" t="s"/>
      <c r="D57" s="401" t="s"/>
      <c r="E57" s="376">
        <v>0</v>
      </c>
      <c r="F57" s="376">
        <f>=E64</f>
        <v>0</v>
      </c>
      <c r="G57" s="376">
        <f>=F64</f>
        <v>0</v>
      </c>
      <c r="H57" s="376">
        <f>=G64</f>
        <v>0</v>
      </c>
      <c r="I57" s="376">
        <f>=H64</f>
        <v>0</v>
      </c>
      <c r="J57" s="376">
        <f>=I64</f>
        <v>0</v>
      </c>
      <c r="K57" s="376">
        <f>=J64</f>
        <v>0</v>
      </c>
      <c r="L57" s="376">
        <f>=K64</f>
        <v>0</v>
      </c>
      <c r="M57" s="376">
        <f>=L64</f>
        <v>0</v>
      </c>
      <c r="N57" s="376">
        <f>=M64</f>
        <v>0</v>
      </c>
      <c r="O57" s="376">
        <f>=N64</f>
        <v>0</v>
      </c>
      <c r="P57" s="376">
        <f>=O64</f>
        <v>0</v>
      </c>
      <c r="Q57" s="376">
        <f>=P64</f>
        <v>0</v>
      </c>
      <c r="R57" s="376">
        <f>=Q64</f>
        <v>0</v>
      </c>
      <c r="S57" s="376">
        <f>=R64</f>
        <v>0</v>
      </c>
      <c r="T57" s="376">
        <f>=S64</f>
        <v>0</v>
      </c>
      <c r="U57" s="376">
        <f>=T64</f>
        <v>0</v>
      </c>
      <c r="V57" s="376">
        <f>=U64</f>
        <v>0</v>
      </c>
      <c r="W57" s="376">
        <f>=V64</f>
        <v>0</v>
      </c>
      <c r="X57" s="376">
        <f>=W64</f>
        <v>0</v>
      </c>
      <c r="Y57" s="376">
        <f>=X64</f>
        <v>0</v>
      </c>
      <c r="Z57" s="376">
        <f>=Y64</f>
        <v>0</v>
      </c>
    </row>
    <row r="58" spans="1:26" s="699" customFormat="true" ht="12" customHeight="true">
      <c r="A58" s="373">
        <v>2</v>
      </c>
      <c r="B58" s="415" t="s">
        <v>986</v>
      </c>
      <c r="C58" s="401" t="s"/>
      <c r="D58" s="401" t="s"/>
      <c r="E58" s="376">
        <f>=评估表3投资计划与资金筹措表!F32</f>
        <v>0</v>
      </c>
      <c r="F58" s="376">
        <f>=评估表3投资计划与资金筹措表!G32</f>
        <v>0</v>
      </c>
      <c r="G58" s="376">
        <f>=评估表3投资计划与资金筹措表!R32</f>
        <v>0</v>
      </c>
      <c r="H58" s="376">
        <f>=评估表3投资计划与资金筹措表!S32</f>
        <v>0</v>
      </c>
      <c r="I58" s="376">
        <f>=评估表3投资计划与资金筹措表!T32</f>
        <v>0</v>
      </c>
      <c r="J58" s="376">
        <f>=评估表3投资计划与资金筹措表!U32</f>
        <v>0</v>
      </c>
      <c r="K58" s="376">
        <f>=评估表3投资计划与资金筹措表!V32</f>
        <v>0</v>
      </c>
      <c r="L58" s="376">
        <f>=评估表3投资计划与资金筹措表!W32</f>
        <v>0</v>
      </c>
      <c r="M58" s="376" t="s"/>
      <c r="N58" s="376" t="s"/>
      <c r="O58" s="376" t="s"/>
      <c r="P58" s="376" t="s"/>
      <c r="Q58" s="376" t="s"/>
      <c r="R58" s="376" t="s"/>
      <c r="S58" s="376" t="s"/>
      <c r="T58" s="376" t="s"/>
      <c r="U58" s="376" t="s"/>
      <c r="V58" s="376" t="s"/>
      <c r="W58" s="376" t="s"/>
      <c r="X58" s="376" t="s"/>
      <c r="Y58" s="376" t="s"/>
      <c r="Z58" s="376" t="s"/>
    </row>
    <row r="59" spans="1:26" s="699" customFormat="true" ht="12" customHeight="true">
      <c r="A59" s="373">
        <v>3</v>
      </c>
      <c r="B59" s="415" t="s">
        <v>987</v>
      </c>
      <c r="C59" s="401" t="s"/>
      <c r="D59" s="401" t="s"/>
      <c r="E59" s="376">
        <f>=(E57+E58/2)*评估表3投资计划与资金筹措表!$D$32*E56/12</f>
        <v>0</v>
      </c>
      <c r="F59" s="376">
        <f>=(F57+F58/2)*评估表3投资计划与资金筹措表!$D$32*F56/12</f>
        <v>0</v>
      </c>
      <c r="G59" s="376">
        <f>=(G57+G58/2)*评估表3投资计划与资金筹措表!$D$32*G56/12</f>
        <v>0</v>
      </c>
      <c r="H59" s="376">
        <f>=(H57+H58/2)*评估表3投资计划与资金筹措表!$D$32*H56/12</f>
        <v>0</v>
      </c>
      <c r="I59" s="376">
        <f>=(I57+I58/2)*评估表3投资计划与资金筹措表!$D$32*I56/12</f>
        <v>0</v>
      </c>
      <c r="J59" s="376">
        <f>=(J57+J58/2)*评估表3投资计划与资金筹措表!$D$32*J56/12</f>
        <v>0</v>
      </c>
      <c r="K59" s="376">
        <f>=(K57+K58/2)*评估表3投资计划与资金筹措表!$D$32*K56/12</f>
        <v>0</v>
      </c>
      <c r="L59" s="376">
        <f>=(L57+L58/2)*评估表3投资计划与资金筹措表!$D$32*L56/12</f>
        <v>0</v>
      </c>
      <c r="M59" s="376">
        <f>=(M57+M58/2)*评估表3投资计划与资金筹措表!$D$32*M56/12</f>
        <v>0</v>
      </c>
      <c r="N59" s="376">
        <f>=(N57+N58/2)*评估表3投资计划与资金筹措表!$D$32*N56/12</f>
        <v>0</v>
      </c>
      <c r="O59" s="376">
        <f>=(O57+O58/2)*评估表3投资计划与资金筹措表!$D$32*O56/12</f>
        <v>0</v>
      </c>
      <c r="P59" s="376">
        <f>=(P57+P58/2)*评估表3投资计划与资金筹措表!$D$32*P56/12</f>
        <v>0</v>
      </c>
      <c r="Q59" s="376">
        <f>=(Q57+Q58/2)*评估表3投资计划与资金筹措表!$D$32*Q56/12</f>
        <v>0</v>
      </c>
      <c r="R59" s="376">
        <f>=(R57+R58/2)*评估表3投资计划与资金筹措表!$D$32*R56/12</f>
        <v>0</v>
      </c>
      <c r="S59" s="376">
        <f>=(S57+S58/2)*评估表3投资计划与资金筹措表!$D$32*S56/12</f>
        <v>0</v>
      </c>
      <c r="T59" s="376">
        <f>=(T57+T58/2)*评估表3投资计划与资金筹措表!$D$32*T56/12</f>
        <v>0</v>
      </c>
      <c r="U59" s="376">
        <f>=(U57+U58/2)*评估表3投资计划与资金筹措表!$D$32*U56/12</f>
        <v>0</v>
      </c>
      <c r="V59" s="376">
        <f>=(V57+V58/2)*评估表3投资计划与资金筹措表!$D$32*V56/12</f>
        <v>0</v>
      </c>
      <c r="W59" s="376">
        <f>=(W57+W58/2)*评估表3投资计划与资金筹措表!$D$32*W56/12</f>
        <v>0</v>
      </c>
      <c r="X59" s="376">
        <f>=(X57+X58/2)*评估表3投资计划与资金筹措表!$D$32*X56/12</f>
        <v>0</v>
      </c>
      <c r="Y59" s="376">
        <f>=(Y57+Y58/2)*评估表3投资计划与资金筹措表!$D$32*Y56/12</f>
        <v>0</v>
      </c>
      <c r="Z59" s="376">
        <f>=(Z57+Z58/2)*评估表3投资计划与资金筹措表!$D$32*Z56/12</f>
        <v>0</v>
      </c>
    </row>
    <row r="60" spans="1:26" s="699" customFormat="true" ht="12" customHeight="true">
      <c r="A60" s="373">
        <v>3.1</v>
      </c>
      <c r="B60" s="415" t="s">
        <v>988</v>
      </c>
      <c r="C60" s="401" t="s"/>
      <c r="D60" s="401" t="s"/>
      <c r="E60" s="376">
        <f>=IF(E$133&lt;$C55,E59,0)</f>
        <v>0</v>
      </c>
      <c r="F60" s="376">
        <f>=IF(F$133&lt;$C55,F59,0)</f>
        <v>0</v>
      </c>
      <c r="G60" s="376" t="s"/>
      <c r="H60" s="376" t="s"/>
      <c r="I60" s="376" t="s"/>
      <c r="J60" s="376" t="s"/>
      <c r="K60" s="376" t="s"/>
      <c r="L60" s="376" t="s"/>
      <c r="M60" s="376" t="s"/>
      <c r="N60" s="376" t="s"/>
      <c r="O60" s="376" t="s"/>
      <c r="P60" s="376" t="s"/>
      <c r="Q60" s="376" t="s"/>
      <c r="R60" s="376" t="s"/>
      <c r="S60" s="376" t="s"/>
      <c r="T60" s="376" t="s"/>
      <c r="U60" s="376" t="s"/>
      <c r="V60" s="376" t="s"/>
      <c r="W60" s="376" t="s"/>
      <c r="X60" s="376" t="s"/>
      <c r="Y60" s="376" t="s"/>
      <c r="Z60" s="376" t="s"/>
    </row>
    <row r="61" spans="1:26" s="699" customFormat="true" ht="12" customHeight="true">
      <c r="A61" s="373">
        <v>3.2</v>
      </c>
      <c r="B61" s="415" t="s">
        <v>989</v>
      </c>
      <c r="C61" s="401" t="s"/>
      <c r="D61" s="401" t="s"/>
      <c r="E61" s="376">
        <f>=IF(E$133&gt;=$C55,E59,0)</f>
        <v>0</v>
      </c>
      <c r="F61" s="376">
        <f>=IF(F$133&gt;=$C55,F59,0)</f>
        <v>0</v>
      </c>
      <c r="G61" s="376">
        <f>=G59</f>
        <v>0</v>
      </c>
      <c r="H61" s="376">
        <f>=H59</f>
        <v>0</v>
      </c>
      <c r="I61" s="376">
        <f>=I59</f>
        <v>0</v>
      </c>
      <c r="J61" s="376">
        <f>=J59</f>
        <v>0</v>
      </c>
      <c r="K61" s="376">
        <f>=K59</f>
        <v>0</v>
      </c>
      <c r="L61" s="376">
        <f>=L59</f>
        <v>0</v>
      </c>
      <c r="M61" s="376">
        <f>=M59</f>
        <v>0</v>
      </c>
      <c r="N61" s="376">
        <f>=N59</f>
        <v>0</v>
      </c>
      <c r="O61" s="376">
        <f>=O59</f>
        <v>0</v>
      </c>
      <c r="P61" s="376">
        <f>=P59</f>
        <v>0</v>
      </c>
      <c r="Q61" s="376">
        <f>=Q59</f>
        <v>0</v>
      </c>
      <c r="R61" s="376">
        <f>=R59</f>
        <v>0</v>
      </c>
      <c r="S61" s="376">
        <f>=S59</f>
        <v>0</v>
      </c>
      <c r="T61" s="376">
        <f>=T59</f>
        <v>0</v>
      </c>
      <c r="U61" s="376">
        <f>=U59</f>
        <v>0</v>
      </c>
      <c r="V61" s="376">
        <f>=V59</f>
        <v>0</v>
      </c>
      <c r="W61" s="376">
        <f>=W59</f>
        <v>0</v>
      </c>
      <c r="X61" s="376">
        <f>=X59</f>
        <v>0</v>
      </c>
      <c r="Y61" s="376">
        <f>=Y59</f>
        <v>0</v>
      </c>
      <c r="Z61" s="376">
        <f>=Z59</f>
        <v>0</v>
      </c>
    </row>
    <row r="62" spans="1:26" s="699" customFormat="true" ht="12" customHeight="true">
      <c r="A62" s="373">
        <v>4</v>
      </c>
      <c r="B62" s="415" t="s">
        <v>990</v>
      </c>
      <c r="C62" s="401" t="s"/>
      <c r="D62" s="401" t="s"/>
      <c r="E62" s="376">
        <f>=IF(AND(E$133&gt;=$C55,OR($D$125="归还贷款",E$125&lt;0)),MIN(E57,E57/E$140*(E$125-E$139)),0)</f>
        <v>0</v>
      </c>
      <c r="F62" s="376">
        <f>=IF(AND(F$133&gt;=$C55,OR($D$125="归还贷款",F$125&lt;0)),MIN(F57,F57/F$140*(F$125-F$139)),0)</f>
        <v>0</v>
      </c>
      <c r="G62" s="376">
        <f>=IF(G$138&gt;0,MIN(G57,G57/G$138*(G$125-G$139)),0)</f>
        <v>0</v>
      </c>
      <c r="H62" s="376">
        <f>=IF(H$138&gt;0,MIN(H57,H57/H$138*(H$125-H$139)),0)</f>
        <v>0</v>
      </c>
      <c r="I62" s="376">
        <f>=IF(I$138&gt;0,MIN(I57,I57/I$138*(I$125-I$139)),0)</f>
        <v>0</v>
      </c>
      <c r="J62" s="376">
        <f>=IF(J$138&gt;0,MIN(J57,J57/J$138*(J$125-J$139)),0)</f>
        <v>0</v>
      </c>
      <c r="K62" s="376">
        <f>=IF(K$138&gt;0,MIN(K57,K57/K$138*(K$125-K$139)),0)</f>
        <v>0</v>
      </c>
      <c r="L62" s="376">
        <f>=IF(L$138&gt;0,MIN(L57,L57/L$138*(L$125-L$139)),0)</f>
        <v>0</v>
      </c>
      <c r="M62" s="376">
        <f>=IF(M$138&gt;0,MIN(M57,M57/M$138*(M$125-M$139)),0)</f>
        <v>0</v>
      </c>
      <c r="N62" s="376">
        <f>=IF(N$138&gt;0,MIN(N57,N57/N$138*(N$125-N$139)),0)</f>
        <v>0</v>
      </c>
      <c r="O62" s="376">
        <f>=IF(O$138&gt;0,MIN(O57,O57/O$138*(O$125-O$139)),0)</f>
        <v>0</v>
      </c>
      <c r="P62" s="376">
        <f>=IF(P$138&gt;0,MIN(P57,P57/P$138*(P$125-P$139)),0)</f>
        <v>0</v>
      </c>
      <c r="Q62" s="376">
        <f>=IF(Q$138&gt;0,MIN(Q57,Q57/Q$138*(Q$125-Q$139)),0)</f>
        <v>0</v>
      </c>
      <c r="R62" s="376">
        <f>=IF(R$138&gt;0,MIN(R57,R57/R$138*(R$125-R$139)),0)</f>
        <v>0</v>
      </c>
      <c r="S62" s="376">
        <f>=IF(S$138&gt;0,MIN(S57,S57/S$138*(S$125-S$139)),0)</f>
        <v>0</v>
      </c>
      <c r="T62" s="376">
        <f>=IF(T$138&gt;0,MIN(T57,T57/T$138*(T$125-T$139)),0)</f>
        <v>0</v>
      </c>
      <c r="U62" s="376">
        <f>=IF(U$138&gt;0,MIN(U57,U57/U$138*(U$125-U$139)),0)</f>
        <v>0</v>
      </c>
      <c r="V62" s="376">
        <f>=IF(V$138&gt;0,MIN(V57,V57/V$138*(V$125-V$139)),0)</f>
        <v>0</v>
      </c>
      <c r="W62" s="376">
        <f>=IF(W$138&gt;0,MIN(W57,W57/W$138*(W$125-W$139)),0)</f>
        <v>0</v>
      </c>
      <c r="X62" s="376">
        <f>=IF(X$138&gt;0,MIN(X57,X57/X$138*(X$125-X$139)),0)</f>
        <v>0</v>
      </c>
      <c r="Y62" s="376">
        <f>=IF(Y$138&gt;0,MIN(Y57,Y57/Y$138*(Y$125-Y$139)),0)</f>
        <v>0</v>
      </c>
      <c r="Z62" s="376">
        <f>=IF(Z$138&gt;0,MIN(Z57,Z57/Z$138*(Z$125-Z$139)),0)</f>
        <v>0</v>
      </c>
    </row>
    <row r="63" spans="1:26" s="699" customFormat="true" ht="12" customHeight="true">
      <c r="A63" s="373">
        <v>5</v>
      </c>
      <c r="B63" s="415" t="s">
        <v>991</v>
      </c>
      <c r="C63" s="401" t="s"/>
      <c r="D63" s="401" t="s"/>
      <c r="E63" s="376">
        <f>=E59</f>
        <v>0</v>
      </c>
      <c r="F63" s="376">
        <f>=F59</f>
        <v>0</v>
      </c>
      <c r="G63" s="376">
        <f>=G59</f>
        <v>0</v>
      </c>
      <c r="H63" s="376">
        <f>=H59</f>
        <v>0</v>
      </c>
      <c r="I63" s="376">
        <f>=I59</f>
        <v>0</v>
      </c>
      <c r="J63" s="376">
        <f>=J59</f>
        <v>0</v>
      </c>
      <c r="K63" s="376">
        <f>=K59</f>
        <v>0</v>
      </c>
      <c r="L63" s="376">
        <f>=L59</f>
        <v>0</v>
      </c>
      <c r="M63" s="376">
        <f>=M59</f>
        <v>0</v>
      </c>
      <c r="N63" s="376">
        <f>=N59</f>
        <v>0</v>
      </c>
      <c r="O63" s="376">
        <f>=O59</f>
        <v>0</v>
      </c>
      <c r="P63" s="376">
        <f>=P59</f>
        <v>0</v>
      </c>
      <c r="Q63" s="376">
        <f>=Q59</f>
        <v>0</v>
      </c>
      <c r="R63" s="376">
        <f>=R59</f>
        <v>0</v>
      </c>
      <c r="S63" s="376">
        <f>=S59</f>
        <v>0</v>
      </c>
      <c r="T63" s="376">
        <f>=T59</f>
        <v>0</v>
      </c>
      <c r="U63" s="376">
        <f>=U59</f>
        <v>0</v>
      </c>
      <c r="V63" s="376">
        <f>=V59</f>
        <v>0</v>
      </c>
      <c r="W63" s="376">
        <f>=W59</f>
        <v>0</v>
      </c>
      <c r="X63" s="376">
        <f>=X59</f>
        <v>0</v>
      </c>
      <c r="Y63" s="376">
        <f>=Y59</f>
        <v>0</v>
      </c>
      <c r="Z63" s="376">
        <f>=Z59</f>
        <v>0</v>
      </c>
    </row>
    <row r="64" spans="1:26" s="699" customFormat="true" ht="12" customHeight="true">
      <c r="A64" s="373">
        <v>6</v>
      </c>
      <c r="B64" s="415" t="s">
        <v>992</v>
      </c>
      <c r="C64" s="401" t="s"/>
      <c r="D64" s="401" t="s"/>
      <c r="E64" s="376">
        <f>=E57+E58-E62</f>
        <v>0</v>
      </c>
      <c r="F64" s="376">
        <f>=F57+F58-F62</f>
        <v>0</v>
      </c>
      <c r="G64" s="376">
        <f>=G57+G58-G62</f>
        <v>0</v>
      </c>
      <c r="H64" s="376">
        <f>=H57+H58-H62</f>
        <v>0</v>
      </c>
      <c r="I64" s="376">
        <f>=I57+I58-I62</f>
        <v>0</v>
      </c>
      <c r="J64" s="376">
        <f>=J57+J58-J62</f>
        <v>0</v>
      </c>
      <c r="K64" s="376">
        <f>=K57+K58-K62</f>
        <v>0</v>
      </c>
      <c r="L64" s="376">
        <f>=L57+L58-L62</f>
        <v>0</v>
      </c>
      <c r="M64" s="376">
        <f>=M57+M58-M62</f>
        <v>0</v>
      </c>
      <c r="N64" s="376">
        <f>=N57+N58-N62</f>
        <v>0</v>
      </c>
      <c r="O64" s="376">
        <f>=O57+O58-O62</f>
        <v>0</v>
      </c>
      <c r="P64" s="376">
        <f>=P57+P58-P62</f>
        <v>0</v>
      </c>
      <c r="Q64" s="376">
        <f>=Q57+Q58-Q62</f>
        <v>0</v>
      </c>
      <c r="R64" s="376">
        <f>=R57+R58-R62</f>
        <v>0</v>
      </c>
      <c r="S64" s="376">
        <f>=S57+S58-S62</f>
        <v>0</v>
      </c>
      <c r="T64" s="376">
        <f>=T57+T58-T62</f>
        <v>0</v>
      </c>
      <c r="U64" s="376">
        <f>=U57+U58-U62</f>
        <v>0</v>
      </c>
      <c r="V64" s="376">
        <f>=V57+V58-V62</f>
        <v>0</v>
      </c>
      <c r="W64" s="376">
        <f>=W57+W58-W62</f>
        <v>0</v>
      </c>
      <c r="X64" s="376">
        <f>=X57+X58-X62</f>
        <v>0</v>
      </c>
      <c r="Y64" s="376">
        <f>=Y57+Y58-Y62</f>
        <v>0</v>
      </c>
      <c r="Z64" s="376">
        <f>=Z57+Z58-Z62</f>
        <v>0</v>
      </c>
    </row>
    <row r="65" spans="1:26" s="699" customFormat="true" ht="12" customHeight="true">
      <c r="A65" s="373" t="s">
        <v>1007</v>
      </c>
      <c r="B65" s="415" t="s">
        <v>1008</v>
      </c>
      <c r="C65" s="532" t="s"/>
      <c r="D65" s="401" t="s"/>
      <c r="E65" s="415" t="s"/>
      <c r="F65" s="415" t="s"/>
      <c r="G65" s="415" t="s"/>
      <c r="H65" s="415" t="s"/>
      <c r="I65" s="415" t="s"/>
      <c r="J65" s="415" t="s"/>
      <c r="K65" s="415" t="s"/>
      <c r="L65" s="415" t="s"/>
      <c r="M65" s="415" t="s"/>
      <c r="N65" s="415" t="s"/>
      <c r="O65" s="415" t="s"/>
      <c r="P65" s="415" t="s"/>
      <c r="Q65" s="415" t="s"/>
      <c r="R65" s="415" t="s"/>
      <c r="S65" s="415" t="s"/>
      <c r="T65" s="415" t="s"/>
      <c r="U65" s="415" t="s"/>
      <c r="V65" s="415" t="s"/>
      <c r="W65" s="415" t="s"/>
      <c r="X65" s="415" t="s"/>
      <c r="Y65" s="415" t="s"/>
      <c r="Z65" s="415" t="s"/>
    </row>
    <row r="66" spans="1:26" s="699" customFormat="true" ht="12" customHeight="true">
      <c r="A66" s="373">
        <v>2.1</v>
      </c>
      <c r="B66" s="533" t="s">
        <v>1009</v>
      </c>
      <c r="C66" s="525">
        <f>=辅助表1评估项目基础数据表!$C$3+1</f>
        <v>3</v>
      </c>
      <c r="D66" s="534" t="s"/>
      <c r="E66" s="415" t="s"/>
      <c r="F66" s="415" t="s"/>
      <c r="G66" s="415" t="s"/>
      <c r="H66" s="415" t="s"/>
      <c r="I66" s="415" t="s"/>
      <c r="J66" s="415" t="s"/>
      <c r="K66" s="415" t="s"/>
      <c r="L66" s="415" t="s"/>
      <c r="M66" s="415" t="s"/>
      <c r="N66" s="415" t="s"/>
      <c r="O66" s="415" t="s"/>
      <c r="P66" s="415" t="s"/>
      <c r="Q66" s="415" t="s"/>
      <c r="R66" s="415" t="s"/>
      <c r="S66" s="415" t="s"/>
      <c r="T66" s="415" t="s"/>
      <c r="U66" s="415" t="s"/>
      <c r="V66" s="415" t="s"/>
      <c r="W66" s="415" t="s"/>
      <c r="X66" s="415" t="s"/>
      <c r="Y66" s="415" t="s"/>
      <c r="Z66" s="415" t="s"/>
    </row>
    <row r="67" spans="1:26" s="699" customFormat="true" ht="12" customHeight="true">
      <c r="A67" s="373" t="s"/>
      <c r="B67" s="415" t="s">
        <v>996</v>
      </c>
      <c r="C67" s="535" t="s"/>
      <c r="D67" s="401" t="s"/>
      <c r="E67" s="526">
        <f>=IF(E68+E69&gt;0,辅助表1评估项目基础数据表!$C$4,0)</f>
        <v>0</v>
      </c>
      <c r="F67" s="526">
        <f>=IF(F68+F69&gt;0,12,0)</f>
        <v>0</v>
      </c>
      <c r="G67" s="401" t="s"/>
      <c r="H67" s="401" t="s"/>
      <c r="I67" s="401" t="s"/>
      <c r="J67" s="401" t="s"/>
      <c r="K67" s="401" t="s"/>
      <c r="L67" s="401" t="s"/>
      <c r="M67" s="401" t="s"/>
      <c r="N67" s="401" t="s"/>
      <c r="O67" s="401" t="s"/>
      <c r="P67" s="401" t="s"/>
      <c r="Q67" s="401" t="s"/>
      <c r="R67" s="401" t="s"/>
      <c r="S67" s="401" t="s"/>
      <c r="T67" s="401" t="s"/>
      <c r="U67" s="401" t="s"/>
      <c r="V67" s="401" t="s"/>
      <c r="W67" s="401" t="s"/>
      <c r="X67" s="401" t="s"/>
      <c r="Y67" s="401" t="s"/>
      <c r="Z67" s="401" t="s"/>
    </row>
    <row r="68" spans="1:26" s="699" customFormat="true" ht="12" customHeight="true">
      <c r="A68" s="373">
        <v>1</v>
      </c>
      <c r="B68" s="415" t="s">
        <v>985</v>
      </c>
      <c r="C68" s="401" t="s"/>
      <c r="D68" s="401" t="s"/>
      <c r="E68" s="376">
        <v>0</v>
      </c>
      <c r="F68" s="376">
        <f>=E75</f>
        <v>0</v>
      </c>
      <c r="G68" s="376">
        <f>=F75</f>
        <v>0</v>
      </c>
      <c r="H68" s="376">
        <f>=G75</f>
        <v>0</v>
      </c>
      <c r="I68" s="376">
        <f>=H75</f>
        <v>0</v>
      </c>
      <c r="J68" s="376">
        <f>=I75</f>
        <v>0</v>
      </c>
      <c r="K68" s="376">
        <f>=J75</f>
        <v>0</v>
      </c>
      <c r="L68" s="376">
        <f>=K75</f>
        <v>0</v>
      </c>
      <c r="M68" s="376">
        <f>=L75</f>
        <v>0</v>
      </c>
      <c r="N68" s="376">
        <f>=M75</f>
        <v>0</v>
      </c>
      <c r="O68" s="376">
        <f>=N75</f>
        <v>0</v>
      </c>
      <c r="P68" s="376">
        <f>=O75</f>
        <v>0</v>
      </c>
      <c r="Q68" s="376">
        <f>=P75</f>
        <v>0</v>
      </c>
      <c r="R68" s="376">
        <f>=Q75</f>
        <v>0</v>
      </c>
      <c r="S68" s="376">
        <f>=R75</f>
        <v>0</v>
      </c>
      <c r="T68" s="376">
        <f>=S75</f>
        <v>0</v>
      </c>
      <c r="U68" s="376">
        <f>=T75</f>
        <v>0</v>
      </c>
      <c r="V68" s="376">
        <f>=U75</f>
        <v>0</v>
      </c>
      <c r="W68" s="376">
        <f>=V75</f>
        <v>0</v>
      </c>
      <c r="X68" s="376">
        <f>=W75</f>
        <v>0</v>
      </c>
      <c r="Y68" s="376">
        <f>=X75</f>
        <v>0</v>
      </c>
      <c r="Z68" s="376">
        <f>=Y75</f>
        <v>0</v>
      </c>
    </row>
    <row r="69" spans="1:26" s="699" customFormat="true" ht="12" customHeight="true">
      <c r="A69" s="373">
        <v>2</v>
      </c>
      <c r="B69" s="415" t="s">
        <v>986</v>
      </c>
      <c r="C69" s="401" t="s"/>
      <c r="D69" s="401" t="s"/>
      <c r="E69" s="376">
        <f>=评估表3投资计划与资金筹措表!F34</f>
        <v>0</v>
      </c>
      <c r="F69" s="376">
        <f>=评估表3投资计划与资金筹措表!G34</f>
        <v>0</v>
      </c>
      <c r="G69" s="401" t="s"/>
      <c r="H69" s="401" t="s"/>
      <c r="I69" s="401" t="s"/>
      <c r="J69" s="401" t="s"/>
      <c r="K69" s="401" t="s"/>
      <c r="L69" s="401" t="s"/>
      <c r="M69" s="401" t="s"/>
      <c r="N69" s="401" t="s"/>
      <c r="O69" s="401" t="s"/>
      <c r="P69" s="401" t="s"/>
      <c r="Q69" s="401" t="s"/>
      <c r="R69" s="401" t="s"/>
      <c r="S69" s="401" t="s"/>
      <c r="T69" s="401" t="s"/>
      <c r="U69" s="401" t="s"/>
      <c r="V69" s="401" t="s"/>
      <c r="W69" s="401" t="s"/>
      <c r="X69" s="401" t="s"/>
      <c r="Y69" s="401" t="s"/>
      <c r="Z69" s="401" t="s"/>
    </row>
    <row r="70" spans="1:26" s="699" customFormat="true" ht="12" customHeight="true">
      <c r="A70" s="373">
        <v>3</v>
      </c>
      <c r="B70" s="415" t="s">
        <v>987</v>
      </c>
      <c r="C70" s="401" t="s"/>
      <c r="D70" s="401" t="s"/>
      <c r="E70" s="376">
        <f>=(E68+E69/2)*评估表3投资计划与资金筹措表!$D$34*E67/12</f>
        <v>0</v>
      </c>
      <c r="F70" s="376">
        <f>=(F68+F69/2)*评估表3投资计划与资金筹措表!$D$34*F67/12</f>
        <v>0</v>
      </c>
      <c r="G70" s="376">
        <f>=(G68+G69/2)*评估表3投资计划与资金筹措表!$D$34</f>
        <v>0</v>
      </c>
      <c r="H70" s="376">
        <f>=(H68+H69/2)*评估表3投资计划与资金筹措表!$D$34</f>
        <v>0</v>
      </c>
      <c r="I70" s="376">
        <f>=(I68+I69/2)*评估表3投资计划与资金筹措表!$D$34</f>
        <v>0</v>
      </c>
      <c r="J70" s="376">
        <f>=(J68+J69/2)*评估表3投资计划与资金筹措表!$D$34</f>
        <v>0</v>
      </c>
      <c r="K70" s="376">
        <f>=(K68+K69/2)*评估表3投资计划与资金筹措表!$D$34</f>
        <v>0</v>
      </c>
      <c r="L70" s="376">
        <f>=(L68+L69/2)*评估表3投资计划与资金筹措表!$D$34</f>
        <v>0</v>
      </c>
      <c r="M70" s="376">
        <f>=(M68+M69/2)*评估表3投资计划与资金筹措表!$D$34</f>
        <v>0</v>
      </c>
      <c r="N70" s="376">
        <f>=(N68+N69/2)*评估表3投资计划与资金筹措表!$D$34</f>
        <v>0</v>
      </c>
      <c r="O70" s="376">
        <f>=(O68+O69/2)*评估表3投资计划与资金筹措表!$D$34</f>
        <v>0</v>
      </c>
      <c r="P70" s="376">
        <f>=(P68+P69/2)*评估表3投资计划与资金筹措表!$D$34</f>
        <v>0</v>
      </c>
      <c r="Q70" s="376">
        <f>=(Q68+Q69/2)*评估表3投资计划与资金筹措表!$D$34</f>
        <v>0</v>
      </c>
      <c r="R70" s="376">
        <f>=(R68+R69/2)*评估表3投资计划与资金筹措表!$D$34</f>
        <v>0</v>
      </c>
      <c r="S70" s="376">
        <f>=(S68+S69/2)*评估表3投资计划与资金筹措表!$D$34</f>
        <v>0</v>
      </c>
      <c r="T70" s="376">
        <f>=(T68+T69/2)*评估表3投资计划与资金筹措表!$D$34</f>
        <v>0</v>
      </c>
      <c r="U70" s="376">
        <f>=(U68+U69/2)*评估表3投资计划与资金筹措表!$D$34</f>
        <v>0</v>
      </c>
      <c r="V70" s="376">
        <f>=(V68+V69/2)*评估表3投资计划与资金筹措表!$D$34</f>
        <v>0</v>
      </c>
      <c r="W70" s="376">
        <f>=(W68+W69/2)*评估表3投资计划与资金筹措表!$D$34</f>
        <v>0</v>
      </c>
      <c r="X70" s="376">
        <f>=(X68+X69/2)*评估表3投资计划与资金筹措表!$D$34</f>
        <v>0</v>
      </c>
      <c r="Y70" s="376">
        <f>=(Y68+Y69/2)*评估表3投资计划与资金筹措表!$D$34</f>
        <v>0</v>
      </c>
      <c r="Z70" s="376">
        <f>=(Z68+Z69/2)*评估表3投资计划与资金筹措表!$D$34</f>
        <v>0</v>
      </c>
    </row>
    <row r="71" spans="1:26" s="699" customFormat="true" ht="12" customHeight="true">
      <c r="A71" s="373">
        <v>3.1</v>
      </c>
      <c r="B71" s="415" t="s">
        <v>988</v>
      </c>
      <c r="C71" s="401" t="s"/>
      <c r="D71" s="401" t="s"/>
      <c r="E71" s="376">
        <f>=IF(E$133&lt;$C66,E70,0)</f>
        <v>0</v>
      </c>
      <c r="F71" s="376">
        <f>=IF(F$133&lt;$C66,F70,0)</f>
        <v>0</v>
      </c>
      <c r="G71" s="401" t="s"/>
      <c r="H71" s="401" t="s"/>
      <c r="I71" s="401" t="s"/>
      <c r="J71" s="401" t="s"/>
      <c r="K71" s="401" t="s"/>
      <c r="L71" s="401" t="s"/>
      <c r="M71" s="401" t="s"/>
      <c r="N71" s="401" t="s"/>
      <c r="O71" s="401" t="s"/>
      <c r="P71" s="401" t="s"/>
      <c r="Q71" s="401" t="s"/>
      <c r="R71" s="401" t="s"/>
      <c r="S71" s="401" t="s"/>
      <c r="T71" s="401" t="s"/>
      <c r="U71" s="401" t="s"/>
      <c r="V71" s="401" t="s"/>
      <c r="W71" s="401" t="s"/>
      <c r="X71" s="401" t="s"/>
      <c r="Y71" s="401" t="s"/>
      <c r="Z71" s="401" t="s"/>
    </row>
    <row r="72" spans="1:26" s="699" customFormat="true" ht="12" customHeight="true">
      <c r="A72" s="373">
        <v>3.2</v>
      </c>
      <c r="B72" s="415" t="s">
        <v>989</v>
      </c>
      <c r="C72" s="401" t="s"/>
      <c r="D72" s="401" t="s"/>
      <c r="E72" s="376">
        <f>=IF(E$133&gt;=$C66,E70,0)</f>
        <v>0</v>
      </c>
      <c r="F72" s="376">
        <f>=IF(F$133&gt;=$C66,F70,0)</f>
        <v>0</v>
      </c>
      <c r="G72" s="376">
        <f>=G70</f>
        <v>0</v>
      </c>
      <c r="H72" s="376">
        <f>=H70</f>
        <v>0</v>
      </c>
      <c r="I72" s="376">
        <f>=I70</f>
        <v>0</v>
      </c>
      <c r="J72" s="376">
        <f>=J70</f>
        <v>0</v>
      </c>
      <c r="K72" s="376">
        <f>=K70</f>
        <v>0</v>
      </c>
      <c r="L72" s="376">
        <f>=L70</f>
        <v>0</v>
      </c>
      <c r="M72" s="376">
        <f>=M70</f>
        <v>0</v>
      </c>
      <c r="N72" s="376">
        <f>=N70</f>
        <v>0</v>
      </c>
      <c r="O72" s="376">
        <f>=O70</f>
        <v>0</v>
      </c>
      <c r="P72" s="376">
        <f>=P70</f>
        <v>0</v>
      </c>
      <c r="Q72" s="376">
        <f>=Q70</f>
        <v>0</v>
      </c>
      <c r="R72" s="376">
        <f>=R70</f>
        <v>0</v>
      </c>
      <c r="S72" s="376">
        <f>=S70</f>
        <v>0</v>
      </c>
      <c r="T72" s="376">
        <f>=T70</f>
        <v>0</v>
      </c>
      <c r="U72" s="376">
        <f>=U70</f>
        <v>0</v>
      </c>
      <c r="V72" s="376">
        <f>=V70</f>
        <v>0</v>
      </c>
      <c r="W72" s="376">
        <f>=W70</f>
        <v>0</v>
      </c>
      <c r="X72" s="376">
        <f>=X70</f>
        <v>0</v>
      </c>
      <c r="Y72" s="376">
        <f>=Y70</f>
        <v>0</v>
      </c>
      <c r="Z72" s="376">
        <f>=Z70</f>
        <v>0</v>
      </c>
    </row>
    <row r="73" spans="1:26" s="699" customFormat="true" ht="12" customHeight="true">
      <c r="A73" s="373">
        <v>4</v>
      </c>
      <c r="B73" s="415" t="s">
        <v>990</v>
      </c>
      <c r="C73" s="401" t="s"/>
      <c r="D73" s="401" t="s"/>
      <c r="E73" s="513">
        <v>0</v>
      </c>
      <c r="F73" s="513">
        <v>0</v>
      </c>
      <c r="G73" s="513">
        <v>0</v>
      </c>
      <c r="H73" s="513">
        <v>0</v>
      </c>
      <c r="I73" s="513">
        <v>0</v>
      </c>
      <c r="J73" s="513">
        <v>0</v>
      </c>
      <c r="K73" s="513">
        <v>0</v>
      </c>
      <c r="L73" s="513">
        <v>0</v>
      </c>
      <c r="M73" s="513">
        <v>0</v>
      </c>
      <c r="N73" s="513">
        <v>0</v>
      </c>
      <c r="O73" s="513">
        <v>0</v>
      </c>
      <c r="P73" s="513">
        <v>0</v>
      </c>
      <c r="Q73" s="513">
        <v>0</v>
      </c>
      <c r="R73" s="513">
        <v>0</v>
      </c>
      <c r="S73" s="513">
        <v>0</v>
      </c>
      <c r="T73" s="513">
        <v>0</v>
      </c>
      <c r="U73" s="513">
        <v>0</v>
      </c>
      <c r="V73" s="513">
        <v>0</v>
      </c>
      <c r="W73" s="513">
        <v>0</v>
      </c>
      <c r="X73" s="513">
        <v>0</v>
      </c>
      <c r="Y73" s="513">
        <v>0</v>
      </c>
      <c r="Z73" s="513">
        <v>0</v>
      </c>
    </row>
    <row r="74" spans="1:26" s="699" customFormat="true" ht="12" customHeight="true">
      <c r="A74" s="373">
        <v>5</v>
      </c>
      <c r="B74" s="415" t="s">
        <v>991</v>
      </c>
      <c r="C74" s="401" t="s"/>
      <c r="D74" s="401" t="s"/>
      <c r="E74" s="376">
        <f>=E70</f>
        <v>0</v>
      </c>
      <c r="F74" s="376">
        <f>=F70</f>
        <v>0</v>
      </c>
      <c r="G74" s="376">
        <f>=G70</f>
        <v>0</v>
      </c>
      <c r="H74" s="376">
        <f>=H70</f>
        <v>0</v>
      </c>
      <c r="I74" s="376">
        <f>=I70</f>
        <v>0</v>
      </c>
      <c r="J74" s="376">
        <f>=J70</f>
        <v>0</v>
      </c>
      <c r="K74" s="376">
        <f>=K70</f>
        <v>0</v>
      </c>
      <c r="L74" s="376">
        <f>=L70</f>
        <v>0</v>
      </c>
      <c r="M74" s="376">
        <f>=M70</f>
        <v>0</v>
      </c>
      <c r="N74" s="376">
        <f>=N70</f>
        <v>0</v>
      </c>
      <c r="O74" s="376">
        <f>=O70</f>
        <v>0</v>
      </c>
      <c r="P74" s="376">
        <f>=P70</f>
        <v>0</v>
      </c>
      <c r="Q74" s="376">
        <f>=Q70</f>
        <v>0</v>
      </c>
      <c r="R74" s="376">
        <f>=R70</f>
        <v>0</v>
      </c>
      <c r="S74" s="376">
        <f>=S70</f>
        <v>0</v>
      </c>
      <c r="T74" s="376">
        <f>=T70</f>
        <v>0</v>
      </c>
      <c r="U74" s="376">
        <f>=U70</f>
        <v>0</v>
      </c>
      <c r="V74" s="376">
        <f>=V70</f>
        <v>0</v>
      </c>
      <c r="W74" s="376">
        <f>=W70</f>
        <v>0</v>
      </c>
      <c r="X74" s="376">
        <f>=X70</f>
        <v>0</v>
      </c>
      <c r="Y74" s="376">
        <f>=Y70</f>
        <v>0</v>
      </c>
      <c r="Z74" s="376">
        <f>=Z70</f>
        <v>0</v>
      </c>
    </row>
    <row r="75" spans="1:26" s="699" customFormat="true" ht="12" customHeight="true">
      <c r="A75" s="373">
        <v>6</v>
      </c>
      <c r="B75" s="415" t="s">
        <v>992</v>
      </c>
      <c r="C75" s="401" t="s"/>
      <c r="D75" s="401" t="s"/>
      <c r="E75" s="376">
        <f>=E68+E69-E73</f>
        <v>0</v>
      </c>
      <c r="F75" s="376">
        <f>=F68+F69-F73</f>
        <v>0</v>
      </c>
      <c r="G75" s="376">
        <f>=G68+G69-G73</f>
        <v>0</v>
      </c>
      <c r="H75" s="376">
        <f>=H68+H69-H73</f>
        <v>0</v>
      </c>
      <c r="I75" s="376">
        <f>=I68+I69-I73</f>
        <v>0</v>
      </c>
      <c r="J75" s="376">
        <f>=J68+J69-J73</f>
        <v>0</v>
      </c>
      <c r="K75" s="376">
        <f>=K68+K69-K73</f>
        <v>0</v>
      </c>
      <c r="L75" s="376">
        <f>=L68+L69-L73</f>
        <v>0</v>
      </c>
      <c r="M75" s="376">
        <f>=M68+M69-M73</f>
        <v>0</v>
      </c>
      <c r="N75" s="376">
        <f>=N68+N69-N73</f>
        <v>0</v>
      </c>
      <c r="O75" s="376">
        <f>=O68+O69-O73</f>
        <v>0</v>
      </c>
      <c r="P75" s="376">
        <f>=P68+P69-P73</f>
        <v>0</v>
      </c>
      <c r="Q75" s="376">
        <f>=Q68+Q69-Q73</f>
        <v>0</v>
      </c>
      <c r="R75" s="376">
        <f>=R68+R69-R73</f>
        <v>0</v>
      </c>
      <c r="S75" s="376">
        <f>=S68+S69-S73</f>
        <v>0</v>
      </c>
      <c r="T75" s="376">
        <f>=T68+T69-T73</f>
        <v>0</v>
      </c>
      <c r="U75" s="376">
        <f>=U68+U69-U73</f>
        <v>0</v>
      </c>
      <c r="V75" s="376">
        <f>=V68+V69-V73</f>
        <v>0</v>
      </c>
      <c r="W75" s="376">
        <f>=W68+W69-W73</f>
        <v>0</v>
      </c>
      <c r="X75" s="376">
        <f>=X68+X69-X73</f>
        <v>0</v>
      </c>
      <c r="Y75" s="376">
        <f>=Y68+Y69-Y73</f>
        <v>0</v>
      </c>
      <c r="Z75" s="376">
        <f>=Z68+Z69-Z73</f>
        <v>0</v>
      </c>
    </row>
    <row r="76" spans="1:26" s="699" customFormat="true" ht="12" customHeight="true">
      <c r="A76" s="373">
        <v>2.2</v>
      </c>
      <c r="B76" s="415" t="s">
        <v>1010</v>
      </c>
      <c r="C76" s="525">
        <f>=辅助表1评估项目基础数据表!$C$3+1</f>
        <v>3</v>
      </c>
      <c r="D76" s="401" t="s"/>
      <c r="E76" s="415" t="s"/>
      <c r="F76" s="415" t="s"/>
      <c r="G76" s="415" t="s"/>
      <c r="H76" s="415" t="s"/>
      <c r="I76" s="415" t="s"/>
      <c r="J76" s="415" t="s"/>
      <c r="K76" s="415" t="s"/>
      <c r="L76" s="415" t="s"/>
      <c r="M76" s="415" t="s"/>
      <c r="N76" s="415" t="s"/>
      <c r="O76" s="415" t="s"/>
      <c r="P76" s="415" t="s"/>
      <c r="Q76" s="415" t="s"/>
      <c r="R76" s="415" t="s"/>
      <c r="S76" s="415" t="s"/>
      <c r="T76" s="415" t="s"/>
      <c r="U76" s="415" t="s"/>
      <c r="V76" s="415" t="s"/>
      <c r="W76" s="415" t="s"/>
      <c r="X76" s="415" t="s"/>
      <c r="Y76" s="415" t="s"/>
      <c r="Z76" s="415" t="s"/>
    </row>
    <row r="77" spans="1:26" s="699" customFormat="true" ht="12" customHeight="true">
      <c r="A77" s="373" t="s"/>
      <c r="B77" s="415" t="s">
        <v>996</v>
      </c>
      <c r="C77" s="401" t="s"/>
      <c r="D77" s="401" t="s"/>
      <c r="E77" s="526">
        <f>=IF(E78+E79&gt;0,辅助表1评估项目基础数据表!$C$4,0)</f>
        <v>0</v>
      </c>
      <c r="F77" s="526">
        <f>=IF(F78+F79&gt;0,12,0)</f>
        <v>0</v>
      </c>
      <c r="G77" s="376" t="s"/>
      <c r="H77" s="376" t="s"/>
      <c r="I77" s="376" t="s"/>
      <c r="J77" s="376" t="s"/>
      <c r="K77" s="376" t="s"/>
      <c r="L77" s="376" t="s"/>
      <c r="M77" s="376" t="s"/>
      <c r="N77" s="376" t="s"/>
      <c r="O77" s="376" t="s"/>
      <c r="P77" s="376" t="s"/>
      <c r="Q77" s="376" t="s"/>
      <c r="R77" s="376" t="s"/>
      <c r="S77" s="376" t="s"/>
      <c r="T77" s="376" t="s"/>
      <c r="U77" s="376" t="s"/>
      <c r="V77" s="376" t="s"/>
      <c r="W77" s="376" t="s"/>
      <c r="X77" s="376" t="s"/>
      <c r="Y77" s="376" t="s"/>
      <c r="Z77" s="376" t="s"/>
    </row>
    <row r="78" spans="1:26" s="699" customFormat="true" ht="12" customHeight="true">
      <c r="A78" s="373">
        <v>1</v>
      </c>
      <c r="B78" s="415" t="s">
        <v>985</v>
      </c>
      <c r="C78" s="401" t="s"/>
      <c r="D78" s="401" t="s"/>
      <c r="E78" s="376">
        <v>0</v>
      </c>
      <c r="F78" s="376">
        <f>=E85</f>
        <v>0</v>
      </c>
      <c r="G78" s="376">
        <f>=F85</f>
        <v>0</v>
      </c>
      <c r="H78" s="376">
        <f>=G85</f>
        <v>0</v>
      </c>
      <c r="I78" s="376">
        <f>=H85</f>
        <v>0</v>
      </c>
      <c r="J78" s="376">
        <f>=I85</f>
        <v>0</v>
      </c>
      <c r="K78" s="376">
        <f>=J85</f>
        <v>0</v>
      </c>
      <c r="L78" s="376">
        <f>=K85</f>
        <v>0</v>
      </c>
      <c r="M78" s="376">
        <f>=L85</f>
        <v>0</v>
      </c>
      <c r="N78" s="376">
        <f>=M85</f>
        <v>0</v>
      </c>
      <c r="O78" s="376">
        <f>=N85</f>
        <v>0</v>
      </c>
      <c r="P78" s="376">
        <f>=O85</f>
        <v>0</v>
      </c>
      <c r="Q78" s="376">
        <f>=P85</f>
        <v>0</v>
      </c>
      <c r="R78" s="376">
        <f>=Q85</f>
        <v>0</v>
      </c>
      <c r="S78" s="376">
        <f>=R85</f>
        <v>0</v>
      </c>
      <c r="T78" s="376">
        <f>=S85</f>
        <v>0</v>
      </c>
      <c r="U78" s="376">
        <f>=T85</f>
        <v>0</v>
      </c>
      <c r="V78" s="376">
        <f>=U85</f>
        <v>0</v>
      </c>
      <c r="W78" s="376">
        <f>=V85</f>
        <v>0</v>
      </c>
      <c r="X78" s="376">
        <f>=W85</f>
        <v>0</v>
      </c>
      <c r="Y78" s="376">
        <f>=X85</f>
        <v>0</v>
      </c>
      <c r="Z78" s="376">
        <f>=Y85</f>
        <v>0</v>
      </c>
    </row>
    <row r="79" spans="1:26" s="699" customFormat="true" ht="12" customHeight="true">
      <c r="A79" s="373">
        <v>2</v>
      </c>
      <c r="B79" s="415" t="s">
        <v>986</v>
      </c>
      <c r="C79" s="401" t="s"/>
      <c r="D79" s="401" t="s"/>
      <c r="E79" s="376">
        <f>=评估表3投资计划与资金筹措表!F35</f>
        <v>0</v>
      </c>
      <c r="F79" s="376">
        <f>=评估表3投资计划与资金筹措表!G35</f>
        <v>0</v>
      </c>
      <c r="G79" s="401" t="s"/>
      <c r="H79" s="401" t="s"/>
      <c r="I79" s="401" t="s"/>
      <c r="J79" s="401" t="s"/>
      <c r="K79" s="401" t="s"/>
      <c r="L79" s="401" t="s"/>
      <c r="M79" s="401" t="s"/>
      <c r="N79" s="401" t="s"/>
      <c r="O79" s="401" t="s"/>
      <c r="P79" s="401" t="s"/>
      <c r="Q79" s="401" t="s"/>
      <c r="R79" s="401" t="s"/>
      <c r="S79" s="401" t="s"/>
      <c r="T79" s="401" t="s"/>
      <c r="U79" s="401" t="s"/>
      <c r="V79" s="401" t="s"/>
      <c r="W79" s="401" t="s"/>
      <c r="X79" s="401" t="s"/>
      <c r="Y79" s="401" t="s"/>
      <c r="Z79" s="401" t="s"/>
    </row>
    <row r="80" spans="1:26" s="699" customFormat="true" ht="12" customHeight="true">
      <c r="A80" s="373">
        <v>3</v>
      </c>
      <c r="B80" s="415" t="s">
        <v>987</v>
      </c>
      <c r="C80" s="401" t="s"/>
      <c r="D80" s="401" t="s"/>
      <c r="E80" s="376">
        <f>=(E78+E79/2)*评估表3投资计划与资金筹措表!$D$35*E77/12</f>
        <v>0</v>
      </c>
      <c r="F80" s="376">
        <f>=(F78+F79/2)*评估表3投资计划与资金筹措表!$D$35*F77/12</f>
        <v>0</v>
      </c>
      <c r="G80" s="376">
        <f>=(G78+G79/2)*评估表3投资计划与资金筹措表!$D$35</f>
        <v>0</v>
      </c>
      <c r="H80" s="376">
        <f>=(H78+H79/2)*评估表3投资计划与资金筹措表!$D$35</f>
        <v>0</v>
      </c>
      <c r="I80" s="376">
        <f>=(I78+I79/2)*评估表3投资计划与资金筹措表!$D$35</f>
        <v>0</v>
      </c>
      <c r="J80" s="376">
        <f>=(J78+J79/2)*评估表3投资计划与资金筹措表!$D$35</f>
        <v>0</v>
      </c>
      <c r="K80" s="376">
        <f>=(K78+K79/2)*评估表3投资计划与资金筹措表!$D$35</f>
        <v>0</v>
      </c>
      <c r="L80" s="376">
        <f>=(L78+L79/2)*评估表3投资计划与资金筹措表!$D$35</f>
        <v>0</v>
      </c>
      <c r="M80" s="376">
        <f>=(M78+M79/2)*评估表3投资计划与资金筹措表!$D$35</f>
        <v>0</v>
      </c>
      <c r="N80" s="376">
        <f>=(N78+N79/2)*评估表3投资计划与资金筹措表!$D$35</f>
        <v>0</v>
      </c>
      <c r="O80" s="376">
        <f>=(O78+O79/2)*评估表3投资计划与资金筹措表!$D$35</f>
        <v>0</v>
      </c>
      <c r="P80" s="376">
        <f>=(P78+P79/2)*评估表3投资计划与资金筹措表!$D$35</f>
        <v>0</v>
      </c>
      <c r="Q80" s="376">
        <f>=(Q78+Q79/2)*评估表3投资计划与资金筹措表!$D$35</f>
        <v>0</v>
      </c>
      <c r="R80" s="376">
        <f>=(R78+R79/2)*评估表3投资计划与资金筹措表!$D$35</f>
        <v>0</v>
      </c>
      <c r="S80" s="376">
        <f>=(S78+S79/2)*评估表3投资计划与资金筹措表!$D$35</f>
        <v>0</v>
      </c>
      <c r="T80" s="376">
        <f>=(T78+T79/2)*评估表3投资计划与资金筹措表!$D$35</f>
        <v>0</v>
      </c>
      <c r="U80" s="376">
        <f>=(U78+U79/2)*评估表3投资计划与资金筹措表!$D$35</f>
        <v>0</v>
      </c>
      <c r="V80" s="376">
        <f>=(V78+V79/2)*评估表3投资计划与资金筹措表!$D$35</f>
        <v>0</v>
      </c>
      <c r="W80" s="376">
        <f>=(W78+W79/2)*评估表3投资计划与资金筹措表!$D$35</f>
        <v>0</v>
      </c>
      <c r="X80" s="376">
        <f>=(X78+X79/2)*评估表3投资计划与资金筹措表!$D$35</f>
        <v>0</v>
      </c>
      <c r="Y80" s="376">
        <f>=(Y78+Y79/2)*评估表3投资计划与资金筹措表!$D$35</f>
        <v>0</v>
      </c>
      <c r="Z80" s="376">
        <f>=(Z78+Z79/2)*评估表3投资计划与资金筹措表!$D$35</f>
        <v>0</v>
      </c>
    </row>
    <row r="81" spans="1:26" s="699" customFormat="true" ht="12" customHeight="true">
      <c r="A81" s="373">
        <v>3.1</v>
      </c>
      <c r="B81" s="415" t="s">
        <v>988</v>
      </c>
      <c r="C81" s="401" t="s"/>
      <c r="D81" s="401" t="s"/>
      <c r="E81" s="376">
        <f>=IF(E$133&lt;$C76,E80,0)</f>
        <v>0</v>
      </c>
      <c r="F81" s="376">
        <f>=IF(F$133&lt;$C76,F80,0)</f>
        <v>0</v>
      </c>
      <c r="G81" s="401" t="s"/>
      <c r="H81" s="401" t="s"/>
      <c r="I81" s="401" t="s"/>
      <c r="J81" s="401" t="s"/>
      <c r="K81" s="401" t="s"/>
      <c r="L81" s="401" t="s"/>
      <c r="M81" s="401" t="s"/>
      <c r="N81" s="401" t="s"/>
      <c r="O81" s="401" t="s"/>
      <c r="P81" s="401" t="s"/>
      <c r="Q81" s="401" t="s"/>
      <c r="R81" s="401" t="s"/>
      <c r="S81" s="401" t="s"/>
      <c r="T81" s="401" t="s"/>
      <c r="U81" s="401" t="s"/>
      <c r="V81" s="401" t="s"/>
      <c r="W81" s="401" t="s"/>
      <c r="X81" s="401" t="s"/>
      <c r="Y81" s="401" t="s"/>
      <c r="Z81" s="401" t="s"/>
    </row>
    <row r="82" spans="1:26" s="699" customFormat="true" ht="12" customHeight="true">
      <c r="A82" s="373">
        <v>3.2</v>
      </c>
      <c r="B82" s="415" t="s">
        <v>989</v>
      </c>
      <c r="C82" s="401" t="s"/>
      <c r="D82" s="401" t="s"/>
      <c r="E82" s="376">
        <f>=IF(E$133&gt;=$C76,E80,0)</f>
        <v>0</v>
      </c>
      <c r="F82" s="376">
        <f>=IF(F$133&gt;=$C76,F80,0)</f>
        <v>0</v>
      </c>
      <c r="G82" s="376">
        <f>=G80</f>
        <v>0</v>
      </c>
      <c r="H82" s="376">
        <f>=H80</f>
        <v>0</v>
      </c>
      <c r="I82" s="376">
        <f>=I80</f>
        <v>0</v>
      </c>
      <c r="J82" s="376">
        <f>=J80</f>
        <v>0</v>
      </c>
      <c r="K82" s="376">
        <f>=K80</f>
        <v>0</v>
      </c>
      <c r="L82" s="376">
        <f>=L80</f>
        <v>0</v>
      </c>
      <c r="M82" s="376">
        <f>=M80</f>
        <v>0</v>
      </c>
      <c r="N82" s="376">
        <f>=N80</f>
        <v>0</v>
      </c>
      <c r="O82" s="376">
        <f>=O80</f>
        <v>0</v>
      </c>
      <c r="P82" s="376">
        <f>=P80</f>
        <v>0</v>
      </c>
      <c r="Q82" s="376">
        <f>=Q80</f>
        <v>0</v>
      </c>
      <c r="R82" s="376">
        <f>=R80</f>
        <v>0</v>
      </c>
      <c r="S82" s="376">
        <f>=S80</f>
        <v>0</v>
      </c>
      <c r="T82" s="376">
        <f>=T80</f>
        <v>0</v>
      </c>
      <c r="U82" s="376">
        <f>=U80</f>
        <v>0</v>
      </c>
      <c r="V82" s="376">
        <f>=V80</f>
        <v>0</v>
      </c>
      <c r="W82" s="376">
        <f>=W80</f>
        <v>0</v>
      </c>
      <c r="X82" s="376">
        <f>=X80</f>
        <v>0</v>
      </c>
      <c r="Y82" s="376">
        <f>=Y80</f>
        <v>0</v>
      </c>
      <c r="Z82" s="376">
        <f>=Z80</f>
        <v>0</v>
      </c>
    </row>
    <row r="83" spans="1:26" s="699" customFormat="true" ht="12" customHeight="true">
      <c r="A83" s="373">
        <v>4</v>
      </c>
      <c r="B83" s="415" t="s">
        <v>990</v>
      </c>
      <c r="C83" s="401" t="s"/>
      <c r="D83" s="401" t="s"/>
      <c r="E83" s="513">
        <v>0</v>
      </c>
      <c r="F83" s="513">
        <v>0</v>
      </c>
      <c r="G83" s="513">
        <v>0</v>
      </c>
      <c r="H83" s="513">
        <v>0</v>
      </c>
      <c r="I83" s="513">
        <v>0</v>
      </c>
      <c r="J83" s="513">
        <v>0</v>
      </c>
      <c r="K83" s="513">
        <v>0</v>
      </c>
      <c r="L83" s="513">
        <v>0</v>
      </c>
      <c r="M83" s="513">
        <v>0</v>
      </c>
      <c r="N83" s="513">
        <v>0</v>
      </c>
      <c r="O83" s="513">
        <v>0</v>
      </c>
      <c r="P83" s="513">
        <v>0</v>
      </c>
      <c r="Q83" s="513">
        <v>0</v>
      </c>
      <c r="R83" s="513">
        <v>0</v>
      </c>
      <c r="S83" s="513">
        <v>0</v>
      </c>
      <c r="T83" s="513">
        <v>0</v>
      </c>
      <c r="U83" s="513">
        <v>0</v>
      </c>
      <c r="V83" s="513">
        <v>0</v>
      </c>
      <c r="W83" s="513">
        <v>0</v>
      </c>
      <c r="X83" s="513">
        <v>0</v>
      </c>
      <c r="Y83" s="513">
        <v>0</v>
      </c>
      <c r="Z83" s="513">
        <v>0</v>
      </c>
    </row>
    <row r="84" spans="1:26" s="699" customFormat="true" ht="12" customHeight="true">
      <c r="A84" s="373">
        <v>5</v>
      </c>
      <c r="B84" s="415" t="s">
        <v>991</v>
      </c>
      <c r="C84" s="401" t="s"/>
      <c r="D84" s="401" t="s"/>
      <c r="E84" s="376">
        <f>=E80</f>
        <v>0</v>
      </c>
      <c r="F84" s="376">
        <f>=F80</f>
        <v>0</v>
      </c>
      <c r="G84" s="376">
        <f>=G80</f>
        <v>0</v>
      </c>
      <c r="H84" s="376">
        <f>=H80</f>
        <v>0</v>
      </c>
      <c r="I84" s="376">
        <f>=I80</f>
        <v>0</v>
      </c>
      <c r="J84" s="376">
        <f>=J80</f>
        <v>0</v>
      </c>
      <c r="K84" s="376">
        <f>=K80</f>
        <v>0</v>
      </c>
      <c r="L84" s="376">
        <f>=L80</f>
        <v>0</v>
      </c>
      <c r="M84" s="376">
        <f>=M80</f>
        <v>0</v>
      </c>
      <c r="N84" s="376">
        <f>=N80</f>
        <v>0</v>
      </c>
      <c r="O84" s="376">
        <f>=O80</f>
        <v>0</v>
      </c>
      <c r="P84" s="376">
        <f>=P80</f>
        <v>0</v>
      </c>
      <c r="Q84" s="376">
        <f>=Q80</f>
        <v>0</v>
      </c>
      <c r="R84" s="376">
        <f>=R80</f>
        <v>0</v>
      </c>
      <c r="S84" s="376">
        <f>=S80</f>
        <v>0</v>
      </c>
      <c r="T84" s="376">
        <f>=T80</f>
        <v>0</v>
      </c>
      <c r="U84" s="376">
        <f>=U80</f>
        <v>0</v>
      </c>
      <c r="V84" s="376">
        <f>=V80</f>
        <v>0</v>
      </c>
      <c r="W84" s="376">
        <f>=W80</f>
        <v>0</v>
      </c>
      <c r="X84" s="376">
        <f>=X80</f>
        <v>0</v>
      </c>
      <c r="Y84" s="376">
        <f>=Y80</f>
        <v>0</v>
      </c>
      <c r="Z84" s="376">
        <f>=Z80</f>
        <v>0</v>
      </c>
    </row>
    <row r="85" spans="1:26" s="699" customFormat="true" ht="12" customHeight="true">
      <c r="A85" s="373">
        <v>6</v>
      </c>
      <c r="B85" s="415" t="s">
        <v>992</v>
      </c>
      <c r="C85" s="401" t="s"/>
      <c r="D85" s="401" t="s"/>
      <c r="E85" s="376">
        <f>=E78+E79-E83</f>
        <v>0</v>
      </c>
      <c r="F85" s="376">
        <f>=F78+F79-F83</f>
        <v>0</v>
      </c>
      <c r="G85" s="376">
        <f>=G78+G79-G83</f>
        <v>0</v>
      </c>
      <c r="H85" s="376">
        <f>=H78+H79-H83</f>
        <v>0</v>
      </c>
      <c r="I85" s="376">
        <f>=I78+I79-I83</f>
        <v>0</v>
      </c>
      <c r="J85" s="376">
        <f>=J78+J79-J83</f>
        <v>0</v>
      </c>
      <c r="K85" s="376">
        <f>=K78+K79-K83</f>
        <v>0</v>
      </c>
      <c r="L85" s="376">
        <f>=L78+L79-L83</f>
        <v>0</v>
      </c>
      <c r="M85" s="376">
        <f>=M78+M79-M83</f>
        <v>0</v>
      </c>
      <c r="N85" s="376">
        <f>=N78+N79-N83</f>
        <v>0</v>
      </c>
      <c r="O85" s="376">
        <f>=O78+O79-O83</f>
        <v>0</v>
      </c>
      <c r="P85" s="376">
        <f>=P78+P79-P83</f>
        <v>0</v>
      </c>
      <c r="Q85" s="376">
        <f>=Q78+Q79-Q83</f>
        <v>0</v>
      </c>
      <c r="R85" s="376">
        <f>=R78+R79-R83</f>
        <v>0</v>
      </c>
      <c r="S85" s="376">
        <f>=S78+S79-S83</f>
        <v>0</v>
      </c>
      <c r="T85" s="376">
        <f>=T78+T79-T83</f>
        <v>0</v>
      </c>
      <c r="U85" s="376">
        <f>=U78+U79-U83</f>
        <v>0</v>
      </c>
      <c r="V85" s="376">
        <f>=V78+V79-V83</f>
        <v>0</v>
      </c>
      <c r="W85" s="376">
        <f>=W78+W79-W83</f>
        <v>0</v>
      </c>
      <c r="X85" s="376">
        <f>=X78+X79-X83</f>
        <v>0</v>
      </c>
      <c r="Y85" s="376">
        <f>=Y78+Y79-Y83</f>
        <v>0</v>
      </c>
      <c r="Z85" s="376">
        <f>=Z78+Z79-Z83</f>
        <v>0</v>
      </c>
    </row>
    <row r="86" spans="1:26" s="699" customFormat="true" ht="12" customHeight="true">
      <c r="A86" s="373">
        <v>2.3</v>
      </c>
      <c r="B86" s="415" t="s">
        <v>1011</v>
      </c>
      <c r="C86" s="525">
        <f>=辅助表1评估项目基础数据表!$C$3+1</f>
        <v>3</v>
      </c>
      <c r="D86" s="401" t="s"/>
      <c r="E86" s="415" t="s"/>
      <c r="F86" s="415" t="s"/>
      <c r="G86" s="415" t="s"/>
      <c r="H86" s="415" t="s"/>
      <c r="I86" s="415" t="s"/>
      <c r="J86" s="415" t="s"/>
      <c r="K86" s="415" t="s"/>
      <c r="L86" s="415" t="s"/>
      <c r="M86" s="415" t="s"/>
      <c r="N86" s="415" t="s"/>
      <c r="O86" s="415" t="s"/>
      <c r="P86" s="415" t="s"/>
      <c r="Q86" s="415" t="s"/>
      <c r="R86" s="415" t="s"/>
      <c r="S86" s="415" t="s"/>
      <c r="T86" s="415" t="s"/>
      <c r="U86" s="415" t="s"/>
      <c r="V86" s="415" t="s"/>
      <c r="W86" s="415" t="s"/>
      <c r="X86" s="415" t="s"/>
      <c r="Y86" s="415" t="s"/>
      <c r="Z86" s="415" t="s"/>
    </row>
    <row r="87" spans="1:26" s="699" customFormat="true" ht="12" customHeight="true">
      <c r="A87" s="373" t="s"/>
      <c r="B87" s="415" t="s">
        <v>996</v>
      </c>
      <c r="C87" s="401" t="s"/>
      <c r="D87" s="401" t="s"/>
      <c r="E87" s="526">
        <f>=IF(E88+E89&gt;0,辅助表1评估项目基础数据表!$C$4,0)</f>
        <v>0</v>
      </c>
      <c r="F87" s="526">
        <f>=IF(F88+F89&gt;0,12,0)</f>
        <v>0</v>
      </c>
      <c r="G87" s="401" t="s"/>
      <c r="H87" s="401" t="s"/>
      <c r="I87" s="401" t="s"/>
      <c r="J87" s="401" t="s"/>
      <c r="K87" s="401" t="s"/>
      <c r="L87" s="401" t="s"/>
      <c r="M87" s="401" t="s"/>
      <c r="N87" s="401" t="s"/>
      <c r="O87" s="401" t="s"/>
      <c r="P87" s="401" t="s"/>
      <c r="Q87" s="401" t="s"/>
      <c r="R87" s="401" t="s"/>
      <c r="S87" s="401" t="s"/>
      <c r="T87" s="401" t="s"/>
      <c r="U87" s="401" t="s"/>
      <c r="V87" s="401" t="s"/>
      <c r="W87" s="401" t="s"/>
      <c r="X87" s="401" t="s"/>
      <c r="Y87" s="401" t="s"/>
      <c r="Z87" s="401" t="s"/>
    </row>
    <row r="88" spans="1:26" s="699" customFormat="true" ht="12" customHeight="true">
      <c r="A88" s="373">
        <v>1</v>
      </c>
      <c r="B88" s="415" t="s">
        <v>985</v>
      </c>
      <c r="C88" s="401" t="s"/>
      <c r="D88" s="401" t="s"/>
      <c r="E88" s="376">
        <v>0</v>
      </c>
      <c r="F88" s="376">
        <f>=E95</f>
        <v>0</v>
      </c>
      <c r="G88" s="376">
        <f>=F95</f>
        <v>0</v>
      </c>
      <c r="H88" s="376">
        <f>=G95</f>
        <v>0</v>
      </c>
      <c r="I88" s="376">
        <f>=H95</f>
        <v>0</v>
      </c>
      <c r="J88" s="376">
        <f>=I95</f>
        <v>0</v>
      </c>
      <c r="K88" s="376">
        <f>=J95</f>
        <v>0</v>
      </c>
      <c r="L88" s="376">
        <f>=K95</f>
        <v>0</v>
      </c>
      <c r="M88" s="376">
        <f>=L95</f>
        <v>0</v>
      </c>
      <c r="N88" s="376">
        <f>=M95</f>
        <v>0</v>
      </c>
      <c r="O88" s="376">
        <f>=N95</f>
        <v>0</v>
      </c>
      <c r="P88" s="376">
        <f>=O95</f>
        <v>0</v>
      </c>
      <c r="Q88" s="376">
        <f>=P95</f>
        <v>0</v>
      </c>
      <c r="R88" s="376">
        <f>=Q95</f>
        <v>0</v>
      </c>
      <c r="S88" s="376">
        <f>=R95</f>
        <v>0</v>
      </c>
      <c r="T88" s="376">
        <f>=S95</f>
        <v>0</v>
      </c>
      <c r="U88" s="376">
        <f>=T95</f>
        <v>0</v>
      </c>
      <c r="V88" s="376">
        <f>=U95</f>
        <v>0</v>
      </c>
      <c r="W88" s="376">
        <f>=V95</f>
        <v>0</v>
      </c>
      <c r="X88" s="376">
        <f>=W95</f>
        <v>0</v>
      </c>
      <c r="Y88" s="376">
        <f>=X95</f>
        <v>0</v>
      </c>
      <c r="Z88" s="376">
        <f>=Y95</f>
        <v>0</v>
      </c>
    </row>
    <row r="89" spans="1:26" s="699" customFormat="true" ht="12" customHeight="true">
      <c r="A89" s="373">
        <v>2</v>
      </c>
      <c r="B89" s="415" t="s">
        <v>986</v>
      </c>
      <c r="C89" s="401" t="s"/>
      <c r="D89" s="401" t="s"/>
      <c r="E89" s="376">
        <f>=评估表3投资计划与资金筹措表!F36</f>
        <v>0</v>
      </c>
      <c r="F89" s="376">
        <f>=评估表3投资计划与资金筹措表!G36</f>
        <v>0</v>
      </c>
      <c r="G89" s="376" t="s"/>
      <c r="H89" s="376" t="s"/>
      <c r="I89" s="376" t="s"/>
      <c r="J89" s="376" t="s"/>
      <c r="K89" s="376" t="s"/>
      <c r="L89" s="376" t="s"/>
      <c r="M89" s="376" t="s"/>
      <c r="N89" s="376" t="s"/>
      <c r="O89" s="376" t="s"/>
      <c r="P89" s="376" t="s"/>
      <c r="Q89" s="376" t="s"/>
      <c r="R89" s="376" t="s"/>
      <c r="S89" s="376" t="s"/>
      <c r="T89" s="376" t="s"/>
      <c r="U89" s="376" t="s"/>
      <c r="V89" s="376" t="s"/>
      <c r="W89" s="376" t="s"/>
      <c r="X89" s="376" t="s"/>
      <c r="Y89" s="376" t="s"/>
      <c r="Z89" s="376" t="s"/>
    </row>
    <row r="90" spans="1:26" s="699" customFormat="true" ht="12" customHeight="true">
      <c r="A90" s="373">
        <v>3</v>
      </c>
      <c r="B90" s="415" t="s">
        <v>987</v>
      </c>
      <c r="C90" s="401" t="s"/>
      <c r="D90" s="401" t="s"/>
      <c r="E90" s="376">
        <f>=(E88+E89/2)*评估表3投资计划与资金筹措表!$D$36*E87/12</f>
        <v>0</v>
      </c>
      <c r="F90" s="376">
        <f>=(F88+F89/2)*评估表3投资计划与资金筹措表!$D$36*F87/12</f>
        <v>0</v>
      </c>
      <c r="G90" s="376">
        <f>=(G88+G89/2)*评估表3投资计划与资金筹措表!$D$36</f>
        <v>0</v>
      </c>
      <c r="H90" s="376">
        <f>=(H88+H89/2)*评估表3投资计划与资金筹措表!$D$36</f>
        <v>0</v>
      </c>
      <c r="I90" s="376">
        <f>=(I88+I89/2)*评估表3投资计划与资金筹措表!$D$36</f>
        <v>0</v>
      </c>
      <c r="J90" s="376">
        <f>=(J88+J89/2)*评估表3投资计划与资金筹措表!$D$36</f>
        <v>0</v>
      </c>
      <c r="K90" s="376">
        <f>=(K88+K89/2)*评估表3投资计划与资金筹措表!$D$36</f>
        <v>0</v>
      </c>
      <c r="L90" s="376">
        <f>=(L88+L89/2)*评估表3投资计划与资金筹措表!$D$36</f>
        <v>0</v>
      </c>
      <c r="M90" s="376">
        <f>=(M88+M89/2)*评估表3投资计划与资金筹措表!$D$36</f>
        <v>0</v>
      </c>
      <c r="N90" s="376">
        <f>=(N88+N89/2)*评估表3投资计划与资金筹措表!$D$36</f>
        <v>0</v>
      </c>
      <c r="O90" s="376">
        <f>=(O88+O89/2)*评估表3投资计划与资金筹措表!$D$36</f>
        <v>0</v>
      </c>
      <c r="P90" s="376">
        <f>=(P88+P89/2)*评估表3投资计划与资金筹措表!$D$36</f>
        <v>0</v>
      </c>
      <c r="Q90" s="376">
        <f>=(Q88+Q89/2)*评估表3投资计划与资金筹措表!$D$36</f>
        <v>0</v>
      </c>
      <c r="R90" s="376">
        <f>=(R88+R89/2)*评估表3投资计划与资金筹措表!$D$36</f>
        <v>0</v>
      </c>
      <c r="S90" s="376">
        <f>=(S88+S89/2)*评估表3投资计划与资金筹措表!$D$36</f>
        <v>0</v>
      </c>
      <c r="T90" s="376">
        <f>=(T88+T89/2)*评估表3投资计划与资金筹措表!$D$36</f>
        <v>0</v>
      </c>
      <c r="U90" s="376">
        <f>=(U88+U89/2)*评估表3投资计划与资金筹措表!$D$36</f>
        <v>0</v>
      </c>
      <c r="V90" s="376">
        <f>=(V88+V89/2)*评估表3投资计划与资金筹措表!$D$36</f>
        <v>0</v>
      </c>
      <c r="W90" s="376">
        <f>=(W88+W89/2)*评估表3投资计划与资金筹措表!$D$36</f>
        <v>0</v>
      </c>
      <c r="X90" s="376">
        <f>=(X88+X89/2)*评估表3投资计划与资金筹措表!$D$36</f>
        <v>0</v>
      </c>
      <c r="Y90" s="376">
        <f>=(Y88+Y89/2)*评估表3投资计划与资金筹措表!$D$36</f>
        <v>0</v>
      </c>
      <c r="Z90" s="376">
        <f>=(Z88+Z89/2)*评估表3投资计划与资金筹措表!$D$36</f>
        <v>0</v>
      </c>
    </row>
    <row r="91" spans="1:26" s="699" customFormat="true" ht="12" customHeight="true">
      <c r="A91" s="373">
        <v>3.1</v>
      </c>
      <c r="B91" s="415" t="s">
        <v>988</v>
      </c>
      <c r="C91" s="401" t="s"/>
      <c r="D91" s="401" t="s"/>
      <c r="E91" s="376">
        <f>=IF(E$133&lt;$C86,E90,0)</f>
        <v>0</v>
      </c>
      <c r="F91" s="376">
        <f>=IF(F$133&lt;$C86,F90,0)</f>
        <v>0</v>
      </c>
      <c r="G91" s="401" t="s"/>
      <c r="H91" s="401" t="s"/>
      <c r="I91" s="401" t="s"/>
      <c r="J91" s="401" t="s"/>
      <c r="K91" s="401" t="s"/>
      <c r="L91" s="401" t="s"/>
      <c r="M91" s="401" t="s"/>
      <c r="N91" s="401" t="s"/>
      <c r="O91" s="401" t="s"/>
      <c r="P91" s="401" t="s"/>
      <c r="Q91" s="401" t="s"/>
      <c r="R91" s="401" t="s"/>
      <c r="S91" s="401" t="s"/>
      <c r="T91" s="401" t="s"/>
      <c r="U91" s="401" t="s"/>
      <c r="V91" s="401" t="s"/>
      <c r="W91" s="401" t="s"/>
      <c r="X91" s="401" t="s"/>
      <c r="Y91" s="401" t="s"/>
      <c r="Z91" s="401" t="s"/>
    </row>
    <row r="92" spans="1:26" s="699" customFormat="true" ht="12" customHeight="true">
      <c r="A92" s="373">
        <v>3.2</v>
      </c>
      <c r="B92" s="415" t="s">
        <v>989</v>
      </c>
      <c r="C92" s="401" t="s"/>
      <c r="D92" s="401" t="s"/>
      <c r="E92" s="376">
        <f>=IF(E$133&gt;=$C86,E90,0)</f>
        <v>0</v>
      </c>
      <c r="F92" s="376">
        <f>=IF(F$133&gt;=$C86,F90,0)</f>
        <v>0</v>
      </c>
      <c r="G92" s="376">
        <f>=G90</f>
        <v>0</v>
      </c>
      <c r="H92" s="376">
        <f>=H90</f>
        <v>0</v>
      </c>
      <c r="I92" s="376">
        <f>=I90</f>
        <v>0</v>
      </c>
      <c r="J92" s="376">
        <f>=J90</f>
        <v>0</v>
      </c>
      <c r="K92" s="376">
        <f>=K90</f>
        <v>0</v>
      </c>
      <c r="L92" s="376">
        <f>=L90</f>
        <v>0</v>
      </c>
      <c r="M92" s="376">
        <f>=M90</f>
        <v>0</v>
      </c>
      <c r="N92" s="376">
        <f>=N90</f>
        <v>0</v>
      </c>
      <c r="O92" s="376">
        <f>=O90</f>
        <v>0</v>
      </c>
      <c r="P92" s="376">
        <f>=P90</f>
        <v>0</v>
      </c>
      <c r="Q92" s="376">
        <f>=Q90</f>
        <v>0</v>
      </c>
      <c r="R92" s="376">
        <f>=R90</f>
        <v>0</v>
      </c>
      <c r="S92" s="376">
        <f>=S90</f>
        <v>0</v>
      </c>
      <c r="T92" s="376">
        <f>=T90</f>
        <v>0</v>
      </c>
      <c r="U92" s="376">
        <f>=U90</f>
        <v>0</v>
      </c>
      <c r="V92" s="376">
        <f>=V90</f>
        <v>0</v>
      </c>
      <c r="W92" s="376">
        <f>=W90</f>
        <v>0</v>
      </c>
      <c r="X92" s="376">
        <f>=X90</f>
        <v>0</v>
      </c>
      <c r="Y92" s="376">
        <f>=Y90</f>
        <v>0</v>
      </c>
      <c r="Z92" s="376">
        <f>=Z90</f>
        <v>0</v>
      </c>
    </row>
    <row r="93" spans="1:26" s="699" customFormat="true" ht="12" customHeight="true">
      <c r="A93" s="373">
        <v>4</v>
      </c>
      <c r="B93" s="415" t="s">
        <v>990</v>
      </c>
      <c r="C93" s="401" t="s"/>
      <c r="D93" s="401" t="s"/>
      <c r="E93" s="400" t="s"/>
      <c r="F93" s="400" t="s"/>
      <c r="G93" s="400" t="s"/>
      <c r="H93" s="400" t="s"/>
      <c r="I93" s="400" t="s"/>
      <c r="J93" s="400" t="s"/>
      <c r="K93" s="400" t="s"/>
      <c r="L93" s="400" t="s"/>
      <c r="M93" s="400" t="s"/>
      <c r="N93" s="400" t="s"/>
      <c r="O93" s="400" t="s"/>
      <c r="P93" s="400" t="s"/>
      <c r="Q93" s="400" t="s"/>
      <c r="R93" s="400" t="s"/>
      <c r="S93" s="400" t="s"/>
      <c r="T93" s="400" t="s"/>
      <c r="U93" s="400" t="s"/>
      <c r="V93" s="400" t="s"/>
      <c r="W93" s="400" t="s"/>
      <c r="X93" s="400" t="s"/>
      <c r="Y93" s="400" t="s"/>
      <c r="Z93" s="400" t="s"/>
    </row>
    <row r="94" spans="1:26" s="699" customFormat="true" ht="12" customHeight="true">
      <c r="A94" s="373">
        <v>5</v>
      </c>
      <c r="B94" s="415" t="s">
        <v>991</v>
      </c>
      <c r="C94" s="401" t="s"/>
      <c r="D94" s="401" t="s"/>
      <c r="E94" s="376">
        <f>=E90</f>
        <v>0</v>
      </c>
      <c r="F94" s="376">
        <f>=F90</f>
        <v>0</v>
      </c>
      <c r="G94" s="376">
        <f>=G90</f>
        <v>0</v>
      </c>
      <c r="H94" s="376">
        <f>=H90</f>
        <v>0</v>
      </c>
      <c r="I94" s="376">
        <f>=I90</f>
        <v>0</v>
      </c>
      <c r="J94" s="376">
        <f>=J90</f>
        <v>0</v>
      </c>
      <c r="K94" s="376">
        <f>=K90</f>
        <v>0</v>
      </c>
      <c r="L94" s="376">
        <f>=L90</f>
        <v>0</v>
      </c>
      <c r="M94" s="376">
        <f>=M90</f>
        <v>0</v>
      </c>
      <c r="N94" s="376">
        <f>=N90</f>
        <v>0</v>
      </c>
      <c r="O94" s="376">
        <f>=O90</f>
        <v>0</v>
      </c>
      <c r="P94" s="376">
        <f>=P90</f>
        <v>0</v>
      </c>
      <c r="Q94" s="376">
        <f>=Q90</f>
        <v>0</v>
      </c>
      <c r="R94" s="376">
        <f>=R90</f>
        <v>0</v>
      </c>
      <c r="S94" s="376">
        <f>=S90</f>
        <v>0</v>
      </c>
      <c r="T94" s="376">
        <f>=T90</f>
        <v>0</v>
      </c>
      <c r="U94" s="376">
        <f>=U90</f>
        <v>0</v>
      </c>
      <c r="V94" s="376">
        <f>=V90</f>
        <v>0</v>
      </c>
      <c r="W94" s="376">
        <f>=W90</f>
        <v>0</v>
      </c>
      <c r="X94" s="376">
        <f>=X90</f>
        <v>0</v>
      </c>
      <c r="Y94" s="376">
        <f>=Y90</f>
        <v>0</v>
      </c>
      <c r="Z94" s="376">
        <f>=Z90</f>
        <v>0</v>
      </c>
    </row>
    <row r="95" spans="1:26" s="699" customFormat="true" ht="12" customHeight="true">
      <c r="A95" s="373">
        <v>6</v>
      </c>
      <c r="B95" s="415" t="s">
        <v>992</v>
      </c>
      <c r="C95" s="401" t="s"/>
      <c r="D95" s="401" t="s"/>
      <c r="E95" s="376">
        <f>=E88+E89-E93</f>
        <v>0</v>
      </c>
      <c r="F95" s="376">
        <f>=F88+F89-F93</f>
        <v>0</v>
      </c>
      <c r="G95" s="376">
        <f>=G88+G89-G93</f>
        <v>0</v>
      </c>
      <c r="H95" s="376">
        <f>=H88+H89-H93</f>
        <v>0</v>
      </c>
      <c r="I95" s="376">
        <f>=I88+I89-I93</f>
        <v>0</v>
      </c>
      <c r="J95" s="376">
        <f>=J88+J89-J93</f>
        <v>0</v>
      </c>
      <c r="K95" s="376">
        <f>=K88+K89-K93</f>
        <v>0</v>
      </c>
      <c r="L95" s="376">
        <f>=L88+L89-L93</f>
        <v>0</v>
      </c>
      <c r="M95" s="376">
        <f>=M88+M89-M93</f>
        <v>0</v>
      </c>
      <c r="N95" s="376">
        <f>=N88+N89-N93</f>
        <v>0</v>
      </c>
      <c r="O95" s="376">
        <f>=O88+O89-O93</f>
        <v>0</v>
      </c>
      <c r="P95" s="376">
        <f>=P88+P89-P93</f>
        <v>0</v>
      </c>
      <c r="Q95" s="376">
        <f>=Q88+Q89-Q93</f>
        <v>0</v>
      </c>
      <c r="R95" s="376">
        <f>=R88+R89-R93</f>
        <v>0</v>
      </c>
      <c r="S95" s="376">
        <f>=S88+S89-S93</f>
        <v>0</v>
      </c>
      <c r="T95" s="376">
        <f>=T88+T89-T93</f>
        <v>0</v>
      </c>
      <c r="U95" s="376">
        <f>=U88+U89-U93</f>
        <v>0</v>
      </c>
      <c r="V95" s="376">
        <f>=V88+V89-V93</f>
        <v>0</v>
      </c>
      <c r="W95" s="376">
        <f>=W88+W89-W93</f>
        <v>0</v>
      </c>
      <c r="X95" s="376">
        <f>=X88+X89-X93</f>
        <v>0</v>
      </c>
      <c r="Y95" s="376">
        <f>=Y88+Y89-Y93</f>
        <v>0</v>
      </c>
      <c r="Z95" s="376">
        <f>=Z88+Z89-Z93</f>
        <v>0</v>
      </c>
    </row>
    <row r="96" spans="1:26" s="699" customFormat="true" ht="12" customHeight="true">
      <c r="A96" s="373">
        <v>2.4</v>
      </c>
      <c r="B96" s="415" t="s">
        <v>1012</v>
      </c>
      <c r="C96" s="525">
        <f>=辅助表1评估项目基础数据表!$C$3+1</f>
        <v>3</v>
      </c>
      <c r="D96" s="401" t="s"/>
      <c r="E96" s="415" t="s"/>
      <c r="F96" s="415" t="s"/>
      <c r="G96" s="415" t="s"/>
      <c r="H96" s="415" t="s"/>
      <c r="I96" s="415" t="s"/>
      <c r="J96" s="415" t="s"/>
      <c r="K96" s="415" t="s"/>
      <c r="L96" s="415" t="s"/>
      <c r="M96" s="415" t="s"/>
      <c r="N96" s="415" t="s"/>
      <c r="O96" s="415" t="s"/>
      <c r="P96" s="415" t="s"/>
      <c r="Q96" s="415" t="s"/>
      <c r="R96" s="415" t="s"/>
      <c r="S96" s="415" t="s"/>
      <c r="T96" s="415" t="s"/>
      <c r="U96" s="415" t="s"/>
      <c r="V96" s="415" t="s"/>
      <c r="W96" s="415" t="s"/>
      <c r="X96" s="415" t="s"/>
      <c r="Y96" s="415" t="s"/>
      <c r="Z96" s="415" t="s"/>
    </row>
    <row r="97" spans="1:26" s="699" customFormat="true" ht="12" customHeight="true">
      <c r="A97" s="373" t="s"/>
      <c r="B97" s="415" t="s">
        <v>996</v>
      </c>
      <c r="C97" s="401" t="s"/>
      <c r="D97" s="401" t="s"/>
      <c r="E97" s="526">
        <f>=IF(E98+E99&gt;0,辅助表1评估项目基础数据表!$C$4,0)</f>
        <v>0</v>
      </c>
      <c r="F97" s="526">
        <f>=IF(F98+F99&gt;0,12,0)</f>
        <v>0</v>
      </c>
      <c r="G97" s="401" t="s"/>
      <c r="H97" s="401" t="s"/>
      <c r="I97" s="401" t="s"/>
      <c r="J97" s="401" t="s"/>
      <c r="K97" s="401" t="s"/>
      <c r="L97" s="401" t="s"/>
      <c r="M97" s="401" t="s"/>
      <c r="N97" s="401" t="s"/>
      <c r="O97" s="401" t="s"/>
      <c r="P97" s="401" t="s"/>
      <c r="Q97" s="401" t="s"/>
      <c r="R97" s="401" t="s"/>
      <c r="S97" s="401" t="s"/>
      <c r="T97" s="401" t="s"/>
      <c r="U97" s="401" t="s"/>
      <c r="V97" s="401" t="s"/>
      <c r="W97" s="401" t="s"/>
      <c r="X97" s="401" t="s"/>
      <c r="Y97" s="401" t="s"/>
      <c r="Z97" s="401" t="s"/>
    </row>
    <row r="98" spans="1:26" s="699" customFormat="true" ht="12" customHeight="true">
      <c r="A98" s="373">
        <v>1</v>
      </c>
      <c r="B98" s="415" t="s">
        <v>985</v>
      </c>
      <c r="C98" s="401" t="s"/>
      <c r="D98" s="401" t="s"/>
      <c r="E98" s="376">
        <v>0</v>
      </c>
      <c r="F98" s="376">
        <f>=E105</f>
        <v>0</v>
      </c>
      <c r="G98" s="376">
        <f>=F105</f>
        <v>0</v>
      </c>
      <c r="H98" s="376">
        <f>=G105</f>
        <v>0</v>
      </c>
      <c r="I98" s="376">
        <f>=H105</f>
        <v>0</v>
      </c>
      <c r="J98" s="376">
        <f>=I105</f>
        <v>0</v>
      </c>
      <c r="K98" s="376">
        <f>=J105</f>
        <v>0</v>
      </c>
      <c r="L98" s="376">
        <f>=K105</f>
        <v>0</v>
      </c>
      <c r="M98" s="376">
        <f>=L105</f>
        <v>0</v>
      </c>
      <c r="N98" s="376">
        <f>=M105</f>
        <v>0</v>
      </c>
      <c r="O98" s="376">
        <f>=N105</f>
        <v>0</v>
      </c>
      <c r="P98" s="376">
        <f>=O105</f>
        <v>0</v>
      </c>
      <c r="Q98" s="376">
        <f>=P105</f>
        <v>0</v>
      </c>
      <c r="R98" s="376">
        <f>=Q105</f>
        <v>0</v>
      </c>
      <c r="S98" s="376">
        <f>=R105</f>
        <v>0</v>
      </c>
      <c r="T98" s="376">
        <f>=S105</f>
        <v>0</v>
      </c>
      <c r="U98" s="376">
        <f>=T105</f>
        <v>0</v>
      </c>
      <c r="V98" s="376">
        <f>=U105</f>
        <v>0</v>
      </c>
      <c r="W98" s="376">
        <f>=V105</f>
        <v>0</v>
      </c>
      <c r="X98" s="376">
        <f>=W105</f>
        <v>0</v>
      </c>
      <c r="Y98" s="376">
        <f>=X105</f>
        <v>0</v>
      </c>
      <c r="Z98" s="376">
        <f>=Y105</f>
        <v>0</v>
      </c>
    </row>
    <row r="99" spans="1:26" s="699" customFormat="true" ht="12" customHeight="true">
      <c r="A99" s="373">
        <v>2</v>
      </c>
      <c r="B99" s="415" t="s">
        <v>986</v>
      </c>
      <c r="C99" s="401" t="s"/>
      <c r="D99" s="401" t="s"/>
      <c r="E99" s="376">
        <f>=评估表3投资计划与资金筹措表!F37</f>
        <v>0</v>
      </c>
      <c r="F99" s="376">
        <f>=评估表3投资计划与资金筹措表!G37</f>
        <v>0</v>
      </c>
      <c r="G99" s="401" t="s"/>
      <c r="H99" s="401" t="s"/>
      <c r="I99" s="401" t="s"/>
      <c r="J99" s="401" t="s"/>
      <c r="K99" s="401" t="s"/>
      <c r="L99" s="401" t="s"/>
      <c r="M99" s="401" t="s"/>
      <c r="N99" s="401" t="s"/>
      <c r="O99" s="401" t="s"/>
      <c r="P99" s="401" t="s"/>
      <c r="Q99" s="401" t="s"/>
      <c r="R99" s="401" t="s"/>
      <c r="S99" s="401" t="s"/>
      <c r="T99" s="401" t="s"/>
      <c r="U99" s="401" t="s"/>
      <c r="V99" s="401" t="s"/>
      <c r="W99" s="401" t="s"/>
      <c r="X99" s="401" t="s"/>
      <c r="Y99" s="401" t="s"/>
      <c r="Z99" s="401" t="s"/>
    </row>
    <row r="100" spans="1:26" s="699" customFormat="true" ht="12" customHeight="true">
      <c r="A100" s="373">
        <v>3</v>
      </c>
      <c r="B100" s="415" t="s">
        <v>987</v>
      </c>
      <c r="C100" s="401" t="s"/>
      <c r="D100" s="401" t="s"/>
      <c r="E100" s="376">
        <f>=(E98+E99/2)*评估表3投资计划与资金筹措表!$D$37*E97/12</f>
        <v>0</v>
      </c>
      <c r="F100" s="376">
        <f>=(F98+F99/2)*评估表3投资计划与资金筹措表!$D$37*F97/12</f>
        <v>0</v>
      </c>
      <c r="G100" s="376">
        <f>=(G98+G99/2)*评估表3投资计划与资金筹措表!$D$37</f>
        <v>0</v>
      </c>
      <c r="H100" s="376">
        <f>=(H98+H99/2)*评估表3投资计划与资金筹措表!$D$37</f>
        <v>0</v>
      </c>
      <c r="I100" s="376">
        <f>=(I98+I99/2)*评估表3投资计划与资金筹措表!$D$37</f>
        <v>0</v>
      </c>
      <c r="J100" s="376">
        <f>=(J98+J99/2)*评估表3投资计划与资金筹措表!$D$37</f>
        <v>0</v>
      </c>
      <c r="K100" s="376">
        <f>=(K98+K99/2)*评估表3投资计划与资金筹措表!$D$37</f>
        <v>0</v>
      </c>
      <c r="L100" s="376">
        <f>=(L98+L99/2)*评估表3投资计划与资金筹措表!$D$37</f>
        <v>0</v>
      </c>
      <c r="M100" s="376">
        <f>=(M98+M99/2)*评估表3投资计划与资金筹措表!$D$37</f>
        <v>0</v>
      </c>
      <c r="N100" s="376">
        <f>=(N98+N99/2)*评估表3投资计划与资金筹措表!$D$37</f>
        <v>0</v>
      </c>
      <c r="O100" s="376">
        <f>=(O98+O99/2)*评估表3投资计划与资金筹措表!$D$37</f>
        <v>0</v>
      </c>
      <c r="P100" s="376">
        <f>=(P98+P99/2)*评估表3投资计划与资金筹措表!$D$37</f>
        <v>0</v>
      </c>
      <c r="Q100" s="376">
        <f>=(Q98+Q99/2)*评估表3投资计划与资金筹措表!$D$37</f>
        <v>0</v>
      </c>
      <c r="R100" s="376">
        <f>=(R98+R99/2)*评估表3投资计划与资金筹措表!$D$37</f>
        <v>0</v>
      </c>
      <c r="S100" s="376">
        <f>=(S98+S99/2)*评估表3投资计划与资金筹措表!$D$37</f>
        <v>0</v>
      </c>
      <c r="T100" s="376">
        <f>=(T98+T99/2)*评估表3投资计划与资金筹措表!$D$37</f>
        <v>0</v>
      </c>
      <c r="U100" s="376">
        <f>=(U98+U99/2)*评估表3投资计划与资金筹措表!$D$37</f>
        <v>0</v>
      </c>
      <c r="V100" s="376">
        <f>=(V98+V99/2)*评估表3投资计划与资金筹措表!$D$37</f>
        <v>0</v>
      </c>
      <c r="W100" s="376">
        <f>=(W98+W99/2)*评估表3投资计划与资金筹措表!$D$37</f>
        <v>0</v>
      </c>
      <c r="X100" s="376">
        <f>=(X98+X99/2)*评估表3投资计划与资金筹措表!$D$37</f>
        <v>0</v>
      </c>
      <c r="Y100" s="376">
        <f>=(Y98+Y99/2)*评估表3投资计划与资金筹措表!$D$37</f>
        <v>0</v>
      </c>
      <c r="Z100" s="376">
        <f>=(Z98+Z99/2)*评估表3投资计划与资金筹措表!$D$37</f>
        <v>0</v>
      </c>
    </row>
    <row r="101" spans="1:26" s="699" customFormat="true" ht="12" customHeight="true">
      <c r="A101" s="373">
        <v>3.1</v>
      </c>
      <c r="B101" s="415" t="s">
        <v>988</v>
      </c>
      <c r="C101" s="401" t="s"/>
      <c r="D101" s="401" t="s"/>
      <c r="E101" s="376">
        <f>=IF(E$133&lt;$C96,E100,0)</f>
        <v>0</v>
      </c>
      <c r="F101" s="376">
        <f>=IF(F$133&lt;$C96,F100,0)</f>
        <v>0</v>
      </c>
      <c r="G101" s="401" t="s"/>
      <c r="H101" s="401" t="s"/>
      <c r="I101" s="401" t="s"/>
      <c r="J101" s="401" t="s"/>
      <c r="K101" s="401" t="s"/>
      <c r="L101" s="401" t="s"/>
      <c r="M101" s="401" t="s"/>
      <c r="N101" s="401" t="s"/>
      <c r="O101" s="401" t="s"/>
      <c r="P101" s="401" t="s"/>
      <c r="Q101" s="401" t="s"/>
      <c r="R101" s="401" t="s"/>
      <c r="S101" s="401" t="s"/>
      <c r="T101" s="401" t="s"/>
      <c r="U101" s="401" t="s"/>
      <c r="V101" s="401" t="s"/>
      <c r="W101" s="401" t="s"/>
      <c r="X101" s="401" t="s"/>
      <c r="Y101" s="401" t="s"/>
      <c r="Z101" s="401" t="s"/>
    </row>
    <row r="102" spans="1:26" s="699" customFormat="true" ht="12" customHeight="true">
      <c r="A102" s="373">
        <v>3.2</v>
      </c>
      <c r="B102" s="415" t="s">
        <v>989</v>
      </c>
      <c r="C102" s="401" t="s"/>
      <c r="D102" s="401" t="s"/>
      <c r="E102" s="376">
        <f>=IF(E$133&gt;=$C96,E100,0)</f>
        <v>0</v>
      </c>
      <c r="F102" s="376">
        <f>=IF(F$133&gt;=$C96,F100,0)</f>
        <v>0</v>
      </c>
      <c r="G102" s="376">
        <f>=G100</f>
        <v>0</v>
      </c>
      <c r="H102" s="376">
        <f>=H100</f>
        <v>0</v>
      </c>
      <c r="I102" s="376">
        <f>=I100</f>
        <v>0</v>
      </c>
      <c r="J102" s="376">
        <f>=J100</f>
        <v>0</v>
      </c>
      <c r="K102" s="376">
        <f>=K100</f>
        <v>0</v>
      </c>
      <c r="L102" s="376">
        <f>=L100</f>
        <v>0</v>
      </c>
      <c r="M102" s="376">
        <f>=M100</f>
        <v>0</v>
      </c>
      <c r="N102" s="376">
        <f>=N100</f>
        <v>0</v>
      </c>
      <c r="O102" s="376">
        <f>=O100</f>
        <v>0</v>
      </c>
      <c r="P102" s="376">
        <f>=P100</f>
        <v>0</v>
      </c>
      <c r="Q102" s="376">
        <f>=Q100</f>
        <v>0</v>
      </c>
      <c r="R102" s="376">
        <f>=R100</f>
        <v>0</v>
      </c>
      <c r="S102" s="376">
        <f>=S100</f>
        <v>0</v>
      </c>
      <c r="T102" s="376">
        <f>=T100</f>
        <v>0</v>
      </c>
      <c r="U102" s="376">
        <f>=U100</f>
        <v>0</v>
      </c>
      <c r="V102" s="376">
        <f>=V100</f>
        <v>0</v>
      </c>
      <c r="W102" s="376">
        <f>=W100</f>
        <v>0</v>
      </c>
      <c r="X102" s="376">
        <f>=X100</f>
        <v>0</v>
      </c>
      <c r="Y102" s="376">
        <f>=Y100</f>
        <v>0</v>
      </c>
      <c r="Z102" s="376">
        <f>=Z100</f>
        <v>0</v>
      </c>
    </row>
    <row r="103" spans="1:26" s="699" customFormat="true" ht="12" customHeight="true">
      <c r="A103" s="373">
        <v>4</v>
      </c>
      <c r="B103" s="415" t="s">
        <v>990</v>
      </c>
      <c r="C103" s="401" t="s"/>
      <c r="D103" s="401" t="s"/>
      <c r="E103" s="400" t="s"/>
      <c r="F103" s="400" t="s"/>
      <c r="G103" s="400" t="s"/>
      <c r="H103" s="400" t="s"/>
      <c r="I103" s="400" t="s"/>
      <c r="J103" s="400" t="s"/>
      <c r="K103" s="400" t="s"/>
      <c r="L103" s="400" t="s"/>
      <c r="M103" s="400" t="s"/>
      <c r="N103" s="400" t="s"/>
      <c r="O103" s="400" t="s"/>
      <c r="P103" s="400" t="s"/>
      <c r="Q103" s="400" t="s"/>
      <c r="R103" s="400" t="s"/>
      <c r="S103" s="400" t="s"/>
      <c r="T103" s="400" t="s"/>
      <c r="U103" s="400" t="s"/>
      <c r="V103" s="400" t="s"/>
      <c r="W103" s="400" t="s"/>
      <c r="X103" s="400" t="s"/>
      <c r="Y103" s="400" t="s"/>
      <c r="Z103" s="400" t="s"/>
    </row>
    <row r="104" spans="1:26" s="699" customFormat="true" ht="12" customHeight="true">
      <c r="A104" s="373">
        <v>5</v>
      </c>
      <c r="B104" s="415" t="s">
        <v>991</v>
      </c>
      <c r="C104" s="401" t="s"/>
      <c r="D104" s="401" t="s"/>
      <c r="E104" s="376">
        <f>=E100</f>
        <v>0</v>
      </c>
      <c r="F104" s="376">
        <f>=F100</f>
        <v>0</v>
      </c>
      <c r="G104" s="376">
        <f>=G100</f>
        <v>0</v>
      </c>
      <c r="H104" s="376">
        <f>=H100</f>
        <v>0</v>
      </c>
      <c r="I104" s="376">
        <f>=I100</f>
        <v>0</v>
      </c>
      <c r="J104" s="376">
        <f>=J100</f>
        <v>0</v>
      </c>
      <c r="K104" s="376">
        <f>=K100</f>
        <v>0</v>
      </c>
      <c r="L104" s="376">
        <f>=L100</f>
        <v>0</v>
      </c>
      <c r="M104" s="376">
        <f>=M100</f>
        <v>0</v>
      </c>
      <c r="N104" s="376">
        <f>=N100</f>
        <v>0</v>
      </c>
      <c r="O104" s="376">
        <f>=O100</f>
        <v>0</v>
      </c>
      <c r="P104" s="376">
        <f>=P100</f>
        <v>0</v>
      </c>
      <c r="Q104" s="376">
        <f>=Q100</f>
        <v>0</v>
      </c>
      <c r="R104" s="376">
        <f>=R100</f>
        <v>0</v>
      </c>
      <c r="S104" s="376">
        <f>=S100</f>
        <v>0</v>
      </c>
      <c r="T104" s="376">
        <f>=T100</f>
        <v>0</v>
      </c>
      <c r="U104" s="376">
        <f>=U100</f>
        <v>0</v>
      </c>
      <c r="V104" s="376">
        <f>=V100</f>
        <v>0</v>
      </c>
      <c r="W104" s="376">
        <f>=W100</f>
        <v>0</v>
      </c>
      <c r="X104" s="376">
        <f>=X100</f>
        <v>0</v>
      </c>
      <c r="Y104" s="376">
        <f>=Y100</f>
        <v>0</v>
      </c>
      <c r="Z104" s="376">
        <f>=Z100</f>
        <v>0</v>
      </c>
    </row>
    <row r="105" spans="1:26" s="699" customFormat="true" ht="12" customHeight="true">
      <c r="A105" s="373">
        <v>6</v>
      </c>
      <c r="B105" s="415" t="s">
        <v>992</v>
      </c>
      <c r="C105" s="401" t="s"/>
      <c r="D105" s="401" t="s"/>
      <c r="E105" s="376">
        <f>=E98+E99-E103</f>
        <v>0</v>
      </c>
      <c r="F105" s="376">
        <f>=F98+F99-F103</f>
        <v>0</v>
      </c>
      <c r="G105" s="376">
        <f>=G98+G99-G103</f>
        <v>0</v>
      </c>
      <c r="H105" s="376">
        <f>=H98+H99-H103</f>
        <v>0</v>
      </c>
      <c r="I105" s="376">
        <f>=I98+I99-I103</f>
        <v>0</v>
      </c>
      <c r="J105" s="376">
        <f>=J98+J99-J103</f>
        <v>0</v>
      </c>
      <c r="K105" s="376">
        <f>=K98+K99-K103</f>
        <v>0</v>
      </c>
      <c r="L105" s="376">
        <f>=L98+L99-L103</f>
        <v>0</v>
      </c>
      <c r="M105" s="376">
        <f>=M98+M99-M103</f>
        <v>0</v>
      </c>
      <c r="N105" s="376">
        <f>=N98+N99-N103</f>
        <v>0</v>
      </c>
      <c r="O105" s="376">
        <f>=O98+O99-O103</f>
        <v>0</v>
      </c>
      <c r="P105" s="376">
        <f>=P98+P99-P103</f>
        <v>0</v>
      </c>
      <c r="Q105" s="376">
        <f>=Q98+Q99-Q103</f>
        <v>0</v>
      </c>
      <c r="R105" s="376">
        <f>=R98+R99-R103</f>
        <v>0</v>
      </c>
      <c r="S105" s="376">
        <f>=S98+S99-S103</f>
        <v>0</v>
      </c>
      <c r="T105" s="376">
        <f>=T98+T99-T103</f>
        <v>0</v>
      </c>
      <c r="U105" s="376">
        <f>=U98+U99-U103</f>
        <v>0</v>
      </c>
      <c r="V105" s="376">
        <f>=V98+V99-V103</f>
        <v>0</v>
      </c>
      <c r="W105" s="376">
        <f>=W98+W99-W103</f>
        <v>0</v>
      </c>
      <c r="X105" s="376">
        <f>=X98+X99-X103</f>
        <v>0</v>
      </c>
      <c r="Y105" s="376">
        <f>=Y98+Y99-Y103</f>
        <v>0</v>
      </c>
      <c r="Z105" s="376">
        <f>=Z98+Z99-Z103</f>
        <v>0</v>
      </c>
    </row>
    <row r="106" spans="1:26" s="699" customFormat="true" ht="12" customHeight="true">
      <c r="A106" s="373" t="s">
        <v>1013</v>
      </c>
      <c r="B106" s="415" t="s">
        <v>1014</v>
      </c>
      <c r="C106" s="525">
        <f>=辅助表1评估项目基础数据表!$C$3+1</f>
        <v>3</v>
      </c>
      <c r="D106" s="401" t="s"/>
      <c r="E106" s="415" t="s"/>
      <c r="F106" s="415" t="s"/>
      <c r="G106" s="415" t="s"/>
      <c r="H106" s="415" t="s"/>
      <c r="I106" s="415" t="s"/>
      <c r="J106" s="415" t="s"/>
      <c r="K106" s="415" t="s"/>
      <c r="L106" s="415" t="s"/>
      <c r="M106" s="415" t="s"/>
      <c r="N106" s="415" t="s"/>
      <c r="O106" s="415" t="s"/>
      <c r="P106" s="415" t="s"/>
      <c r="Q106" s="415" t="s"/>
      <c r="R106" s="415" t="s"/>
      <c r="S106" s="415" t="s"/>
      <c r="T106" s="415" t="s"/>
      <c r="U106" s="415" t="s"/>
      <c r="V106" s="415" t="s"/>
      <c r="W106" s="415" t="s"/>
      <c r="X106" s="415" t="s"/>
      <c r="Y106" s="415" t="s"/>
      <c r="Z106" s="415" t="s"/>
    </row>
    <row r="107" spans="1:26" s="699" customFormat="true" ht="12" customHeight="true">
      <c r="A107" s="373">
        <v>1</v>
      </c>
      <c r="B107" s="415" t="s">
        <v>985</v>
      </c>
      <c r="C107" s="401" t="s"/>
      <c r="D107" s="401" t="s"/>
      <c r="E107" s="376">
        <v>0</v>
      </c>
      <c r="F107" s="376">
        <f>=E114</f>
        <v>0</v>
      </c>
      <c r="G107" s="376">
        <f>=F114</f>
        <v>0</v>
      </c>
      <c r="H107" s="376">
        <f>=G114</f>
        <v>0</v>
      </c>
      <c r="I107" s="376">
        <f>=H114</f>
        <v>0</v>
      </c>
      <c r="J107" s="376">
        <f>=I114</f>
        <v>0</v>
      </c>
      <c r="K107" s="376">
        <f>=J114</f>
        <v>0</v>
      </c>
      <c r="L107" s="376">
        <f>=K114</f>
        <v>0</v>
      </c>
      <c r="M107" s="376">
        <f>=L114</f>
        <v>0</v>
      </c>
      <c r="N107" s="376">
        <f>=M114</f>
        <v>0</v>
      </c>
      <c r="O107" s="376">
        <f>=N114</f>
        <v>0</v>
      </c>
      <c r="P107" s="376">
        <f>=O114</f>
        <v>0</v>
      </c>
      <c r="Q107" s="376">
        <f>=P114</f>
        <v>0</v>
      </c>
      <c r="R107" s="376">
        <f>=Q114</f>
        <v>0</v>
      </c>
      <c r="S107" s="376">
        <f>=R114</f>
        <v>0</v>
      </c>
      <c r="T107" s="376">
        <f>=S114</f>
        <v>0</v>
      </c>
      <c r="U107" s="376">
        <f>=T114</f>
        <v>0</v>
      </c>
      <c r="V107" s="376">
        <f>=U114</f>
        <v>0</v>
      </c>
      <c r="W107" s="376">
        <f>=V114</f>
        <v>0</v>
      </c>
      <c r="X107" s="376">
        <f>=W114</f>
        <v>0</v>
      </c>
      <c r="Y107" s="376">
        <f>=X114</f>
        <v>0</v>
      </c>
      <c r="Z107" s="376">
        <f>=Y114</f>
        <v>0</v>
      </c>
    </row>
    <row r="108" spans="1:26" s="699" customFormat="true" ht="12" customHeight="true">
      <c r="A108" s="373">
        <v>2</v>
      </c>
      <c r="B108" s="415" t="s">
        <v>986</v>
      </c>
      <c r="C108" s="401" t="s"/>
      <c r="D108" s="401" t="s"/>
      <c r="E108" s="376">
        <f>=评估表3投资计划与资金筹措表!F38</f>
        <v>0</v>
      </c>
      <c r="F108" s="376">
        <f>=评估表3投资计划与资金筹措表!G38</f>
        <v>0</v>
      </c>
      <c r="G108" s="401" t="s"/>
      <c r="H108" s="401" t="s"/>
      <c r="I108" s="401" t="s"/>
      <c r="J108" s="401" t="s"/>
      <c r="K108" s="401" t="s"/>
      <c r="L108" s="401" t="s"/>
      <c r="M108" s="401" t="s"/>
      <c r="N108" s="401" t="s"/>
      <c r="O108" s="401" t="s"/>
      <c r="P108" s="401" t="s"/>
      <c r="Q108" s="401" t="s"/>
      <c r="R108" s="401" t="s"/>
      <c r="S108" s="401" t="s"/>
      <c r="T108" s="401" t="s"/>
      <c r="U108" s="401" t="s"/>
      <c r="V108" s="401" t="s"/>
      <c r="W108" s="401" t="s"/>
      <c r="X108" s="401" t="s"/>
      <c r="Y108" s="401" t="s"/>
      <c r="Z108" s="401" t="s"/>
    </row>
    <row r="109" spans="1:26" s="699" customFormat="true" ht="12" customHeight="true">
      <c r="A109" s="373">
        <v>3</v>
      </c>
      <c r="B109" s="415" t="s">
        <v>987</v>
      </c>
      <c r="C109" s="401" t="s"/>
      <c r="D109" s="401" t="s"/>
      <c r="E109" s="400" t="s"/>
      <c r="F109" s="400" t="s"/>
      <c r="G109" s="400" t="s"/>
      <c r="H109" s="400" t="s"/>
      <c r="I109" s="400" t="s"/>
      <c r="J109" s="400" t="s"/>
      <c r="K109" s="400" t="s"/>
      <c r="L109" s="400" t="s"/>
      <c r="M109" s="400" t="s"/>
      <c r="N109" s="400" t="s"/>
      <c r="O109" s="400" t="s"/>
      <c r="P109" s="400" t="s"/>
      <c r="Q109" s="400" t="s"/>
      <c r="R109" s="400" t="s"/>
      <c r="S109" s="400" t="s"/>
      <c r="T109" s="400" t="s"/>
      <c r="U109" s="400" t="s"/>
      <c r="V109" s="400" t="s"/>
      <c r="W109" s="400" t="s"/>
      <c r="X109" s="400" t="s"/>
      <c r="Y109" s="400" t="s"/>
      <c r="Z109" s="400" t="s"/>
    </row>
    <row r="110" spans="1:26" s="699" customFormat="true" ht="12" customHeight="true">
      <c r="A110" s="373">
        <v>3.1</v>
      </c>
      <c r="B110" s="415" t="s">
        <v>988</v>
      </c>
      <c r="C110" s="401" t="s"/>
      <c r="D110" s="401" t="s"/>
      <c r="E110" s="376">
        <f>=IF(E$133&lt;$C106,E109,0)</f>
        <v>0</v>
      </c>
      <c r="F110" s="376">
        <f>=IF(F$133&lt;$C106,F109,0)</f>
        <v>0</v>
      </c>
      <c r="G110" s="401" t="s"/>
      <c r="H110" s="401" t="s"/>
      <c r="I110" s="401" t="s"/>
      <c r="J110" s="401" t="s"/>
      <c r="K110" s="401" t="s"/>
      <c r="L110" s="401" t="s"/>
      <c r="M110" s="401" t="s"/>
      <c r="N110" s="401" t="s"/>
      <c r="O110" s="401" t="s"/>
      <c r="P110" s="401" t="s"/>
      <c r="Q110" s="401" t="s"/>
      <c r="R110" s="401" t="s"/>
      <c r="S110" s="401" t="s"/>
      <c r="T110" s="401" t="s"/>
      <c r="U110" s="401" t="s"/>
      <c r="V110" s="401" t="s"/>
      <c r="W110" s="401" t="s"/>
      <c r="X110" s="401" t="s"/>
      <c r="Y110" s="401" t="s"/>
      <c r="Z110" s="401" t="s"/>
    </row>
    <row r="111" spans="1:26" s="699" customFormat="true" ht="12" customHeight="true">
      <c r="A111" s="373">
        <v>3.2</v>
      </c>
      <c r="B111" s="415" t="s">
        <v>989</v>
      </c>
      <c r="C111" s="401" t="s"/>
      <c r="D111" s="401" t="s"/>
      <c r="E111" s="376">
        <f>=IF(E$133&gt;=$C106,E109,0)</f>
        <v>0</v>
      </c>
      <c r="F111" s="376">
        <f>=IF(F$133&gt;=$C106,F109,0)</f>
        <v>0</v>
      </c>
      <c r="G111" s="376">
        <f>=G109</f>
        <v>0</v>
      </c>
      <c r="H111" s="376">
        <f>=H109</f>
        <v>0</v>
      </c>
      <c r="I111" s="376">
        <f>=I109</f>
        <v>0</v>
      </c>
      <c r="J111" s="376">
        <f>=J109</f>
        <v>0</v>
      </c>
      <c r="K111" s="376">
        <f>=K109</f>
        <v>0</v>
      </c>
      <c r="L111" s="376">
        <f>=L109</f>
        <v>0</v>
      </c>
      <c r="M111" s="376">
        <f>=M109</f>
        <v>0</v>
      </c>
      <c r="N111" s="376">
        <f>=N109</f>
        <v>0</v>
      </c>
      <c r="O111" s="376">
        <f>=O109</f>
        <v>0</v>
      </c>
      <c r="P111" s="376">
        <f>=P109</f>
        <v>0</v>
      </c>
      <c r="Q111" s="376">
        <f>=Q109</f>
        <v>0</v>
      </c>
      <c r="R111" s="376">
        <f>=R109</f>
        <v>0</v>
      </c>
      <c r="S111" s="376">
        <f>=S109</f>
        <v>0</v>
      </c>
      <c r="T111" s="376">
        <f>=T109</f>
        <v>0</v>
      </c>
      <c r="U111" s="376">
        <f>=U109</f>
        <v>0</v>
      </c>
      <c r="V111" s="376">
        <f>=V109</f>
        <v>0</v>
      </c>
      <c r="W111" s="376">
        <f>=W109</f>
        <v>0</v>
      </c>
      <c r="X111" s="376">
        <f>=X109</f>
        <v>0</v>
      </c>
      <c r="Y111" s="376">
        <f>=Y109</f>
        <v>0</v>
      </c>
      <c r="Z111" s="376">
        <f>=Z109</f>
        <v>0</v>
      </c>
    </row>
    <row r="112" spans="1:26" s="699" customFormat="true" ht="12" customHeight="true">
      <c r="A112" s="373">
        <v>4</v>
      </c>
      <c r="B112" s="415" t="s">
        <v>990</v>
      </c>
      <c r="C112" s="401" t="s"/>
      <c r="D112" s="401" t="s"/>
      <c r="E112" s="400" t="s"/>
      <c r="F112" s="400" t="s"/>
      <c r="G112" s="400" t="s"/>
      <c r="H112" s="400" t="s"/>
      <c r="I112" s="400" t="s"/>
      <c r="J112" s="400" t="s"/>
      <c r="K112" s="400" t="s"/>
      <c r="L112" s="400" t="s"/>
      <c r="M112" s="400" t="s"/>
      <c r="N112" s="400" t="s"/>
      <c r="O112" s="400" t="s"/>
      <c r="P112" s="400" t="s"/>
      <c r="Q112" s="400" t="s"/>
      <c r="R112" s="400" t="s"/>
      <c r="S112" s="400" t="s"/>
      <c r="T112" s="400" t="s"/>
      <c r="U112" s="400" t="s"/>
      <c r="V112" s="400" t="s"/>
      <c r="W112" s="400" t="s"/>
      <c r="X112" s="400" t="s"/>
      <c r="Y112" s="400" t="s"/>
      <c r="Z112" s="400" t="s"/>
    </row>
    <row r="113" spans="1:26" s="699" customFormat="true" ht="12" customHeight="true">
      <c r="A113" s="373">
        <v>5</v>
      </c>
      <c r="B113" s="415" t="s">
        <v>991</v>
      </c>
      <c r="C113" s="401" t="s"/>
      <c r="D113" s="401" t="s"/>
      <c r="E113" s="376">
        <f>=E109</f>
        <v>0</v>
      </c>
      <c r="F113" s="376">
        <f>=F109</f>
        <v>0</v>
      </c>
      <c r="G113" s="376">
        <f>=G109</f>
        <v>0</v>
      </c>
      <c r="H113" s="376">
        <f>=H109</f>
        <v>0</v>
      </c>
      <c r="I113" s="376">
        <f>=I109</f>
        <v>0</v>
      </c>
      <c r="J113" s="376">
        <f>=J109</f>
        <v>0</v>
      </c>
      <c r="K113" s="376">
        <f>=K109</f>
        <v>0</v>
      </c>
      <c r="L113" s="376">
        <f>=L109</f>
        <v>0</v>
      </c>
      <c r="M113" s="376">
        <f>=M109</f>
        <v>0</v>
      </c>
      <c r="N113" s="376">
        <f>=N109</f>
        <v>0</v>
      </c>
      <c r="O113" s="376">
        <f>=O109</f>
        <v>0</v>
      </c>
      <c r="P113" s="376">
        <f>=P109</f>
        <v>0</v>
      </c>
      <c r="Q113" s="376">
        <f>=Q109</f>
        <v>0</v>
      </c>
      <c r="R113" s="376">
        <f>=R109</f>
        <v>0</v>
      </c>
      <c r="S113" s="376">
        <f>=S109</f>
        <v>0</v>
      </c>
      <c r="T113" s="376">
        <f>=T109</f>
        <v>0</v>
      </c>
      <c r="U113" s="376">
        <f>=U109</f>
        <v>0</v>
      </c>
      <c r="V113" s="376">
        <f>=V109</f>
        <v>0</v>
      </c>
      <c r="W113" s="376">
        <f>=W109</f>
        <v>0</v>
      </c>
      <c r="X113" s="376">
        <f>=X109</f>
        <v>0</v>
      </c>
      <c r="Y113" s="376">
        <f>=Y109</f>
        <v>0</v>
      </c>
      <c r="Z113" s="376">
        <f>=Z109</f>
        <v>0</v>
      </c>
    </row>
    <row r="114" spans="1:26" s="699" customFormat="true" ht="12" customHeight="true">
      <c r="A114" s="373">
        <v>6</v>
      </c>
      <c r="B114" s="415" t="s">
        <v>992</v>
      </c>
      <c r="C114" s="401" t="s"/>
      <c r="D114" s="401" t="s"/>
      <c r="E114" s="376">
        <f>=E107+E108-E112</f>
        <v>0</v>
      </c>
      <c r="F114" s="376">
        <f>=F107+F108-F112</f>
        <v>0</v>
      </c>
      <c r="G114" s="376">
        <f>=G107+G108-G112</f>
        <v>0</v>
      </c>
      <c r="H114" s="376">
        <f>=H107+H108-H112</f>
        <v>0</v>
      </c>
      <c r="I114" s="376">
        <f>=I107+I108-I112</f>
        <v>0</v>
      </c>
      <c r="J114" s="376">
        <f>=J107+J108-J112</f>
        <v>0</v>
      </c>
      <c r="K114" s="376">
        <f>=K107+K108-K112</f>
        <v>0</v>
      </c>
      <c r="L114" s="376">
        <f>=L107+L108-L112</f>
        <v>0</v>
      </c>
      <c r="M114" s="376">
        <f>=M107+M108-M112</f>
        <v>0</v>
      </c>
      <c r="N114" s="376">
        <f>=N107+N108-N112</f>
        <v>0</v>
      </c>
      <c r="O114" s="376">
        <f>=O107+O108-O112</f>
        <v>0</v>
      </c>
      <c r="P114" s="376">
        <f>=P107+P108-P112</f>
        <v>0</v>
      </c>
      <c r="Q114" s="376">
        <f>=Q107+Q108-Q112</f>
        <v>0</v>
      </c>
      <c r="R114" s="376">
        <f>=R107+R108-R112</f>
        <v>0</v>
      </c>
      <c r="S114" s="376">
        <f>=S107+S108-S112</f>
        <v>0</v>
      </c>
      <c r="T114" s="376">
        <f>=T107+T108-T112</f>
        <v>0</v>
      </c>
      <c r="U114" s="376">
        <f>=U107+U108-U112</f>
        <v>0</v>
      </c>
      <c r="V114" s="376">
        <f>=V107+V108-V112</f>
        <v>0</v>
      </c>
      <c r="W114" s="376">
        <f>=W107+W108-W112</f>
        <v>0</v>
      </c>
      <c r="X114" s="376">
        <f>=X107+X108-X112</f>
        <v>0</v>
      </c>
      <c r="Y114" s="376">
        <f>=Y107+Y108-Y112</f>
        <v>0</v>
      </c>
      <c r="Z114" s="376">
        <f>=Z107+Z108-Z112</f>
        <v>0</v>
      </c>
    </row>
    <row r="115" spans="1:26" s="699" customFormat="true" ht="12" customHeight="true">
      <c r="A115" s="373" t="s">
        <v>1015</v>
      </c>
      <c r="B115" s="415" t="s">
        <v>1016</v>
      </c>
      <c r="C115" s="524" t="s"/>
      <c r="D115" s="401" t="s"/>
      <c r="E115" s="415" t="s"/>
      <c r="F115" s="415" t="s"/>
      <c r="G115" s="415" t="s"/>
      <c r="H115" s="415" t="s"/>
      <c r="I115" s="415" t="s"/>
      <c r="J115" s="415" t="s"/>
      <c r="K115" s="415" t="s"/>
      <c r="L115" s="415" t="s"/>
      <c r="M115" s="415" t="s"/>
      <c r="N115" s="415" t="s"/>
      <c r="O115" s="415" t="s"/>
      <c r="P115" s="415" t="s"/>
      <c r="Q115" s="415" t="s"/>
      <c r="R115" s="415" t="s"/>
      <c r="S115" s="415" t="s"/>
      <c r="T115" s="415" t="s"/>
      <c r="U115" s="415" t="s"/>
      <c r="V115" s="415" t="s"/>
      <c r="W115" s="415" t="s"/>
      <c r="X115" s="415" t="s"/>
      <c r="Y115" s="415" t="s"/>
      <c r="Z115" s="415" t="s"/>
    </row>
    <row r="116" spans="1:26" s="699" customFormat="true" ht="12" customHeight="true">
      <c r="A116" s="373">
        <v>1</v>
      </c>
      <c r="B116" s="415" t="s">
        <v>985</v>
      </c>
      <c r="C116" s="401" t="s"/>
      <c r="D116" s="401" t="s"/>
      <c r="E116" s="376">
        <v>0</v>
      </c>
      <c r="F116" s="376">
        <f>=E119</f>
        <v>0</v>
      </c>
      <c r="G116" s="376">
        <f>=F119</f>
        <v>0</v>
      </c>
      <c r="H116" s="376">
        <f>=G119</f>
        <v>0</v>
      </c>
      <c r="I116" s="376">
        <f>=H119</f>
        <v>0</v>
      </c>
      <c r="J116" s="376">
        <f>=I119</f>
        <v>0</v>
      </c>
      <c r="K116" s="376">
        <f>=J119</f>
        <v>0</v>
      </c>
      <c r="L116" s="376">
        <f>=K119</f>
        <v>0</v>
      </c>
      <c r="M116" s="376">
        <f>=L119</f>
        <v>0</v>
      </c>
      <c r="N116" s="376">
        <f>=M119</f>
        <v>0</v>
      </c>
      <c r="O116" s="376">
        <f>=N119</f>
        <v>0</v>
      </c>
      <c r="P116" s="376">
        <f>=O119</f>
        <v>0</v>
      </c>
      <c r="Q116" s="376">
        <f>=P119</f>
        <v>0</v>
      </c>
      <c r="R116" s="376">
        <f>=Q119</f>
        <v>0</v>
      </c>
      <c r="S116" s="376">
        <f>=R119</f>
        <v>0</v>
      </c>
      <c r="T116" s="376">
        <f>=S119</f>
        <v>0</v>
      </c>
      <c r="U116" s="376">
        <f>=T119</f>
        <v>0</v>
      </c>
      <c r="V116" s="376">
        <f>=U119</f>
        <v>0</v>
      </c>
      <c r="W116" s="376">
        <f>=V119</f>
        <v>0</v>
      </c>
      <c r="X116" s="376">
        <f>=W119</f>
        <v>0</v>
      </c>
      <c r="Y116" s="376">
        <f>=X119</f>
        <v>0</v>
      </c>
      <c r="Z116" s="376">
        <f>=Y119</f>
        <v>0</v>
      </c>
    </row>
    <row r="117" spans="1:26" s="699" customFormat="true" ht="12" customHeight="true">
      <c r="A117" s="373">
        <v>2</v>
      </c>
      <c r="B117" s="415" t="s">
        <v>986</v>
      </c>
      <c r="C117" s="401" t="s"/>
      <c r="D117" s="401" t="s"/>
      <c r="E117" s="376">
        <f>=评估表3投资计划与资金筹措表!F39</f>
        <v>0</v>
      </c>
      <c r="F117" s="376">
        <f>=评估表3投资计划与资金筹措表!G39</f>
        <v>0</v>
      </c>
      <c r="G117" s="401" t="s"/>
      <c r="H117" s="401" t="s"/>
      <c r="I117" s="401" t="s"/>
      <c r="J117" s="401" t="s"/>
      <c r="K117" s="401" t="s"/>
      <c r="L117" s="401" t="s"/>
      <c r="M117" s="401" t="s"/>
      <c r="N117" s="401" t="s"/>
      <c r="O117" s="401" t="s"/>
      <c r="P117" s="401" t="s"/>
      <c r="Q117" s="401" t="s"/>
      <c r="R117" s="401" t="s"/>
      <c r="S117" s="401" t="s"/>
      <c r="T117" s="401" t="s"/>
      <c r="U117" s="401" t="s"/>
      <c r="V117" s="401" t="s"/>
      <c r="W117" s="401" t="s"/>
      <c r="X117" s="401" t="s"/>
      <c r="Y117" s="401" t="s"/>
      <c r="Z117" s="401" t="s"/>
    </row>
    <row r="118" spans="1:26" s="699" customFormat="true" ht="12" customHeight="true">
      <c r="A118" s="373">
        <v>3</v>
      </c>
      <c r="B118" s="415" t="s">
        <v>990</v>
      </c>
      <c r="C118" s="401" t="s"/>
      <c r="D118" s="401" t="s"/>
      <c r="E118" s="376">
        <v>0</v>
      </c>
      <c r="F118" s="376">
        <v>0</v>
      </c>
      <c r="G118" s="376">
        <f>=IF(评估表3投资计划与资金筹措表!$C$39&gt;=评估表6项目贷款偿还期计算表!G133-辅助表1评估项目基础数据表!$C$3,评估表6项目贷款偿还期计算表!$G$116/评估表3投资计划与资金筹措表!$C$39,0)</f>
        <v>0</v>
      </c>
      <c r="H118" s="376">
        <f>=IF(评估表3投资计划与资金筹措表!$C$39&gt;=评估表6项目贷款偿还期计算表!H133-辅助表1评估项目基础数据表!$C$3,评估表6项目贷款偿还期计算表!$G$116/评估表3投资计划与资金筹措表!$C$39,0)</f>
        <v>0</v>
      </c>
      <c r="I118" s="376">
        <f>=IF(评估表3投资计划与资金筹措表!$C$39&gt;=评估表6项目贷款偿还期计算表!I133-辅助表1评估项目基础数据表!$C$3,评估表6项目贷款偿还期计算表!$G$116/评估表3投资计划与资金筹措表!$C$39,0)</f>
        <v>0</v>
      </c>
      <c r="J118" s="376">
        <f>=IF(评估表3投资计划与资金筹措表!$C$39&gt;=评估表6项目贷款偿还期计算表!J133-辅助表1评估项目基础数据表!$C$3,评估表6项目贷款偿还期计算表!$G$116/评估表3投资计划与资金筹措表!$C$39,0)</f>
        <v>0</v>
      </c>
      <c r="K118" s="376">
        <f>=IF(评估表3投资计划与资金筹措表!$C$39&gt;=评估表6项目贷款偿还期计算表!K133-辅助表1评估项目基础数据表!$C$3,评估表6项目贷款偿还期计算表!$G$116/评估表3投资计划与资金筹措表!$C$39,0)</f>
        <v>0</v>
      </c>
      <c r="L118" s="376">
        <f>=IF(评估表3投资计划与资金筹措表!$C$39&gt;=评估表6项目贷款偿还期计算表!L133-辅助表1评估项目基础数据表!$C$3,评估表6项目贷款偿还期计算表!$G$116/评估表3投资计划与资金筹措表!$C$39,0)</f>
        <v>0</v>
      </c>
      <c r="M118" s="376">
        <f>=IF(评估表3投资计划与资金筹措表!$C$39&gt;=评估表6项目贷款偿还期计算表!M133-辅助表1评估项目基础数据表!$C$3,评估表6项目贷款偿还期计算表!$G$116/评估表3投资计划与资金筹措表!$C$39,0)</f>
        <v>0</v>
      </c>
      <c r="N118" s="376">
        <f>=IF(评估表3投资计划与资金筹措表!$C$39&gt;=评估表6项目贷款偿还期计算表!N133-辅助表1评估项目基础数据表!$C$3,评估表6项目贷款偿还期计算表!$G$116/评估表3投资计划与资金筹措表!$C$39,0)</f>
        <v>0</v>
      </c>
      <c r="O118" s="376">
        <f>=IF(评估表3投资计划与资金筹措表!$C$39&gt;=评估表6项目贷款偿还期计算表!O133-辅助表1评估项目基础数据表!$C$3,评估表6项目贷款偿还期计算表!$G$116/评估表3投资计划与资金筹措表!$C$39,0)</f>
        <v>0</v>
      </c>
      <c r="P118" s="376">
        <f>=IF(评估表3投资计划与资金筹措表!$C$39&gt;=评估表6项目贷款偿还期计算表!P133-辅助表1评估项目基础数据表!$C$3,评估表6项目贷款偿还期计算表!$G$116/评估表3投资计划与资金筹措表!$C$39,0)</f>
        <v>0</v>
      </c>
      <c r="Q118" s="376">
        <f>=IF(评估表3投资计划与资金筹措表!$C$39&gt;=评估表6项目贷款偿还期计算表!Q133-辅助表1评估项目基础数据表!$C$3,评估表6项目贷款偿还期计算表!$G$116/评估表3投资计划与资金筹措表!$C$39,0)</f>
        <v>0</v>
      </c>
      <c r="R118" s="376">
        <f>=IF(评估表3投资计划与资金筹措表!$C$39&gt;=评估表6项目贷款偿还期计算表!R133-辅助表1评估项目基础数据表!$C$3,评估表6项目贷款偿还期计算表!$G$116/评估表3投资计划与资金筹措表!$C$39,0)</f>
        <v>0</v>
      </c>
      <c r="S118" s="376">
        <f>=IF(评估表3投资计划与资金筹措表!$C$39&gt;=评估表6项目贷款偿还期计算表!S133-辅助表1评估项目基础数据表!$C$3,评估表6项目贷款偿还期计算表!$G$116/评估表3投资计划与资金筹措表!$C$39,0)</f>
        <v>0</v>
      </c>
      <c r="T118" s="376">
        <f>=IF(评估表3投资计划与资金筹措表!$C$39&gt;=评估表6项目贷款偿还期计算表!T133-辅助表1评估项目基础数据表!$C$3,评估表6项目贷款偿还期计算表!$G$116/评估表3投资计划与资金筹措表!$C$39,0)</f>
        <v>0</v>
      </c>
      <c r="U118" s="376">
        <f>=IF(评估表3投资计划与资金筹措表!$C$39&gt;=评估表6项目贷款偿还期计算表!U133-辅助表1评估项目基础数据表!$C$3,评估表6项目贷款偿还期计算表!$G$116/评估表3投资计划与资金筹措表!$C$39,0)</f>
        <v>0</v>
      </c>
      <c r="V118" s="376">
        <f>=IF(评估表3投资计划与资金筹措表!$C$39&gt;=评估表6项目贷款偿还期计算表!V133-辅助表1评估项目基础数据表!$C$3,评估表6项目贷款偿还期计算表!$G$116/评估表3投资计划与资金筹措表!$C$39,0)</f>
        <v>0</v>
      </c>
      <c r="W118" s="376">
        <f>=IF(评估表3投资计划与资金筹措表!$C$39&gt;=评估表6项目贷款偿还期计算表!W133-辅助表1评估项目基础数据表!$C$3,评估表6项目贷款偿还期计算表!$G$116/评估表3投资计划与资金筹措表!$C$39,0)</f>
        <v>0</v>
      </c>
      <c r="X118" s="376">
        <f>=IF(评估表3投资计划与资金筹措表!$C$39&gt;=评估表6项目贷款偿还期计算表!X133-辅助表1评估项目基础数据表!$C$3,评估表6项目贷款偿还期计算表!$G$116/评估表3投资计划与资金筹措表!$C$39,0)</f>
        <v>0</v>
      </c>
      <c r="Y118" s="376">
        <f>=IF(评估表3投资计划与资金筹措表!$C$39&gt;=评估表6项目贷款偿还期计算表!Y133-辅助表1评估项目基础数据表!$C$3,评估表6项目贷款偿还期计算表!$G$116/评估表3投资计划与资金筹措表!$C$39,0)</f>
        <v>0</v>
      </c>
      <c r="Z118" s="376">
        <f>=IF(评估表3投资计划与资金筹措表!$C$39&gt;=评估表6项目贷款偿还期计算表!Z133-辅助表1评估项目基础数据表!$C$3,评估表6项目贷款偿还期计算表!$G$116/评估表3投资计划与资金筹措表!$C$39,0)</f>
        <v>0</v>
      </c>
    </row>
    <row r="119" spans="1:26" s="699" customFormat="true" ht="12" customHeight="true">
      <c r="A119" s="373">
        <v>4</v>
      </c>
      <c r="B119" s="415" t="s">
        <v>992</v>
      </c>
      <c r="C119" s="401" t="s"/>
      <c r="D119" s="401" t="s"/>
      <c r="E119" s="376">
        <f>=E116+E117-E118</f>
        <v>0</v>
      </c>
      <c r="F119" s="376">
        <f>=F116+F117-F118</f>
        <v>0</v>
      </c>
      <c r="G119" s="376">
        <f>=G116+G117-G118</f>
        <v>0</v>
      </c>
      <c r="H119" s="376">
        <f>=H116+H117-H118</f>
        <v>0</v>
      </c>
      <c r="I119" s="376">
        <f>=I116+I117-I118</f>
        <v>0</v>
      </c>
      <c r="J119" s="376">
        <f>=J116+J117-J118</f>
        <v>0</v>
      </c>
      <c r="K119" s="376">
        <f>=K116+K117-K118</f>
        <v>0</v>
      </c>
      <c r="L119" s="376">
        <f>=L116+L117-L118</f>
        <v>0</v>
      </c>
      <c r="M119" s="376">
        <f>=M116+M117-M118</f>
        <v>0</v>
      </c>
      <c r="N119" s="376">
        <f>=N116+N117-N118</f>
        <v>0</v>
      </c>
      <c r="O119" s="376">
        <f>=O116+O117-O118</f>
        <v>0</v>
      </c>
      <c r="P119" s="376">
        <f>=P116+P117-P118</f>
        <v>0</v>
      </c>
      <c r="Q119" s="376">
        <f>=Q116+Q117-Q118</f>
        <v>0</v>
      </c>
      <c r="R119" s="376">
        <f>=R116+R117-R118</f>
        <v>0</v>
      </c>
      <c r="S119" s="376">
        <f>=S116+S117-S118</f>
        <v>0</v>
      </c>
      <c r="T119" s="376">
        <f>=T116+T117-T118</f>
        <v>0</v>
      </c>
      <c r="U119" s="376">
        <f>=U116+U117-U118</f>
        <v>0</v>
      </c>
      <c r="V119" s="376">
        <f>=V116+V117-V118</f>
        <v>0</v>
      </c>
      <c r="W119" s="376">
        <f>=W116+W117-W118</f>
        <v>0</v>
      </c>
      <c r="X119" s="376">
        <f>=X116+X117-X118</f>
        <v>0</v>
      </c>
      <c r="Y119" s="376">
        <f>=Y116+Y117-Y118</f>
        <v>0</v>
      </c>
      <c r="Z119" s="376">
        <f>=Z116+Z117-Z118</f>
        <v>0</v>
      </c>
    </row>
    <row r="120" spans="1:26" s="699" customFormat="true" ht="12" customHeight="true">
      <c r="A120" s="373" t="s">
        <v>1017</v>
      </c>
      <c r="B120" s="415" t="s">
        <v>1018</v>
      </c>
      <c r="C120" s="524" t="s"/>
      <c r="D120" s="401" t="s"/>
      <c r="E120" s="415" t="s"/>
      <c r="F120" s="415" t="s"/>
      <c r="G120" s="415" t="s"/>
      <c r="H120" s="415" t="s"/>
      <c r="I120" s="415" t="s"/>
      <c r="J120" s="415" t="s"/>
      <c r="K120" s="415" t="s"/>
      <c r="L120" s="415" t="s"/>
      <c r="M120" s="415" t="s"/>
      <c r="N120" s="415" t="s"/>
      <c r="O120" s="415" t="s"/>
      <c r="P120" s="415" t="s"/>
      <c r="Q120" s="415" t="s"/>
      <c r="R120" s="415" t="s"/>
      <c r="S120" s="415" t="s"/>
      <c r="T120" s="415" t="s"/>
      <c r="U120" s="415" t="s"/>
      <c r="V120" s="415" t="s"/>
      <c r="W120" s="415" t="s"/>
      <c r="X120" s="415" t="s"/>
      <c r="Y120" s="415" t="s"/>
      <c r="Z120" s="415" t="s"/>
    </row>
    <row r="121" spans="1:26" s="699" customFormat="true" ht="12" customHeight="true">
      <c r="A121" s="373">
        <v>1</v>
      </c>
      <c r="B121" s="415" t="s">
        <v>985</v>
      </c>
      <c r="C121" s="401" t="s"/>
      <c r="D121" s="401" t="s"/>
      <c r="E121" s="376">
        <v>0</v>
      </c>
      <c r="F121" s="376">
        <f>=E124</f>
        <v>0</v>
      </c>
      <c r="G121" s="376">
        <f>=F124</f>
        <v>0</v>
      </c>
      <c r="H121" s="376">
        <f>=G124</f>
        <v>0</v>
      </c>
      <c r="I121" s="376">
        <f>=H124</f>
        <v>0</v>
      </c>
      <c r="J121" s="376">
        <f>=I124</f>
        <v>0</v>
      </c>
      <c r="K121" s="376">
        <f>=J124</f>
        <v>0</v>
      </c>
      <c r="L121" s="376">
        <f>=K124</f>
        <v>0</v>
      </c>
      <c r="M121" s="376">
        <f>=L124</f>
        <v>0</v>
      </c>
      <c r="N121" s="376">
        <f>=M124</f>
        <v>0</v>
      </c>
      <c r="O121" s="376">
        <f>=N124</f>
        <v>0</v>
      </c>
      <c r="P121" s="376">
        <f>=O124</f>
        <v>0</v>
      </c>
      <c r="Q121" s="376">
        <f>=P124</f>
        <v>0</v>
      </c>
      <c r="R121" s="376">
        <f>=Q124</f>
        <v>0</v>
      </c>
      <c r="S121" s="376">
        <f>=R124</f>
        <v>0</v>
      </c>
      <c r="T121" s="376">
        <f>=S124</f>
        <v>0</v>
      </c>
      <c r="U121" s="376">
        <f>=T124</f>
        <v>0</v>
      </c>
      <c r="V121" s="376">
        <f>=U124</f>
        <v>0</v>
      </c>
      <c r="W121" s="376">
        <f>=V124</f>
        <v>0</v>
      </c>
      <c r="X121" s="376">
        <f>=W124</f>
        <v>0</v>
      </c>
      <c r="Y121" s="376">
        <f>=X124</f>
        <v>0</v>
      </c>
      <c r="Z121" s="376">
        <f>=Y124</f>
        <v>0</v>
      </c>
    </row>
    <row r="122" spans="1:26" s="699" customFormat="true" ht="12" customHeight="true">
      <c r="A122" s="373">
        <v>2</v>
      </c>
      <c r="B122" s="415" t="s">
        <v>986</v>
      </c>
      <c r="C122" s="401" t="s"/>
      <c r="D122" s="401" t="s"/>
      <c r="E122" s="376">
        <f>=评估表3投资计划与资金筹措表!F40</f>
        <v>0</v>
      </c>
      <c r="F122" s="376">
        <f>=评估表3投资计划与资金筹措表!G40</f>
        <v>0</v>
      </c>
      <c r="G122" s="401" t="s"/>
      <c r="H122" s="401" t="s"/>
      <c r="I122" s="401" t="s"/>
      <c r="J122" s="401" t="s"/>
      <c r="K122" s="401" t="s"/>
      <c r="L122" s="401" t="s"/>
      <c r="M122" s="401" t="s"/>
      <c r="N122" s="401" t="s"/>
      <c r="O122" s="401" t="s"/>
      <c r="P122" s="401" t="s"/>
      <c r="Q122" s="401" t="s"/>
      <c r="R122" s="401" t="s"/>
      <c r="S122" s="401" t="s"/>
      <c r="T122" s="401" t="s"/>
      <c r="U122" s="401" t="s"/>
      <c r="V122" s="401" t="s"/>
      <c r="W122" s="401" t="s"/>
      <c r="X122" s="401" t="s"/>
      <c r="Y122" s="401" t="s"/>
      <c r="Z122" s="401" t="s"/>
    </row>
    <row r="123" spans="1:26" s="699" customFormat="true" ht="12" customHeight="true">
      <c r="A123" s="373">
        <v>3</v>
      </c>
      <c r="B123" s="415" t="s">
        <v>990</v>
      </c>
      <c r="C123" s="524" t="s"/>
      <c r="D123" s="401" t="s"/>
      <c r="E123" s="415" t="s"/>
      <c r="F123" s="415" t="s"/>
      <c r="G123" s="415" t="s"/>
      <c r="H123" s="415" t="s"/>
      <c r="I123" s="415" t="s"/>
      <c r="J123" s="415" t="s"/>
      <c r="K123" s="415" t="s"/>
      <c r="L123" s="415" t="s"/>
      <c r="M123" s="415" t="s"/>
      <c r="N123" s="415" t="s"/>
      <c r="O123" s="415" t="s"/>
      <c r="P123" s="415" t="s"/>
      <c r="Q123" s="415" t="s"/>
      <c r="R123" s="415" t="s"/>
      <c r="S123" s="415" t="s"/>
      <c r="T123" s="415" t="s"/>
      <c r="U123" s="415" t="s"/>
      <c r="V123" s="415" t="s"/>
      <c r="W123" s="415" t="s"/>
      <c r="X123" s="415" t="s"/>
      <c r="Y123" s="415" t="s"/>
      <c r="Z123" s="415" t="s"/>
    </row>
    <row r="124" spans="1:26" s="699" customFormat="true" ht="12" customHeight="true">
      <c r="A124" s="373">
        <v>4</v>
      </c>
      <c r="B124" s="415" t="s">
        <v>992</v>
      </c>
      <c r="C124" s="401" t="s"/>
      <c r="D124" s="401" t="s"/>
      <c r="E124" s="376">
        <f>=E121+E122-E123</f>
        <v>0</v>
      </c>
      <c r="F124" s="376">
        <f>=F121+F122-F123</f>
        <v>0</v>
      </c>
      <c r="G124" s="376">
        <f>=G121+G122-G123</f>
        <v>0</v>
      </c>
      <c r="H124" s="376">
        <f>=H121+H122-H123</f>
        <v>0</v>
      </c>
      <c r="I124" s="376">
        <f>=I121+I122-I123</f>
        <v>0</v>
      </c>
      <c r="J124" s="376">
        <f>=J121+J122-J123</f>
        <v>0</v>
      </c>
      <c r="K124" s="376">
        <f>=K121+K122-K123</f>
        <v>0</v>
      </c>
      <c r="L124" s="376">
        <f>=L121+L122-L123</f>
        <v>0</v>
      </c>
      <c r="M124" s="376">
        <f>=M121+M122-M123</f>
        <v>0</v>
      </c>
      <c r="N124" s="376">
        <f>=N121+N122-N123</f>
        <v>0</v>
      </c>
      <c r="O124" s="376">
        <f>=O121+O122-O123</f>
        <v>0</v>
      </c>
      <c r="P124" s="376">
        <f>=P121+P122-P123</f>
        <v>0</v>
      </c>
      <c r="Q124" s="376">
        <f>=Q121+Q122-Q123</f>
        <v>0</v>
      </c>
      <c r="R124" s="376">
        <f>=R121+R122-R123</f>
        <v>0</v>
      </c>
      <c r="S124" s="376">
        <f>=S121+S122-S123</f>
        <v>0</v>
      </c>
      <c r="T124" s="376">
        <f>=T121+T122-T123</f>
        <v>0</v>
      </c>
      <c r="U124" s="376">
        <f>=U121+U122-U123</f>
        <v>0</v>
      </c>
      <c r="V124" s="376">
        <f>=V121+V122-V123</f>
        <v>0</v>
      </c>
      <c r="W124" s="376">
        <f>=W121+W122-W123</f>
        <v>0</v>
      </c>
      <c r="X124" s="376">
        <f>=X121+X122-X123</f>
        <v>0</v>
      </c>
      <c r="Y124" s="376">
        <f>=Y121+Y122-Y123</f>
        <v>0</v>
      </c>
      <c r="Z124" s="376">
        <f>=Z121+Z122-Z123</f>
        <v>0</v>
      </c>
    </row>
    <row r="125" spans="1:26" s="699" customFormat="true" ht="12" customHeight="true">
      <c r="A125" s="373" t="s">
        <v>460</v>
      </c>
      <c r="B125" s="415" t="s">
        <v>1019</v>
      </c>
      <c r="C125" s="401" t="s"/>
      <c r="D125" s="536" t="s">
        <v>1020</v>
      </c>
      <c r="E125" s="376">
        <f>=E126</f>
        <v>0</v>
      </c>
      <c r="F125" s="376">
        <f>=E125-E11-F142+F126</f>
        <v>0</v>
      </c>
      <c r="G125" s="376">
        <f>=F125-F11+G126</f>
        <v>308.99108266688</v>
      </c>
      <c r="H125" s="376">
        <f>=G125-G11+H126</f>
        <v>624.563075667437</v>
      </c>
      <c r="I125" s="376">
        <f>=H125-H11+I126</f>
        <v>641.539171995612</v>
      </c>
      <c r="J125" s="376">
        <f>=I125-I11+J126</f>
        <v>657.247340194007</v>
      </c>
      <c r="K125" s="376">
        <f>=J125-J11+K126</f>
        <v>675.057229369301</v>
      </c>
      <c r="L125" s="376">
        <f>=K125-K11+L126</f>
        <v>690.560231923958</v>
      </c>
      <c r="M125" s="376">
        <f>=L125-L11+M126</f>
        <v>706.970756256424</v>
      </c>
      <c r="N125" s="376">
        <f>=M125-M11+N126</f>
        <v>714.819008990697</v>
      </c>
      <c r="O125" s="376">
        <f>=N125-N11+O126</f>
        <v>657.504823481161</v>
      </c>
      <c r="P125" s="376">
        <f>=O125-O11+P126</f>
        <v>673.488031066669</v>
      </c>
      <c r="Q125" s="376">
        <f>=P125-P11+Q126</f>
        <v>688.003626492059</v>
      </c>
      <c r="R125" s="376">
        <f>=Q125-Q11+R126</f>
        <v>742.520684214747</v>
      </c>
      <c r="S125" s="376">
        <f>=R125-R11+S126</f>
        <v>742.520684214747</v>
      </c>
      <c r="T125" s="376">
        <f>=S125-S11+T126</f>
        <v>742.520684214747</v>
      </c>
      <c r="U125" s="376">
        <f>=T125-T11+U126</f>
        <v>742.520684214747</v>
      </c>
      <c r="V125" s="376">
        <f>=U125-U11+V126</f>
        <v>742.520684214747</v>
      </c>
      <c r="W125" s="376">
        <f>=V125-V11+W126</f>
        <v>742.520684214747</v>
      </c>
      <c r="X125" s="376">
        <f>=W125-W11+X126</f>
        <v>742.520684214747</v>
      </c>
      <c r="Y125" s="376">
        <f>=X125-X11+Y126</f>
        <v>742.520684214747</v>
      </c>
      <c r="Z125" s="376">
        <f>=Y125-Y11+Z126</f>
        <v>742.520684214747</v>
      </c>
    </row>
    <row r="126" spans="1:26" s="699" customFormat="true" ht="12" customHeight="true">
      <c r="A126" s="373" t="s"/>
      <c r="B126" s="415" t="s">
        <v>1021</v>
      </c>
      <c r="C126" s="401" t="s"/>
      <c r="D126" s="401" t="s"/>
      <c r="E126" s="376">
        <f>=SUM(E127:E131)</f>
        <v>0</v>
      </c>
      <c r="F126" s="376">
        <f>=SUM(F127:F131)</f>
        <v>0</v>
      </c>
      <c r="G126" s="376">
        <f>=SUM(G127:G131)</f>
        <v>308.99108266688</v>
      </c>
      <c r="H126" s="376">
        <f>=SUM(H127:H131)</f>
        <v>624.563075667437</v>
      </c>
      <c r="I126" s="376">
        <f>=SUM(I127:I131)</f>
        <v>641.539171995612</v>
      </c>
      <c r="J126" s="376">
        <f>=SUM(J127:J131)</f>
        <v>657.247340194007</v>
      </c>
      <c r="K126" s="376">
        <f>=SUM(K127:K131)</f>
        <v>675.057229369301</v>
      </c>
      <c r="L126" s="376">
        <f>=SUM(L127:L131)</f>
        <v>690.560231923958</v>
      </c>
      <c r="M126" s="376">
        <f>=SUM(M127:M131)</f>
        <v>706.970756256424</v>
      </c>
      <c r="N126" s="376">
        <f>=SUM(N127:N131)</f>
        <v>714.819008990697</v>
      </c>
      <c r="O126" s="376">
        <f>=SUM(O127:O131)</f>
        <v>657.504823481161</v>
      </c>
      <c r="P126" s="376">
        <f>=SUM(P127:P131)</f>
        <v>673.488031066669</v>
      </c>
      <c r="Q126" s="376">
        <f>=SUM(Q127:Q131)</f>
        <v>688.003626492059</v>
      </c>
      <c r="R126" s="376">
        <f>=SUM(R127:R131)</f>
        <v>703.776306110544</v>
      </c>
      <c r="S126" s="376">
        <f>=SUM(S127:S131)</f>
        <v>0</v>
      </c>
      <c r="T126" s="376">
        <f>=SUM(T127:T131)</f>
        <v>0</v>
      </c>
      <c r="U126" s="376">
        <f>=SUM(U127:U131)</f>
        <v>0</v>
      </c>
      <c r="V126" s="376">
        <f>=SUM(V127:V131)</f>
        <v>0</v>
      </c>
      <c r="W126" s="376">
        <f>=SUM(W127:W131)</f>
        <v>0</v>
      </c>
      <c r="X126" s="376">
        <f>=SUM(X127:X131)</f>
        <v>0</v>
      </c>
      <c r="Y126" s="376">
        <f>=SUM(Y127:Y131)</f>
        <v>0</v>
      </c>
      <c r="Z126" s="376">
        <f>=SUM(Z127:Z131)</f>
        <v>0</v>
      </c>
    </row>
    <row r="127" spans="1:27" s="699" customFormat="true" ht="12" customHeight="true">
      <c r="A127" s="373">
        <v>1</v>
      </c>
      <c r="B127" s="415" t="s">
        <v>768</v>
      </c>
      <c r="C127" s="401" t="s"/>
      <c r="D127" s="401" t="s"/>
      <c r="E127" s="376">
        <f>=评估表5损益及利润分配表!D31</f>
        <v>0</v>
      </c>
      <c r="F127" s="376">
        <f>=评估表5损益及利润分配表!E31</f>
        <v>0</v>
      </c>
      <c r="G127" s="376">
        <f>=评估表5损益及利润分配表!F31</f>
        <v>111.547177910745</v>
      </c>
      <c r="H127" s="376">
        <f>=评估表5损益及利润分配表!G31</f>
        <v>229.675266155166</v>
      </c>
      <c r="I127" s="376">
        <f>=评估表5损益及利润分配表!H31</f>
        <v>246.651362483341</v>
      </c>
      <c r="J127" s="376">
        <f>=评估表5损益及利润分配表!I31</f>
        <v>262.359530681736</v>
      </c>
      <c r="K127" s="376">
        <f>=评估表5损益及利润分配表!J31</f>
        <v>280.16941985703</v>
      </c>
      <c r="L127" s="376">
        <f>=评估表5损益及利润分配表!K31</f>
        <v>295.672422411687</v>
      </c>
      <c r="M127" s="376">
        <f>=评估表5损益及利润分配表!L31</f>
        <v>312.082946744153</v>
      </c>
      <c r="N127" s="376">
        <f>=评估表5损益及利润分配表!M31</f>
        <v>319.931199478426</v>
      </c>
      <c r="O127" s="376">
        <f>=评估表5损益及利润分配表!N31</f>
        <v>262.61701396889</v>
      </c>
      <c r="P127" s="376">
        <f>=评估表5损益及利润分配表!O31</f>
        <v>278.600221554398</v>
      </c>
      <c r="Q127" s="376">
        <f>=评估表5损益及利润分配表!P31</f>
        <v>293.115816979789</v>
      </c>
      <c r="R127" s="376">
        <f>=评估表5损益及利润分配表!Q31</f>
        <v>308.888496598273</v>
      </c>
      <c r="S127" s="376">
        <f>=评估表5损益及利润分配表!R31</f>
        <v>-364.841786905301</v>
      </c>
      <c r="T127" s="376">
        <f>=评估表5损益及利润分配表!S31</f>
        <v>-364.841786905301</v>
      </c>
      <c r="U127" s="376">
        <f>=评估表5损益及利润分配表!T31</f>
        <v>-364.841786905301</v>
      </c>
      <c r="V127" s="376">
        <f>=评估表5损益及利润分配表!U31</f>
        <v>-364.841786905301</v>
      </c>
      <c r="W127" s="376">
        <f>=评估表5损益及利润分配表!V31</f>
        <v>-364.841786905301</v>
      </c>
      <c r="X127" s="376">
        <f>=评估表5损益及利润分配表!W31</f>
        <v>-364.841786905301</v>
      </c>
      <c r="Y127" s="376">
        <f>=评估表5损益及利润分配表!X31</f>
        <v>-364.841786905301</v>
      </c>
      <c r="Z127" s="376">
        <f>=评估表5损益及利润分配表!Y31</f>
        <v>-364.841786905301</v>
      </c>
      <c r="AA127" s="399" t="s">
        <v>775</v>
      </c>
    </row>
    <row r="128" spans="1:27" s="699" customFormat="true" ht="12" customHeight="true">
      <c r="A128" s="373">
        <v>2</v>
      </c>
      <c r="B128" s="415" t="s">
        <v>1022</v>
      </c>
      <c r="C128" s="401" t="s"/>
      <c r="D128" s="401" t="s"/>
      <c r="E128" s="376">
        <f>=IF(E$133&lt;辅助表1评估项目基础数据表!$C$3+3,(评估表4总成本费用表!D25-评估表4总成本费用表!D27+评估表4总成本费用表!D30)*辅助表1评估项目基础数据表!$F$13,(评估表4总成本费用表!D25-评估表4总成本费用表!D27+评估表4总成本费用表!D30)*辅助表1评估项目基础数据表!$F$14)</f>
        <v>0</v>
      </c>
      <c r="F128" s="376">
        <f>=IF(F$133&lt;辅助表1评估项目基础数据表!$C$3+3,(评估表4总成本费用表!E25-评估表4总成本费用表!E27+评估表4总成本费用表!E30)*辅助表1评估项目基础数据表!$F$13,(评估表4总成本费用表!E25-评估表4总成本费用表!E27+评估表4总成本费用表!E30)*辅助表1评估项目基础数据表!$F$14)</f>
        <v>0</v>
      </c>
      <c r="G128" s="376">
        <f>=IF(G$133&lt;辅助表1评估项目基础数据表!$C$3+3,(评估表4总成本费用表!F25-评估表4总成本费用表!F27+评估表4总成本费用表!F30)*辅助表1评估项目基础数据表!$F$13,(评估表4总成本费用表!F25-评估表4总成本费用表!F27+评估表4总成本费用表!F30)*辅助表1评估项目基础数据表!$F$14)</f>
        <v>197.443904756135</v>
      </c>
      <c r="H128" s="376">
        <f>=IF(H$133&lt;辅助表1评估项目基础数据表!$C$3+3,(评估表4总成本费用表!G25-评估表4总成本费用表!G27+评估表4总成本费用表!G30)*辅助表1评估项目基础数据表!$F$13,(评估表4总成本费用表!G25-评估表4总成本费用表!G27+评估表4总成本费用表!G30)*辅助表1评估项目基础数据表!$F$14)</f>
        <v>394.887809512271</v>
      </c>
      <c r="I128" s="376">
        <f>=IF(I$133&lt;辅助表1评估项目基础数据表!$C$3+3,(评估表4总成本费用表!H25-评估表4总成本费用表!H27+评估表4总成本费用表!H30)*辅助表1评估项目基础数据表!$F$13,(评估表4总成本费用表!H25-评估表4总成本费用表!H27+评估表4总成本费用表!H30)*辅助表1评估项目基础数据表!$F$14)</f>
        <v>394.887809512271</v>
      </c>
      <c r="J128" s="376">
        <f>=IF(J$133&lt;辅助表1评估项目基础数据表!$C$3+3,(评估表4总成本费用表!I25-评估表4总成本费用表!I27+评估表4总成本费用表!I30)*辅助表1评估项目基础数据表!$F$13,(评估表4总成本费用表!I25-评估表4总成本费用表!I27+评估表4总成本费用表!I30)*辅助表1评估项目基础数据表!$F$14)</f>
        <v>394.887809512271</v>
      </c>
      <c r="K128" s="376">
        <f>=IF(K$133&lt;辅助表1评估项目基础数据表!$C$3+3,(评估表4总成本费用表!J25-评估表4总成本费用表!J27+评估表4总成本费用表!J30)*辅助表1评估项目基础数据表!$F$13,(评估表4总成本费用表!J25-评估表4总成本费用表!J27+评估表4总成本费用表!J30)*辅助表1评估项目基础数据表!$F$14)</f>
        <v>394.887809512271</v>
      </c>
      <c r="L128" s="376">
        <f>=IF(L$133&lt;辅助表1评估项目基础数据表!$C$3+3,(评估表4总成本费用表!K25-评估表4总成本费用表!K27+评估表4总成本费用表!K30)*辅助表1评估项目基础数据表!$F$13,(评估表4总成本费用表!K25-评估表4总成本费用表!K27+评估表4总成本费用表!K30)*辅助表1评估项目基础数据表!$F$14)</f>
        <v>394.887809512271</v>
      </c>
      <c r="M128" s="376">
        <f>=IF(M$133&lt;辅助表1评估项目基础数据表!$C$3+3,(评估表4总成本费用表!L25-评估表4总成本费用表!L27+评估表4总成本费用表!L30)*辅助表1评估项目基础数据表!$F$13,(评估表4总成本费用表!L25-评估表4总成本费用表!L27+评估表4总成本费用表!L30)*辅助表1评估项目基础数据表!$F$14)</f>
        <v>394.887809512271</v>
      </c>
      <c r="N128" s="376">
        <f>=IF(N$133&lt;辅助表1评估项目基础数据表!$C$3+3,(评估表4总成本费用表!M25-评估表4总成本费用表!M27+评估表4总成本费用表!M30)*辅助表1评估项目基础数据表!$F$13,(评估表4总成本费用表!M25-评估表4总成本费用表!M27+评估表4总成本费用表!M30)*辅助表1评估项目基础数据表!$F$14)</f>
        <v>394.887809512271</v>
      </c>
      <c r="O128" s="376">
        <f>=IF(O$133&lt;辅助表1评估项目基础数据表!$C$3+3,(评估表4总成本费用表!N25-评估表4总成本费用表!N27+评估表4总成本费用表!N30)*辅助表1评估项目基础数据表!$F$13,(评估表4总成本费用表!N25-评估表4总成本费用表!N27+评估表4总成本费用表!N30)*辅助表1评估项目基础数据表!$F$14)</f>
        <v>394.887809512271</v>
      </c>
      <c r="P128" s="376">
        <f>=IF(P$133&lt;辅助表1评估项目基础数据表!$C$3+3,(评估表4总成本费用表!O25-评估表4总成本费用表!O27+评估表4总成本费用表!O30)*辅助表1评估项目基础数据表!$F$13,(评估表4总成本费用表!O25-评估表4总成本费用表!O27+评估表4总成本费用表!O30)*辅助表1评估项目基础数据表!$F$14)</f>
        <v>394.887809512271</v>
      </c>
      <c r="Q128" s="376">
        <f>=IF(Q$133&lt;辅助表1评估项目基础数据表!$C$3+3,(评估表4总成本费用表!P25-评估表4总成本费用表!P27+评估表4总成本费用表!P30)*辅助表1评估项目基础数据表!$F$13,(评估表4总成本费用表!P25-评估表4总成本费用表!P27+评估表4总成本费用表!P30)*辅助表1评估项目基础数据表!$F$14)</f>
        <v>394.887809512271</v>
      </c>
      <c r="R128" s="376">
        <f>=IF(R$133&lt;辅助表1评估项目基础数据表!$C$3+3,(评估表4总成本费用表!Q25-评估表4总成本费用表!Q27+评估表4总成本费用表!Q30)*辅助表1评估项目基础数据表!$F$13,(评估表4总成本费用表!Q25-评估表4总成本费用表!Q27+评估表4总成本费用表!Q30)*辅助表1评估项目基础数据表!$F$14)</f>
        <v>394.887809512271</v>
      </c>
      <c r="S128" s="376">
        <f>=IF(S$133&lt;辅助表1评估项目基础数据表!$C$3+3,(评估表4总成本费用表!R25-评估表4总成本费用表!R27+评估表4总成本费用表!R30)*辅助表1评估项目基础数据表!$F$13,(评估表4总成本费用表!R25-评估表4总成本费用表!R27+评估表4总成本费用表!R30)*辅助表1评估项目基础数据表!$F$14)</f>
        <v>364.841786905301</v>
      </c>
      <c r="T128" s="376">
        <f>=IF(T$133&lt;辅助表1评估项目基础数据表!$C$3+3,(评估表4总成本费用表!S25-评估表4总成本费用表!S27+评估表4总成本费用表!S30)*辅助表1评估项目基础数据表!$F$13,(评估表4总成本费用表!S25-评估表4总成本费用表!S27+评估表4总成本费用表!S30)*辅助表1评估项目基础数据表!$F$14)</f>
        <v>364.841786905301</v>
      </c>
      <c r="U128" s="376">
        <f>=IF(U$133&lt;辅助表1评估项目基础数据表!$C$3+3,(评估表4总成本费用表!T25-评估表4总成本费用表!T27+评估表4总成本费用表!T30)*辅助表1评估项目基础数据表!$F$13,(评估表4总成本费用表!T25-评估表4总成本费用表!T27+评估表4总成本费用表!T30)*辅助表1评估项目基础数据表!$F$14)</f>
        <v>364.841786905301</v>
      </c>
      <c r="V128" s="376">
        <f>=IF(V$133&lt;辅助表1评估项目基础数据表!$C$3+3,(评估表4总成本费用表!U25-评估表4总成本费用表!U27+评估表4总成本费用表!U30)*辅助表1评估项目基础数据表!$F$13,(评估表4总成本费用表!U25-评估表4总成本费用表!U27+评估表4总成本费用表!U30)*辅助表1评估项目基础数据表!$F$14)</f>
        <v>364.841786905301</v>
      </c>
      <c r="W128" s="376">
        <f>=IF(W$133&lt;辅助表1评估项目基础数据表!$C$3+3,(评估表4总成本费用表!V25-评估表4总成本费用表!V27+评估表4总成本费用表!V30)*辅助表1评估项目基础数据表!$F$13,(评估表4总成本费用表!V25-评估表4总成本费用表!V27+评估表4总成本费用表!V30)*辅助表1评估项目基础数据表!$F$14)</f>
        <v>364.841786905301</v>
      </c>
      <c r="X128" s="376">
        <f>=IF(X$133&lt;辅助表1评估项目基础数据表!$C$3+3,(评估表4总成本费用表!W25-评估表4总成本费用表!W27+评估表4总成本费用表!W30)*辅助表1评估项目基础数据表!$F$13,(评估表4总成本费用表!W25-评估表4总成本费用表!W27+评估表4总成本费用表!W30)*辅助表1评估项目基础数据表!$F$14)</f>
        <v>364.841786905301</v>
      </c>
      <c r="Y128" s="376">
        <f>=IF(Y$133&lt;辅助表1评估项目基础数据表!$C$3+3,(评估表4总成本费用表!X25-评估表4总成本费用表!X27+评估表4总成本费用表!X30)*辅助表1评估项目基础数据表!$F$13,(评估表4总成本费用表!X25-评估表4总成本费用表!X27+评估表4总成本费用表!X30)*辅助表1评估项目基础数据表!$F$14)</f>
        <v>364.841786905301</v>
      </c>
      <c r="Z128" s="376">
        <f>=IF(Z$133&lt;辅助表1评估项目基础数据表!$C$3+3,(评估表4总成本费用表!Y25-评估表4总成本费用表!Y27+评估表4总成本费用表!Y30)*辅助表1评估项目基础数据表!$F$13,(评估表4总成本费用表!Y25-评估表4总成本费用表!Y27+评估表4总成本费用表!Y30)*辅助表1评估项目基础数据表!$F$14)</f>
        <v>364.841786905301</v>
      </c>
      <c r="AA128" s="399" t="s">
        <v>1023</v>
      </c>
    </row>
    <row r="129" spans="1:27" s="699" customFormat="true" ht="12" customHeight="true">
      <c r="A129" s="373">
        <v>3</v>
      </c>
      <c r="B129" s="415" t="s">
        <v>1024</v>
      </c>
      <c r="C129" s="401" t="s"/>
      <c r="D129" s="401" t="s"/>
      <c r="E129" s="376">
        <f>=评估表4总成本费用表!D42+评估表4总成本费用表!D45</f>
        <v>0</v>
      </c>
      <c r="F129" s="376">
        <f>=评估表4总成本费用表!E42+评估表4总成本费用表!E45</f>
        <v>0</v>
      </c>
      <c r="G129" s="376">
        <f>=评估表4总成本费用表!F42+评估表4总成本费用表!F45</f>
        <v>0</v>
      </c>
      <c r="H129" s="376">
        <f>=评估表4总成本费用表!G42+评估表4总成本费用表!G45</f>
        <v>0</v>
      </c>
      <c r="I129" s="376">
        <f>=评估表4总成本费用表!H42+评估表4总成本费用表!H45</f>
        <v>0</v>
      </c>
      <c r="J129" s="376">
        <f>=评估表4总成本费用表!I42+评估表4总成本费用表!I45</f>
        <v>0</v>
      </c>
      <c r="K129" s="376">
        <f>=评估表4总成本费用表!J42+评估表4总成本费用表!J45</f>
        <v>0</v>
      </c>
      <c r="L129" s="376">
        <f>=评估表4总成本费用表!K42+评估表4总成本费用表!K45</f>
        <v>0</v>
      </c>
      <c r="M129" s="376">
        <f>=评估表4总成本费用表!L42+评估表4总成本费用表!L45</f>
        <v>0</v>
      </c>
      <c r="N129" s="376">
        <f>=评估表4总成本费用表!M42+评估表4总成本费用表!M45</f>
        <v>0</v>
      </c>
      <c r="O129" s="376">
        <f>=评估表4总成本费用表!N42+评估表4总成本费用表!N45</f>
        <v>0</v>
      </c>
      <c r="P129" s="376">
        <f>=评估表4总成本费用表!O42+评估表4总成本费用表!O45</f>
        <v>0</v>
      </c>
      <c r="Q129" s="376">
        <f>=评估表4总成本费用表!P42+评估表4总成本费用表!P45</f>
        <v>0</v>
      </c>
      <c r="R129" s="376">
        <f>=评估表4总成本费用表!Q42+评估表4总成本费用表!Q45</f>
        <v>0</v>
      </c>
      <c r="S129" s="376">
        <f>=评估表4总成本费用表!R42+评估表4总成本费用表!R45</f>
        <v>0</v>
      </c>
      <c r="T129" s="376">
        <f>=评估表4总成本费用表!S42+评估表4总成本费用表!S45</f>
        <v>0</v>
      </c>
      <c r="U129" s="376">
        <f>=评估表4总成本费用表!T42+评估表4总成本费用表!T45</f>
        <v>0</v>
      </c>
      <c r="V129" s="376">
        <f>=评估表4总成本费用表!U42+评估表4总成本费用表!U45</f>
        <v>0</v>
      </c>
      <c r="W129" s="376">
        <f>=评估表4总成本费用表!V42+评估表4总成本费用表!V45</f>
        <v>0</v>
      </c>
      <c r="X129" s="376">
        <f>=评估表4总成本费用表!W42+评估表4总成本费用表!W45</f>
        <v>0</v>
      </c>
      <c r="Y129" s="376">
        <f>=评估表4总成本费用表!X42+评估表4总成本费用表!X45</f>
        <v>0</v>
      </c>
      <c r="Z129" s="376">
        <f>=评估表4总成本费用表!Y42+评估表4总成本费用表!Y45</f>
        <v>0</v>
      </c>
      <c r="AA129" s="399" t="s">
        <v>1025</v>
      </c>
    </row>
    <row r="130" spans="1:27" s="699" customFormat="true" ht="12" customHeight="true">
      <c r="A130" s="373">
        <v>4</v>
      </c>
      <c r="B130" s="415" t="s">
        <v>1026</v>
      </c>
      <c r="C130" s="401" t="s"/>
      <c r="D130" s="401" t="s"/>
      <c r="E130" s="400" t="s"/>
      <c r="F130" s="400" t="s"/>
      <c r="G130" s="400" t="s"/>
      <c r="H130" s="400" t="s"/>
      <c r="I130" s="400" t="s"/>
      <c r="J130" s="400" t="s"/>
      <c r="K130" s="400" t="s"/>
      <c r="L130" s="400" t="s"/>
      <c r="M130" s="400" t="s"/>
      <c r="N130" s="400" t="s"/>
      <c r="O130" s="400" t="s"/>
      <c r="P130" s="400" t="s"/>
      <c r="Q130" s="400" t="s"/>
      <c r="R130" s="400" t="s"/>
      <c r="S130" s="400" t="s"/>
      <c r="T130" s="400" t="s"/>
      <c r="U130" s="400" t="s"/>
      <c r="V130" s="400" t="s"/>
      <c r="W130" s="400" t="s"/>
      <c r="X130" s="400" t="s"/>
      <c r="Y130" s="400" t="s"/>
      <c r="Z130" s="400" t="s"/>
      <c r="AA130" s="399" t="s">
        <v>1027</v>
      </c>
    </row>
    <row r="131" spans="1:26" s="699" customFormat="true" ht="12" customHeight="true">
      <c r="A131" s="373">
        <v>5</v>
      </c>
      <c r="B131" s="415" t="s">
        <v>1028</v>
      </c>
      <c r="C131" s="401" t="s"/>
      <c r="D131" s="401" t="s"/>
      <c r="E131" s="400" t="s"/>
      <c r="F131" s="400" t="s"/>
      <c r="G131" s="400" t="s"/>
      <c r="H131" s="400" t="s"/>
      <c r="I131" s="400" t="s"/>
      <c r="J131" s="400" t="s"/>
      <c r="K131" s="400" t="s"/>
      <c r="L131" s="400" t="s"/>
      <c r="M131" s="400" t="s"/>
      <c r="N131" s="400" t="s"/>
      <c r="O131" s="400" t="s"/>
      <c r="P131" s="400" t="s"/>
      <c r="Q131" s="400" t="s"/>
      <c r="R131" s="400" t="s"/>
      <c r="S131" s="400" t="s"/>
      <c r="T131" s="400" t="s"/>
      <c r="U131" s="400" t="s"/>
      <c r="V131" s="400" t="s"/>
      <c r="W131" s="400" t="s"/>
      <c r="X131" s="400" t="s"/>
      <c r="Y131" s="400" t="s"/>
      <c r="Z131" s="400" t="s"/>
    </row>
    <row r="132" spans="1:26" s="699" customFormat="true" ht="12" customHeight="true">
      <c r="A132" s="518" t="s">
        <v>1029</v>
      </c>
      <c r="B132" s="518" t="s"/>
      <c r="C132" s="372" t="s"/>
      <c r="D132" s="372" t="s"/>
      <c r="E132" s="372">
        <f>=SUM(E134:Z134)</f>
        <v>10.9436857937774</v>
      </c>
      <c r="F132" s="372" t="s"/>
      <c r="G132" s="537" t="s">
        <v>1030</v>
      </c>
      <c r="H132" s="538" t="s"/>
      <c r="I132" s="372">
        <f>=SUM(E135:Z135)</f>
        <v>10.9436857937774</v>
      </c>
      <c r="J132" s="372" t="s"/>
      <c r="K132" s="372" t="s"/>
      <c r="L132" s="372" t="s"/>
      <c r="M132" s="372" t="s"/>
      <c r="N132" s="372" t="s"/>
      <c r="O132" s="372" t="s"/>
      <c r="P132" s="372" t="s"/>
      <c r="Q132" s="372" t="s"/>
      <c r="R132" s="372" t="s"/>
      <c r="S132" s="372" t="s"/>
      <c r="T132" s="372" t="s"/>
      <c r="U132" s="372" t="s"/>
      <c r="V132" s="372" t="s"/>
      <c r="W132" s="372" t="s"/>
      <c r="X132" s="372" t="s"/>
      <c r="Y132" s="372" t="s"/>
      <c r="Z132" s="372" t="s"/>
    </row>
    <row r="133" spans="3:26" s="699" customFormat="true" ht="12" customHeight="true">
      <c r="C133" s="539" t="s"/>
      <c r="D133" s="539" t="s"/>
      <c r="E133" s="540">
        <v>0.5</v>
      </c>
      <c r="F133" s="540">
        <v>0.5</v>
      </c>
      <c r="G133" s="541">
        <f>=辅助表1评估项目基础数据表!$C$3+1</f>
        <v>3</v>
      </c>
      <c r="H133" s="541">
        <f>=G133+1</f>
        <v>4</v>
      </c>
      <c r="I133" s="541">
        <f>=H133+1</f>
        <v>5</v>
      </c>
      <c r="J133" s="541">
        <f>=I133+1</f>
        <v>6</v>
      </c>
      <c r="K133" s="541">
        <f>=J133+1</f>
        <v>7</v>
      </c>
      <c r="L133" s="541">
        <f>=K133+1</f>
        <v>8</v>
      </c>
      <c r="M133" s="541">
        <f>=L133+1</f>
        <v>9</v>
      </c>
      <c r="N133" s="541">
        <f>=M133+1</f>
        <v>10</v>
      </c>
      <c r="O133" s="541">
        <f>=N133+1</f>
        <v>11</v>
      </c>
      <c r="P133" s="541">
        <f>=O133+1</f>
        <v>12</v>
      </c>
      <c r="Q133" s="541">
        <f>=P133+1</f>
        <v>13</v>
      </c>
      <c r="R133" s="541">
        <f>=Q133+1</f>
        <v>14</v>
      </c>
      <c r="S133" s="541">
        <f>=R133+1</f>
        <v>15</v>
      </c>
      <c r="T133" s="541">
        <f>=S133+1</f>
        <v>16</v>
      </c>
      <c r="U133" s="541">
        <f>=T133+1</f>
        <v>17</v>
      </c>
      <c r="V133" s="541">
        <f>=U133+1</f>
        <v>18</v>
      </c>
      <c r="W133" s="541">
        <f>=V133+1</f>
        <v>19</v>
      </c>
      <c r="X133" s="541">
        <f>=W133+1</f>
        <v>20</v>
      </c>
      <c r="Y133" s="541">
        <f>=X133+1</f>
        <v>21</v>
      </c>
      <c r="Z133" s="541">
        <f>=Y133+1</f>
        <v>22</v>
      </c>
    </row>
    <row r="134" spans="3:26" s="699" customFormat="true" ht="12" customHeight="true">
      <c r="C134" s="539" t="s"/>
      <c r="D134" s="539" t="s"/>
      <c r="E134" s="539">
        <f>=IF(OR(E$133&lt;$C$15,E24&gt;0),E16/12,E$140/(E$125-E$139))</f>
        <v>0</v>
      </c>
      <c r="F134" s="539">
        <f>=IF(OR(F$133&lt;$C$15,F24&gt;0),F16/12,F$140/(F$125-F$139))</f>
        <v>0.5</v>
      </c>
      <c r="G134" s="539">
        <f>=IF(G24&gt;0,G16/12,IF(G$125-G$139=0,0,G$138/(G$125-G$139)))</f>
        <v>0.5</v>
      </c>
      <c r="H134" s="539">
        <f>=IF(H24&gt;0,H16/12,IF(H$125-H$139=0,0,H$138/(H$125-H$139)))</f>
        <v>1</v>
      </c>
      <c r="I134" s="539">
        <f>=IF(I24&gt;0,I16/12,IF(I$125-I$139=0,0,I$138/(I$125-I$139)))</f>
        <v>1</v>
      </c>
      <c r="J134" s="539">
        <f>=IF(J24&gt;0,J16/12,IF(J$125-J$139=0,0,J$138/(J$125-J$139)))</f>
        <v>1</v>
      </c>
      <c r="K134" s="539">
        <f>=IF(K24&gt;0,K16/12,IF(K$125-K$139=0,0,K$138/(K$125-K$139)))</f>
        <v>1</v>
      </c>
      <c r="L134" s="539">
        <f>=IF(L24&gt;0,L16/12,IF(L$125-L$139=0,0,L$138/(L$125-L$139)))</f>
        <v>1</v>
      </c>
      <c r="M134" s="539">
        <f>=IF(M24&gt;0,M16/12,IF(M$125-M$139=0,0,M$138/(M$125-M$139)))</f>
        <v>1</v>
      </c>
      <c r="N134" s="539">
        <f>=IF(N24&gt;0,N16/12,IF(N$125-N$139=0,0,N$138/(N$125-N$139)))</f>
        <v>1</v>
      </c>
      <c r="O134" s="539">
        <f>=IF(O24&gt;0,O16/12,IF(O$125-O$139=0,0,O$138/(O$125-O$139)))</f>
        <v>1</v>
      </c>
      <c r="P134" s="539">
        <f>=IF(P24&gt;0,P16/12,IF(P$125-P$139=0,0,P$138/(P$125-P$139)))</f>
        <v>1</v>
      </c>
      <c r="Q134" s="539">
        <f>=IF(Q24&gt;0,Q16/12,IF(Q$125-Q$139=0,0,Q$138/(Q$125-Q$139)))</f>
        <v>0.943685793777353</v>
      </c>
      <c r="R134" s="539">
        <f>=IF(R24&gt;0,R16/12,IF(R$125-R$139=0,0,R$138/(R$125-R$139)))</f>
        <v>0</v>
      </c>
      <c r="S134" s="539">
        <f>=IF(S24&gt;0,S16/12,IF(S$125-S$139=0,0,S$138/(S$125-S$139)))</f>
        <v>0</v>
      </c>
      <c r="T134" s="539">
        <f>=IF(T24&gt;0,T16/12,IF(T$125-T$139=0,0,T$138/(T$125-T$139)))</f>
        <v>0</v>
      </c>
      <c r="U134" s="539">
        <f>=IF(U24&gt;0,U16/12,IF(U$125-U$139=0,0,U$138/(U$125-U$139)))</f>
        <v>0</v>
      </c>
      <c r="V134" s="539">
        <f>=IF(V24&gt;0,V16/12,IF(V$125-V$139=0,0,V$138/(V$125-V$139)))</f>
        <v>0</v>
      </c>
      <c r="W134" s="539">
        <f>=IF(W24&gt;0,W16/12,IF(W$125-W$139=0,0,W$138/(W$125-W$139)))</f>
        <v>0</v>
      </c>
      <c r="X134" s="539">
        <f>=IF(X24&gt;0,X16/12,IF(X$125-X$139=0,0,X$138/(X$125-X$139)))</f>
        <v>0</v>
      </c>
      <c r="Y134" s="539">
        <f>=IF(Y24&gt;0,Y16/12,IF(Y$125-Y$139=0,0,Y$138/(Y$125-Y$139)))</f>
        <v>0</v>
      </c>
      <c r="Z134" s="539">
        <f>=IF(Z24&gt;0,Z16/12,IF(Z$125-Z$139=0,0,Z$138/(Z$125-Z$139)))</f>
        <v>0</v>
      </c>
    </row>
    <row r="135" spans="3:26" s="698" customFormat="true" ht="12" customHeight="true">
      <c r="C135" s="542" t="s"/>
      <c r="D135" s="542" t="s"/>
      <c r="E135" s="542">
        <f>=MAX(E16,E26,E36,E46,E56,E67,E77,E87,E97)/12</f>
        <v>0</v>
      </c>
      <c r="F135" s="542">
        <f>=MAX(F16,F26,F36,F46,F56,F67,F77,F87,F97)/12</f>
        <v>0.5</v>
      </c>
      <c r="G135" s="542">
        <f>=IF(OR(G13&gt;0.001,G141&gt;0.001),0.5,IF(G$125=0,0,G$6/G$125))</f>
        <v>0.5</v>
      </c>
      <c r="H135" s="542">
        <f>=IF(OR(H13&gt;0.001,H141&gt;0.001),1,IF(H$125=0,0,H$6/H$125))</f>
        <v>1</v>
      </c>
      <c r="I135" s="542">
        <f>=IF(OR(I13&gt;0.001,I141&gt;0.001),1,IF(I$125=0,0,I$6/I$125))</f>
        <v>1</v>
      </c>
      <c r="J135" s="542">
        <f>=IF(OR(J13&gt;0.001,J141&gt;0.001),1,IF(J$125=0,0,J$6/J$125))</f>
        <v>1</v>
      </c>
      <c r="K135" s="542">
        <f>=IF(OR(K13&gt;0.001,K141&gt;0.001),1,IF(K$125=0,0,K$6/K$125))</f>
        <v>1</v>
      </c>
      <c r="L135" s="542">
        <f>=IF(OR(L13&gt;0.001,L141&gt;0.001),1,IF(L$125=0,0,L$6/L$125))</f>
        <v>1</v>
      </c>
      <c r="M135" s="542">
        <f>=IF(OR(M13&gt;0.001,M141&gt;0.001),1,IF(M$125=0,0,M$6/M$125))</f>
        <v>1</v>
      </c>
      <c r="N135" s="542">
        <f>=IF(OR(N13&gt;0.001,N141&gt;0.001),1,IF(N$125=0,0,N$6/N$125))</f>
        <v>1</v>
      </c>
      <c r="O135" s="542">
        <f>=IF(OR(O13&gt;0.001,O141&gt;0.001),1,IF(O$125=0,0,O$6/O$125))</f>
        <v>1</v>
      </c>
      <c r="P135" s="542">
        <f>=IF(OR(P13&gt;0.001,P141&gt;0.001),1,IF(P$125=0,0,P$6/P$125))</f>
        <v>1</v>
      </c>
      <c r="Q135" s="542">
        <f>=IF(OR(Q13&gt;0.001,Q141&gt;0.001),1,IF(Q$125=0,0,Q$6/Q$125))</f>
        <v>0.943685793777353</v>
      </c>
      <c r="R135" s="542">
        <f>=IF(OR(R13&gt;0.001,R141&gt;0.001),1,IF(R$125=0,0,R$6/R$125))</f>
        <v>0</v>
      </c>
      <c r="S135" s="542">
        <f>=IF(OR(S13&gt;0.001,S141&gt;0.001),1,IF(S$125=0,0,S$6/S$125))</f>
        <v>0</v>
      </c>
      <c r="T135" s="542">
        <f>=IF(OR(T13&gt;0.001,T141&gt;0.001),1,IF(T$125=0,0,T$6/T$125))</f>
        <v>0</v>
      </c>
      <c r="U135" s="542">
        <f>=IF(OR(U13&gt;0.001,U141&gt;0.001),1,IF(U$125=0,0,U$6/U$125))</f>
        <v>0</v>
      </c>
      <c r="V135" s="542">
        <f>=IF(OR(V13&gt;0.001,V141&gt;0.001),1,IF(V$125=0,0,V$6/V$125))</f>
        <v>0</v>
      </c>
      <c r="W135" s="542">
        <f>=IF(OR(W13&gt;0.001,W141&gt;0.001),1,IF(W$125=0,0,W$6/W$125))</f>
        <v>0</v>
      </c>
      <c r="X135" s="542">
        <f>=IF(OR(X13&gt;0.001,X141&gt;0.001),1,IF(X$125=0,0,X$6/X$125))</f>
        <v>0</v>
      </c>
      <c r="Y135" s="542">
        <f>=IF(OR(Y13&gt;0.001,Y141&gt;0.001),1,IF(Y$125=0,0,Y$6/Y$125))</f>
        <v>0</v>
      </c>
      <c r="Z135" s="542">
        <f>=IF(OR(Z13&gt;0.001,Z141&gt;0.001),1,IF(Z$125=0,0,Z$6/Z$125))</f>
        <v>0</v>
      </c>
    </row>
    <row r="136" spans="3:26" s="698" customFormat="true" ht="12" customHeight="true">
      <c r="C136" s="543" t="s"/>
      <c r="D136" s="543" t="s"/>
      <c r="E136" s="543" t="s"/>
      <c r="F136" s="543" t="s"/>
      <c r="G136" s="543" t="s"/>
      <c r="H136" s="543" t="s"/>
      <c r="I136" s="543" t="s"/>
      <c r="J136" s="543" t="s"/>
      <c r="K136" s="543" t="s"/>
      <c r="L136" s="543" t="s"/>
      <c r="M136" s="543" t="s"/>
      <c r="N136" s="543" t="s"/>
      <c r="O136" s="543" t="s"/>
      <c r="P136" s="543" t="s"/>
      <c r="Q136" s="543" t="s"/>
      <c r="R136" s="543" t="s"/>
      <c r="S136" s="543" t="s"/>
      <c r="T136" s="543" t="s"/>
      <c r="U136" s="543" t="s"/>
      <c r="V136" s="543" t="s"/>
      <c r="W136" s="543" t="s"/>
      <c r="X136" s="543" t="s"/>
      <c r="Y136" s="543" t="s"/>
      <c r="Z136" s="543" t="s"/>
    </row>
    <row r="137" spans="3:26" s="698" customFormat="true" ht="12" customHeight="true">
      <c r="C137" s="543" t="s"/>
      <c r="D137" s="543" t="s"/>
      <c r="E137" s="543" t="s"/>
      <c r="F137" s="543" t="s"/>
      <c r="G137" s="543" t="s"/>
      <c r="H137" s="543" t="s"/>
      <c r="I137" s="543" t="s"/>
      <c r="J137" s="543" t="s"/>
      <c r="K137" s="543" t="s"/>
      <c r="L137" s="543" t="s"/>
      <c r="M137" s="543" t="s"/>
      <c r="N137" s="543" t="s"/>
      <c r="O137" s="543" t="s"/>
      <c r="P137" s="543" t="s"/>
      <c r="Q137" s="543" t="s"/>
      <c r="R137" s="543" t="s"/>
      <c r="S137" s="543" t="s"/>
      <c r="T137" s="543" t="s"/>
      <c r="U137" s="543" t="s"/>
      <c r="V137" s="543" t="s"/>
      <c r="W137" s="543" t="s"/>
      <c r="X137" s="543" t="s"/>
      <c r="Y137" s="543" t="s"/>
      <c r="Z137" s="543" t="s"/>
    </row>
    <row r="138" spans="3:26" s="698" customFormat="true" ht="12" customHeight="true">
      <c r="C138" s="499" t="s">
        <v>1031</v>
      </c>
      <c r="D138" s="499" t="s"/>
      <c r="E138" s="544">
        <f>=E$17+E$27+E$37+E$47+E$57</f>
        <v>0</v>
      </c>
      <c r="F138" s="544">
        <f>=F$17+F$27+F$37+F$47+F$57</f>
        <v>0</v>
      </c>
      <c r="G138" s="544">
        <f>=G$17+G$27+G$37+G$47+G$57</f>
        <v>7000</v>
      </c>
      <c r="H138" s="544">
        <f>=H$17+H$27+H$37+H$47+H$57</f>
        <v>6691.00891733312</v>
      </c>
      <c r="I138" s="544">
        <f>=I$17+I$27+I$37+I$47+I$57</f>
        <v>6066.44584166569</v>
      </c>
      <c r="J138" s="544">
        <f>=J$17+J$27+J$37+J$47+J$57</f>
        <v>5424.90666967007</v>
      </c>
      <c r="K138" s="544">
        <f>=K$17+K$27+K$37+K$47+K$57</f>
        <v>4767.65932947607</v>
      </c>
      <c r="L138" s="544">
        <f>=L$17+L$27+L$37+L$47+L$57</f>
        <v>4092.60210010676</v>
      </c>
      <c r="M138" s="544">
        <f>=M$17+M$27+M$37+M$47+M$57</f>
        <v>3402.04186818281</v>
      </c>
      <c r="N138" s="544">
        <f>=N$17+N$27+N$37+N$47+N$57</f>
        <v>2695.07111192638</v>
      </c>
      <c r="O138" s="544">
        <f>=O$17+O$27+O$37+O$47+O$57</f>
        <v>1980.25210293569</v>
      </c>
      <c r="P138" s="544">
        <f>=P$17+P$27+P$37+P$47+P$57</f>
        <v>1322.74727945453</v>
      </c>
      <c r="Q138" s="544">
        <f>=Q$17+Q$27+Q$37+Q$47+Q$57</f>
        <v>649.259248387856</v>
      </c>
      <c r="R138" s="544">
        <f>=R$17+R$27+R$37+R$47+R$57</f>
        <v>0</v>
      </c>
      <c r="S138" s="544">
        <f>=S$17+S$27+S$37+S$47+S$57</f>
        <v>0</v>
      </c>
      <c r="T138" s="544">
        <f>=T$17+T$27+T$37+T$47+T$57</f>
        <v>0</v>
      </c>
      <c r="U138" s="544">
        <f>=U$17+U$27+U$37+U$47+U$57</f>
        <v>0</v>
      </c>
      <c r="V138" s="544">
        <f>=V$17+V$27+V$37+V$47+V$57</f>
        <v>0</v>
      </c>
      <c r="W138" s="544">
        <f>=W$17+W$27+W$37+W$47+W$57</f>
        <v>0</v>
      </c>
      <c r="X138" s="544">
        <f>=X$17+X$27+X$37+X$47+X$57</f>
        <v>0</v>
      </c>
      <c r="Y138" s="544">
        <f>=Y$17+Y$27+Y$37+Y$47+Y$57</f>
        <v>0</v>
      </c>
      <c r="Z138" s="544">
        <f>=Z$17+Z$27+Z$37+Z$47+Z$57</f>
        <v>0</v>
      </c>
    </row>
    <row r="139" spans="3:26" s="698" customFormat="true" ht="12" customHeight="true">
      <c r="C139" s="499" t="s">
        <v>1032</v>
      </c>
      <c r="D139" s="499" t="s"/>
      <c r="E139" s="544">
        <f>=E$73+E$83+E$93+E$103+E$112+E$118+E$123</f>
        <v>0</v>
      </c>
      <c r="F139" s="544">
        <f>=F$73+F$83+F$93+F$103+F$112+F$118+F$123</f>
        <v>0</v>
      </c>
      <c r="G139" s="544">
        <f>=G$73+G$83+G$93+G$103+G$112+G$118+G$123</f>
        <v>0</v>
      </c>
      <c r="H139" s="544">
        <f>=H$73+H$83+H$93+H$103+H$112+H$118+H$123</f>
        <v>0</v>
      </c>
      <c r="I139" s="544">
        <f>=I$73+I$83+I$93+I$103+I$112+I$118+I$123</f>
        <v>0</v>
      </c>
      <c r="J139" s="544">
        <f>=J$73+J$83+J$93+J$103+J$112+J$118+J$123</f>
        <v>0</v>
      </c>
      <c r="K139" s="544">
        <f>=K$73+K$83+K$93+K$103+K$112+K$118+K$123</f>
        <v>0</v>
      </c>
      <c r="L139" s="544">
        <f>=L$73+L$83+L$93+L$103+L$112+L$118+L$123</f>
        <v>0</v>
      </c>
      <c r="M139" s="544">
        <f>=M$73+M$83+M$93+M$103+M$112+M$118+M$123</f>
        <v>0</v>
      </c>
      <c r="N139" s="544">
        <f>=N$73+N$83+N$93+N$103+N$112+N$118+N$123</f>
        <v>0</v>
      </c>
      <c r="O139" s="544">
        <f>=O$73+O$83+O$93+O$103+O$112+O$118+O$123</f>
        <v>0</v>
      </c>
      <c r="P139" s="544">
        <f>=P$73+P$83+P$93+P$103+P$112+P$118+P$123</f>
        <v>0</v>
      </c>
      <c r="Q139" s="544">
        <f>=Q$73+Q$83+Q$93+Q$103+Q$112+Q$118+Q$123</f>
        <v>0</v>
      </c>
      <c r="R139" s="544">
        <f>=R$73+R$83+R$93+R$103+R$112+R$118+R$123</f>
        <v>0</v>
      </c>
      <c r="S139" s="544">
        <f>=S$73+S$83+S$93+S$103+S$112+S$118+S$123</f>
        <v>0</v>
      </c>
      <c r="T139" s="544">
        <f>=T$73+T$83+T$93+T$103+T$112+T$118+T$123</f>
        <v>0</v>
      </c>
      <c r="U139" s="544">
        <f>=U$73+U$83+U$93+U$103+U$112+U$118+U$123</f>
        <v>0</v>
      </c>
      <c r="V139" s="544">
        <f>=V$73+V$83+V$93+V$103+V$112+V$118+V$123</f>
        <v>0</v>
      </c>
      <c r="W139" s="544">
        <f>=W$73+W$83+W$93+W$103+W$112+W$118+W$123</f>
        <v>0</v>
      </c>
      <c r="X139" s="544">
        <f>=X$73+X$83+X$93+X$103+X$112+X$118+X$123</f>
        <v>0</v>
      </c>
      <c r="Y139" s="544">
        <f>=Y$73+Y$83+Y$93+Y$103+Y$112+Y$118+Y$123</f>
        <v>0</v>
      </c>
      <c r="Z139" s="544">
        <f>=Z$73+Z$83+Z$93+Z$103+Z$112+Z$118+Z$123</f>
        <v>0</v>
      </c>
    </row>
    <row r="140" spans="3:26" s="698" customFormat="true" ht="12" customHeight="true">
      <c r="C140" s="499" t="s">
        <v>1033</v>
      </c>
      <c r="D140" s="499" t="s"/>
      <c r="E140" s="544">
        <f>=SUM(IF(E$133&gt;=$C15,E17,0),IF(E$133&gt;=$C25,E27,0),IF(E$133&gt;=$C35,E37,0),IF(E$133&gt;=$C45,E47,0),IF(E$133&gt;=$C55,E57,0))</f>
        <v>0</v>
      </c>
      <c r="F140" s="544">
        <f>=SUM(IF(F$133&gt;=$C15,F17,0),IF(F$133&gt;=$C25,F27,0),IF(F$133&gt;=$C35,F37,0),IF(F$133&gt;=$C45,F47,0),IF(F$133&gt;=$C55,F57,0))</f>
        <v>0</v>
      </c>
      <c r="G140" s="544" t="s"/>
      <c r="H140" s="544" t="s"/>
      <c r="I140" s="544" t="s"/>
      <c r="J140" s="544" t="s"/>
      <c r="K140" s="544" t="s"/>
      <c r="L140" s="544" t="s"/>
      <c r="M140" s="544" t="s"/>
      <c r="N140" s="544" t="s"/>
      <c r="O140" s="544" t="s"/>
      <c r="P140" s="544" t="s"/>
      <c r="Q140" s="544" t="s"/>
      <c r="R140" s="544" t="s"/>
      <c r="S140" s="544" t="s"/>
      <c r="T140" s="544" t="s"/>
      <c r="U140" s="544" t="s"/>
      <c r="V140" s="544" t="s"/>
      <c r="W140" s="544" t="s"/>
      <c r="X140" s="544" t="s"/>
      <c r="Y140" s="544" t="s"/>
      <c r="Z140" s="544" t="s"/>
    </row>
    <row r="141" spans="3:26" s="698" customFormat="true" ht="12" customHeight="true">
      <c r="C141" s="393" t="s">
        <v>1034</v>
      </c>
      <c r="D141" s="393" t="s"/>
      <c r="E141" s="544">
        <f>=E68+E78+E88+E98+E107+E116+E121</f>
        <v>0</v>
      </c>
      <c r="F141" s="544">
        <f>=F68+F78+F88+F98+F107+F116+F121</f>
        <v>0</v>
      </c>
      <c r="G141" s="544">
        <f>=G68+G78+G88+G98+G107+G116+G121</f>
        <v>0</v>
      </c>
      <c r="H141" s="544">
        <f>=H68+H78+H88+H98+H107+H116+H121</f>
        <v>0</v>
      </c>
      <c r="I141" s="544">
        <f>=I68+I78+I88+I98+I107+I116+I121</f>
        <v>0</v>
      </c>
      <c r="J141" s="544">
        <f>=J68+J78+J88+J98+J107+J116+J121</f>
        <v>0</v>
      </c>
      <c r="K141" s="544">
        <f>=K68+K78+K88+K98+K107+K116+K121</f>
        <v>0</v>
      </c>
      <c r="L141" s="544">
        <f>=L68+L78+L88+L98+L107+L116+L121</f>
        <v>0</v>
      </c>
      <c r="M141" s="544">
        <f>=M68+M78+M88+M98+M107+M116+M121</f>
        <v>0</v>
      </c>
      <c r="N141" s="544">
        <f>=N68+N78+N88+N98+N107+N116+N121</f>
        <v>0</v>
      </c>
      <c r="O141" s="544">
        <f>=O68+O78+O88+O98+O107+O116+O121</f>
        <v>0</v>
      </c>
      <c r="P141" s="544">
        <f>=P68+P78+P88+P98+P107+P116+P121</f>
        <v>0</v>
      </c>
      <c r="Q141" s="544">
        <f>=Q68+Q78+Q88+Q98+Q107+Q116+Q121</f>
        <v>0</v>
      </c>
      <c r="R141" s="544">
        <f>=R68+R78+R88+R98+R107+R116+R121</f>
        <v>0</v>
      </c>
      <c r="S141" s="544">
        <f>=S68+S78+S88+S98+S107+S116+S121</f>
        <v>0</v>
      </c>
      <c r="T141" s="544">
        <f>=T68+T78+T88+T98+T107+T116+T121</f>
        <v>0</v>
      </c>
      <c r="U141" s="544">
        <f>=U68+U78+U88+U98+U107+U116+U121</f>
        <v>0</v>
      </c>
      <c r="V141" s="544">
        <f>=V68+V78+V88+V98+V107+V116+V121</f>
        <v>0</v>
      </c>
      <c r="W141" s="544">
        <f>=W68+W78+W88+W98+W107+W116+W121</f>
        <v>0</v>
      </c>
      <c r="X141" s="544">
        <f>=X68+X78+X88+X98+X107+X116+X121</f>
        <v>0</v>
      </c>
      <c r="Y141" s="544">
        <f>=Y68+Y78+Y88+Y98+Y107+Y116+Y121</f>
        <v>0</v>
      </c>
      <c r="Z141" s="544">
        <f>=Z68+Z78+Z88+Z98+Z107+Z116+Z121</f>
        <v>0</v>
      </c>
    </row>
    <row r="142" spans="3:26" s="698" customFormat="true" ht="12" customHeight="true">
      <c r="C142" s="499" t="s">
        <v>1035</v>
      </c>
      <c r="D142" s="499" t="s"/>
      <c r="E142" s="544">
        <f>=评估表3投资计划与资金筹措表!F45</f>
        <v>0</v>
      </c>
      <c r="F142" s="544">
        <f>=评估表3投资计划与资金筹措表!G45</f>
        <v>0</v>
      </c>
      <c r="G142" s="545" t="s"/>
      <c r="H142" s="545" t="s"/>
      <c r="I142" s="545" t="s"/>
      <c r="J142" s="545" t="s"/>
      <c r="K142" s="545" t="s"/>
      <c r="L142" s="545" t="s"/>
      <c r="M142" s="545" t="s"/>
      <c r="N142" s="545" t="s"/>
      <c r="O142" s="545" t="s"/>
      <c r="P142" s="545" t="s"/>
      <c r="Q142" s="545" t="s"/>
      <c r="R142" s="545" t="s"/>
      <c r="S142" s="545" t="s"/>
      <c r="T142" s="545" t="s"/>
      <c r="U142" s="545" t="s"/>
      <c r="V142" s="545" t="s"/>
      <c r="W142" s="545" t="s"/>
      <c r="X142" s="545" t="s"/>
      <c r="Y142" s="545" t="s"/>
      <c r="Z142" s="545" t="s"/>
    </row>
  </sheetData>
  <sheetProtection/>
  <mergeCells count="11">
    <mergeCell ref="A132:B132"/>
    <mergeCell ref="G132:H132"/>
    <mergeCell ref="C138:D138"/>
    <mergeCell ref="C139:D139"/>
    <mergeCell ref="C140:D140"/>
    <mergeCell ref="C141:D141"/>
    <mergeCell ref="C142:D142"/>
    <mergeCell ref="A3:A4"/>
    <mergeCell ref="B3:B4"/>
    <mergeCell ref="C3:C4"/>
    <mergeCell ref="D3:D4"/>
  </mergeCells>
  <dataValidations>
    <dataValidation type="list" operator="between" allowBlank="true" showInputMessage="true" showErrorMessage="true" sqref="D125">
      <formula1>"留存,归还贷款,用于建设"</formula1>
    </dataValidation>
  </dataValidations>
  <pageMargins left="0.748031" right="0.551181" top="0.590551" bottom="0.590551" header="0" footer="0"/>
  <pageSetup paperSize="9" orientation="landscape" blackAndWhite="true"/>
  <headerFooter alignWithMargins="false"/>
  <legacyDrawing r:id="rId0"/>
</worksheet>
</file>

<file path=xl/worksheets/sheet8.xml><?xml version="1.0" encoding="utf-8"?>
<worksheet xmlns:r="http://schemas.openxmlformats.org/officeDocument/2006/relationships" xmlns="http://schemas.openxmlformats.org/spreadsheetml/2006/main">
  <sheetPr/>
  <dimension ref="AA35"/>
  <sheetViews>
    <sheetView showGridLines="false" showZeros="false" showOutlineSymbols="false" topLeftCell="A1" workbookViewId="0">
      <pane xSplit="2" ySplit="4" topLeftCell="C5" activePane="bottomRight" state="frozen"/>
    </sheetView>
  </sheetViews>
  <sheetFormatPr defaultColWidth="9" defaultRowHeight="12" customHeight="true"/>
  <cols>
    <col min="1" max="1" width="6.625" style="698"/>
    <col min="2" max="2" width="26.625" style="698"/>
    <col min="3" max="26" width="10.625" style="698"/>
  </cols>
  <sheetData>
    <row r="1" spans="1:24" ht="12" customHeight="true">
      <c r="A1" s="347" t="s"/>
      <c r="B1" s="674" t="s"/>
      <c r="C1" s="674" t="s">
        <v>1488</v>
      </c>
      <c r="D1" s="674" t="s"/>
      <c r="E1" s="674" t="s"/>
      <c r="F1" s="674" t="s"/>
      <c r="G1" s="674" t="s"/>
      <c r="H1" s="674" t="s"/>
      <c r="I1" s="674" t="s"/>
      <c r="J1" s="674" t="s"/>
      <c r="K1" s="674" t="s"/>
      <c r="L1" s="674" t="s"/>
      <c r="M1" s="674" t="s"/>
      <c r="N1" s="674" t="s"/>
      <c r="O1" s="674" t="s"/>
      <c r="P1" s="674" t="s"/>
      <c r="Q1" s="674" t="s"/>
      <c r="R1" s="674" t="s"/>
      <c r="S1" s="674" t="s"/>
      <c r="T1" s="674" t="s"/>
      <c r="U1" s="674" t="s"/>
      <c r="V1" s="674" t="s"/>
      <c r="W1" s="674" t="s"/>
      <c r="X1" s="674" t="s"/>
    </row>
    <row r="2" spans="1:24" ht="12" customHeight="true">
      <c r="A2" s="349" t="s">
        <v>1489</v>
      </c>
      <c r="C2" s="350" t="s">
        <v>438</v>
      </c>
      <c r="D2" s="350" t="s"/>
      <c r="E2" s="350" t="s"/>
      <c r="F2" s="350" t="s"/>
      <c r="G2" s="350" t="s"/>
      <c r="H2" s="350" t="s"/>
      <c r="I2" s="350" t="s"/>
      <c r="J2" s="350" t="s"/>
      <c r="K2" s="350" t="s"/>
      <c r="L2" s="350" t="s"/>
      <c r="M2" s="350" t="s"/>
      <c r="N2" s="350" t="s"/>
      <c r="O2" s="350" t="s"/>
      <c r="P2" s="350" t="s"/>
      <c r="Q2" s="350" t="s"/>
      <c r="R2" s="350" t="s"/>
      <c r="S2" s="350" t="s"/>
      <c r="T2" s="350" t="s"/>
      <c r="U2" s="350" t="s"/>
      <c r="V2" s="350" t="s"/>
      <c r="W2" s="350" t="s"/>
      <c r="X2" s="350" t="s"/>
    </row>
    <row r="3" spans="1:26" ht="12" customHeight="true">
      <c r="A3" s="294" t="s">
        <v>1256</v>
      </c>
      <c r="B3" s="294" t="s">
        <v>1490</v>
      </c>
      <c r="C3" s="296" t="s">
        <v>620</v>
      </c>
      <c r="D3" s="296" t="s"/>
      <c r="E3" s="675" t="s">
        <v>621</v>
      </c>
      <c r="F3" s="676" t="s"/>
      <c r="G3" s="676" t="s"/>
      <c r="H3" s="676" t="s"/>
      <c r="I3" s="676" t="s"/>
      <c r="J3" s="676" t="s"/>
      <c r="K3" s="676" t="s"/>
      <c r="L3" s="676" t="s"/>
      <c r="M3" s="676" t="s"/>
      <c r="N3" s="676" t="s"/>
      <c r="O3" s="676" t="s"/>
      <c r="P3" s="676" t="s"/>
      <c r="Q3" s="676" t="s"/>
      <c r="R3" s="676" t="s"/>
      <c r="S3" s="676" t="s"/>
      <c r="T3" s="676" t="s"/>
      <c r="U3" s="676" t="s"/>
      <c r="V3" s="676" t="s"/>
      <c r="W3" s="676" t="s"/>
      <c r="X3" s="676" t="s"/>
      <c r="Y3" s="677" t="s"/>
      <c r="Z3" s="677" t="s"/>
    </row>
    <row r="4" spans="1:24" ht="12" customHeight="true">
      <c r="A4" s="294" t="s">
        <v>1258</v>
      </c>
      <c r="B4" s="294" t="s"/>
      <c r="C4" s="294" t="s">
        <v>622</v>
      </c>
      <c r="D4" s="294" t="s">
        <v>623</v>
      </c>
      <c r="E4" s="678" t="s">
        <v>622</v>
      </c>
      <c r="F4" s="678" t="s">
        <v>623</v>
      </c>
      <c r="G4" s="678" t="s">
        <v>624</v>
      </c>
      <c r="H4" s="678" t="s">
        <v>625</v>
      </c>
      <c r="I4" s="678" t="s">
        <v>626</v>
      </c>
      <c r="J4" s="678" t="s">
        <v>627</v>
      </c>
      <c r="K4" s="678" t="s">
        <v>628</v>
      </c>
      <c r="L4" s="678" t="s">
        <v>629</v>
      </c>
      <c r="M4" s="678" t="s">
        <v>630</v>
      </c>
      <c r="N4" s="678" t="s">
        <v>631</v>
      </c>
      <c r="O4" s="678" t="s">
        <v>632</v>
      </c>
      <c r="P4" s="678" t="s">
        <v>633</v>
      </c>
      <c r="Q4" s="678" t="s">
        <v>634</v>
      </c>
      <c r="R4" s="678" t="s">
        <v>635</v>
      </c>
      <c r="S4" s="678" t="s">
        <v>636</v>
      </c>
      <c r="T4" s="678" t="s">
        <v>702</v>
      </c>
      <c r="U4" s="678" t="s">
        <v>703</v>
      </c>
      <c r="V4" s="678" t="s">
        <v>637</v>
      </c>
      <c r="W4" s="678" t="s">
        <v>638</v>
      </c>
      <c r="X4" s="678" t="s">
        <v>639</v>
      </c>
    </row>
    <row r="5" spans="1:24" ht="12" customHeight="true">
      <c r="A5" s="679" t="s"/>
      <c r="B5" s="358" t="s">
        <v>642</v>
      </c>
      <c r="C5" s="394">
        <f>=评估表4总成本费用表!D5</f>
        <v>0</v>
      </c>
      <c r="D5" s="394">
        <f>=评估表4总成本费用表!E5</f>
        <v>0</v>
      </c>
      <c r="E5" s="394">
        <f>=评估表4总成本费用表!F5</f>
        <v>0</v>
      </c>
      <c r="F5" s="394">
        <f>=评估表4总成本费用表!G5</f>
        <v>0</v>
      </c>
      <c r="G5" s="394">
        <f>=评估表4总成本费用表!H5</f>
        <v>0</v>
      </c>
      <c r="H5" s="394">
        <f>=评估表4总成本费用表!I5</f>
        <v>0</v>
      </c>
      <c r="I5" s="394">
        <f>=评估表4总成本费用表!J5</f>
        <v>0</v>
      </c>
      <c r="J5" s="394">
        <f>=评估表4总成本费用表!K5</f>
        <v>0.05</v>
      </c>
      <c r="K5" s="394">
        <f>=评估表4总成本费用表!L5</f>
        <v>0</v>
      </c>
      <c r="L5" s="394">
        <f>=评估表4总成本费用表!M5</f>
        <v>0.05</v>
      </c>
      <c r="M5" s="394">
        <f>=评估表4总成本费用表!N5</f>
        <v>0</v>
      </c>
      <c r="N5" s="394">
        <f>=评估表4总成本费用表!O5</f>
        <v>0</v>
      </c>
      <c r="O5" s="394">
        <f>=评估表4总成本费用表!P5</f>
        <v>0.05</v>
      </c>
      <c r="P5" s="394">
        <f>=评估表4总成本费用表!Q5</f>
        <v>0</v>
      </c>
      <c r="Q5" s="394">
        <f>=评估表4总成本费用表!R5</f>
        <v>0</v>
      </c>
      <c r="R5" s="394">
        <f>=评估表4总成本费用表!S5</f>
        <v>0</v>
      </c>
      <c r="S5" s="394">
        <f>=评估表4总成本费用表!T5</f>
        <v>0</v>
      </c>
      <c r="T5" s="394">
        <f>=评估表4总成本费用表!U5</f>
        <v>0</v>
      </c>
      <c r="U5" s="394">
        <f>=评估表4总成本费用表!V5</f>
        <v>0</v>
      </c>
      <c r="V5" s="394">
        <f>=评估表4总成本费用表!W5</f>
        <v>0</v>
      </c>
      <c r="W5" s="394">
        <f>=评估表4总成本费用表!X5</f>
        <v>0</v>
      </c>
      <c r="X5" s="394">
        <f>=评估表4总成本费用表!Y5</f>
        <v>0</v>
      </c>
    </row>
    <row r="6" spans="1:24" ht="12" customHeight="true">
      <c r="A6" s="679" t="s"/>
      <c r="B6" s="358" t="s">
        <v>741</v>
      </c>
      <c r="C6" s="394">
        <f>=评估表4总成本费用表!D6</f>
        <v>0</v>
      </c>
      <c r="D6" s="394">
        <f>=评估表4总成本费用表!E6</f>
        <v>0</v>
      </c>
      <c r="E6" s="394">
        <f>=评估表4总成本费用表!F6</f>
        <v>0.99</v>
      </c>
      <c r="F6" s="394">
        <f>=评估表4总成本费用表!G6</f>
        <v>0.976</v>
      </c>
      <c r="G6" s="394">
        <f>=评估表4总成本费用表!H6</f>
        <v>0.972</v>
      </c>
      <c r="H6" s="394">
        <f>=评估表4总成本费用表!I6</f>
        <v>0.968</v>
      </c>
      <c r="I6" s="394">
        <f>=评估表4总成本费用表!J6</f>
        <v>0.964</v>
      </c>
      <c r="J6" s="394">
        <f>=评估表4总成本费用表!K6</f>
        <v>0.96</v>
      </c>
      <c r="K6" s="394">
        <f>=评估表4总成本费用表!L6</f>
        <v>0.956</v>
      </c>
      <c r="L6" s="394">
        <f>=评估表4总成本费用表!M6</f>
        <v>0.952</v>
      </c>
      <c r="M6" s="394">
        <f>=评估表4总成本费用表!N6</f>
        <v>0.948</v>
      </c>
      <c r="N6" s="394">
        <f>=评估表4总成本费用表!O6</f>
        <v>0.944</v>
      </c>
      <c r="O6" s="394">
        <f>=评估表4总成本费用表!P6</f>
        <v>0.94</v>
      </c>
      <c r="P6" s="394">
        <f>=评估表4总成本费用表!Q6</f>
        <v>0.936</v>
      </c>
      <c r="Q6" s="394">
        <f>=评估表4总成本费用表!R6</f>
        <v>0</v>
      </c>
      <c r="R6" s="394">
        <f>=评估表4总成本费用表!S6</f>
        <v>0</v>
      </c>
      <c r="S6" s="394">
        <f>=评估表4总成本费用表!T6</f>
        <v>0</v>
      </c>
      <c r="T6" s="394">
        <f>=评估表4总成本费用表!U6</f>
        <v>0</v>
      </c>
      <c r="U6" s="394">
        <f>=评估表4总成本费用表!V6</f>
        <v>0</v>
      </c>
      <c r="V6" s="394">
        <f>=评估表4总成本费用表!W6</f>
        <v>0</v>
      </c>
      <c r="W6" s="394">
        <f>=评估表4总成本费用表!X6</f>
        <v>0</v>
      </c>
      <c r="X6" s="394">
        <f>=评估表4总成本费用表!Y6</f>
        <v>0</v>
      </c>
    </row>
    <row r="7" spans="1:24" ht="12" hidden="true" customHeight="true">
      <c r="A7" s="679" t="s"/>
      <c r="B7" s="358" t="s">
        <v>742</v>
      </c>
      <c r="C7" s="394">
        <f>=评估表4总成本费用表!D7</f>
        <v>0</v>
      </c>
      <c r="D7" s="394">
        <f>=评估表4总成本费用表!E7</f>
        <v>0</v>
      </c>
      <c r="E7" s="394">
        <f>=评估表4总成本费用表!F7</f>
        <v>0.92</v>
      </c>
      <c r="F7" s="394">
        <f>=评估表4总成本费用表!G7</f>
        <v>0.92</v>
      </c>
      <c r="G7" s="394">
        <f>=评估表4总成本费用表!H7</f>
        <v>0.92</v>
      </c>
      <c r="H7" s="394">
        <f>=评估表4总成本费用表!I7</f>
        <v>0.92</v>
      </c>
      <c r="I7" s="394">
        <f>=评估表4总成本费用表!J7</f>
        <v>0.92</v>
      </c>
      <c r="J7" s="394">
        <f>=评估表4总成本费用表!K7</f>
        <v>0.92</v>
      </c>
      <c r="K7" s="394">
        <f>=评估表4总成本费用表!L7</f>
        <v>0.92</v>
      </c>
      <c r="L7" s="394">
        <f>=评估表4总成本费用表!M7</f>
        <v>0.92</v>
      </c>
      <c r="M7" s="394">
        <f>=评估表4总成本费用表!N7</f>
        <v>0.92</v>
      </c>
      <c r="N7" s="394">
        <f>=评估表4总成本费用表!O7</f>
        <v>0.92</v>
      </c>
      <c r="O7" s="394">
        <f>=评估表4总成本费用表!P7</f>
        <v>0.92</v>
      </c>
      <c r="P7" s="394">
        <f>=评估表4总成本费用表!Q7</f>
        <v>0.92</v>
      </c>
      <c r="Q7" s="394">
        <f>=评估表4总成本费用表!R7</f>
        <v>0</v>
      </c>
      <c r="R7" s="394">
        <f>=评估表4总成本费用表!S7</f>
        <v>0</v>
      </c>
      <c r="S7" s="394">
        <f>=评估表4总成本费用表!T7</f>
        <v>0</v>
      </c>
      <c r="T7" s="394">
        <f>=评估表4总成本费用表!U7</f>
        <v>0</v>
      </c>
      <c r="U7" s="394">
        <f>=评估表4总成本费用表!V7</f>
        <v>0</v>
      </c>
      <c r="V7" s="394">
        <f>=评估表4总成本费用表!W7</f>
        <v>0</v>
      </c>
      <c r="W7" s="394">
        <f>=评估表4总成本费用表!X7</f>
        <v>0</v>
      </c>
      <c r="X7" s="394">
        <f>=评估表4总成本费用表!Y7</f>
        <v>0</v>
      </c>
    </row>
    <row r="8" spans="1:24" ht="12" hidden="true" customHeight="true">
      <c r="A8" s="679" t="s"/>
      <c r="B8" s="358" t="s">
        <v>743</v>
      </c>
      <c r="C8" s="394">
        <f>=评估表4总成本费用表!D8</f>
        <v>0</v>
      </c>
      <c r="D8" s="394">
        <f>=评估表4总成本费用表!E8</f>
        <v>0</v>
      </c>
      <c r="E8" s="394">
        <f>=评估表4总成本费用表!F8</f>
        <v>0</v>
      </c>
      <c r="F8" s="394">
        <f>=评估表4总成本费用表!G8</f>
        <v>0</v>
      </c>
      <c r="G8" s="394">
        <f>=评估表4总成本费用表!H8</f>
        <v>0</v>
      </c>
      <c r="H8" s="394">
        <f>=评估表4总成本费用表!I8</f>
        <v>0</v>
      </c>
      <c r="I8" s="394">
        <f>=评估表4总成本费用表!J8</f>
        <v>0</v>
      </c>
      <c r="J8" s="394">
        <f>=评估表4总成本费用表!K8</f>
        <v>0.03</v>
      </c>
      <c r="K8" s="394">
        <f>=评估表4总成本费用表!L8</f>
        <v>0</v>
      </c>
      <c r="L8" s="394">
        <f>=评估表4总成本费用表!M8</f>
        <v>0</v>
      </c>
      <c r="M8" s="394">
        <f>=评估表4总成本费用表!N8</f>
        <v>0</v>
      </c>
      <c r="N8" s="394">
        <f>=评估表4总成本费用表!O8</f>
        <v>0</v>
      </c>
      <c r="O8" s="394">
        <f>=评估表4总成本费用表!P8</f>
        <v>0.03</v>
      </c>
      <c r="P8" s="394">
        <f>=评估表4总成本费用表!Q8</f>
        <v>0</v>
      </c>
      <c r="Q8" s="394">
        <f>=评估表4总成本费用表!R8</f>
        <v>0</v>
      </c>
      <c r="R8" s="394">
        <f>=评估表4总成本费用表!S8</f>
        <v>0</v>
      </c>
      <c r="S8" s="394">
        <f>=评估表4总成本费用表!T8</f>
        <v>0</v>
      </c>
      <c r="T8" s="394">
        <f>=评估表4总成本费用表!U8</f>
        <v>0</v>
      </c>
      <c r="U8" s="394">
        <f>=评估表4总成本费用表!V8</f>
        <v>0</v>
      </c>
      <c r="V8" s="394">
        <f>=评估表4总成本费用表!W8</f>
        <v>0</v>
      </c>
      <c r="W8" s="394">
        <f>=评估表4总成本费用表!X8</f>
        <v>0</v>
      </c>
      <c r="X8" s="394">
        <f>=评估表4总成本费用表!Y8</f>
        <v>0</v>
      </c>
    </row>
    <row r="9" spans="1:24" ht="12" hidden="true" customHeight="true">
      <c r="A9" s="679" t="s"/>
      <c r="B9" s="358" t="s">
        <v>744</v>
      </c>
      <c r="C9" s="394">
        <f>=评估表4总成本费用表!D9</f>
        <v>0</v>
      </c>
      <c r="D9" s="394">
        <f>=评估表4总成本费用表!E9</f>
        <v>0</v>
      </c>
      <c r="E9" s="394">
        <f>=评估表4总成本费用表!F9</f>
        <v>0.5</v>
      </c>
      <c r="F9" s="394">
        <f>=评估表4总成本费用表!G9</f>
        <v>0.6</v>
      </c>
      <c r="G9" s="394">
        <f>=评估表4总成本费用表!H9</f>
        <v>0.7</v>
      </c>
      <c r="H9" s="394">
        <f>=评估表4总成本费用表!I9</f>
        <v>0.8</v>
      </c>
      <c r="I9" s="394">
        <f>=评估表4总成本费用表!J9</f>
        <v>0.9</v>
      </c>
      <c r="J9" s="394">
        <f>=评估表4总成本费用表!K9</f>
        <v>0.95</v>
      </c>
      <c r="K9" s="394">
        <f>=评估表4总成本费用表!L9</f>
        <v>0.95</v>
      </c>
      <c r="L9" s="394">
        <f>=评估表4总成本费用表!M9</f>
        <v>0.95</v>
      </c>
      <c r="M9" s="394">
        <f>=评估表4总成本费用表!N9</f>
        <v>0.95</v>
      </c>
      <c r="N9" s="394">
        <f>=评估表4总成本费用表!O9</f>
        <v>0.95</v>
      </c>
      <c r="O9" s="394">
        <f>=评估表4总成本费用表!P9</f>
        <v>0.95</v>
      </c>
      <c r="P9" s="394">
        <f>=评估表4总成本费用表!Q9</f>
        <v>0.95</v>
      </c>
      <c r="Q9" s="394">
        <f>=评估表4总成本费用表!R9</f>
        <v>0</v>
      </c>
      <c r="R9" s="394">
        <f>=评估表4总成本费用表!S9</f>
        <v>0</v>
      </c>
      <c r="S9" s="394">
        <f>=评估表4总成本费用表!T9</f>
        <v>0</v>
      </c>
      <c r="T9" s="394">
        <f>=评估表4总成本费用表!U9</f>
        <v>0</v>
      </c>
      <c r="U9" s="394">
        <f>=评估表4总成本费用表!V9</f>
        <v>0</v>
      </c>
      <c r="V9" s="394">
        <f>=评估表4总成本费用表!W9</f>
        <v>0</v>
      </c>
      <c r="W9" s="394">
        <f>=评估表4总成本费用表!X9</f>
        <v>0</v>
      </c>
      <c r="X9" s="394">
        <f>=评估表4总成本费用表!Y9</f>
        <v>0</v>
      </c>
    </row>
    <row r="10" spans="1:24" ht="12" hidden="true" customHeight="true">
      <c r="A10" s="679" t="s"/>
      <c r="B10" s="358" t="s">
        <v>745</v>
      </c>
      <c r="C10" s="394">
        <f>=评估表4总成本费用表!D10</f>
        <v>0</v>
      </c>
      <c r="D10" s="394">
        <f>=评估表4总成本费用表!E10</f>
        <v>0</v>
      </c>
      <c r="E10" s="394">
        <f>=评估表4总成本费用表!F10</f>
        <v>0</v>
      </c>
      <c r="F10" s="394">
        <f>=评估表4总成本费用表!G10</f>
        <v>0</v>
      </c>
      <c r="G10" s="394">
        <f>=评估表4总成本费用表!H10</f>
        <v>0</v>
      </c>
      <c r="H10" s="394">
        <f>=评估表4总成本费用表!I10</f>
        <v>0</v>
      </c>
      <c r="I10" s="394">
        <f>=评估表4总成本费用表!J10</f>
        <v>0</v>
      </c>
      <c r="J10" s="394">
        <f>=评估表4总成本费用表!K10</f>
        <v>0</v>
      </c>
      <c r="K10" s="394">
        <f>=评估表4总成本费用表!L10</f>
        <v>0</v>
      </c>
      <c r="L10" s="394">
        <f>=评估表4总成本费用表!M10</f>
        <v>0</v>
      </c>
      <c r="M10" s="394">
        <f>=评估表4总成本费用表!N10</f>
        <v>0</v>
      </c>
      <c r="N10" s="394">
        <f>=评估表4总成本费用表!O10</f>
        <v>0</v>
      </c>
      <c r="O10" s="394">
        <f>=评估表4总成本费用表!P10</f>
        <v>0</v>
      </c>
      <c r="P10" s="394">
        <f>=评估表4总成本费用表!Q10</f>
        <v>0</v>
      </c>
      <c r="Q10" s="394">
        <f>=评估表4总成本费用表!R10</f>
        <v>0</v>
      </c>
      <c r="R10" s="394">
        <f>=评估表4总成本费用表!S10</f>
        <v>0</v>
      </c>
      <c r="S10" s="394">
        <f>=评估表4总成本费用表!T10</f>
        <v>0</v>
      </c>
      <c r="T10" s="394">
        <f>=评估表4总成本费用表!U10</f>
        <v>0</v>
      </c>
      <c r="U10" s="394">
        <f>=评估表4总成本费用表!V10</f>
        <v>0</v>
      </c>
      <c r="V10" s="394">
        <f>=评估表4总成本费用表!W10</f>
        <v>0</v>
      </c>
      <c r="W10" s="394">
        <f>=评估表4总成本费用表!X10</f>
        <v>0</v>
      </c>
      <c r="X10" s="394">
        <f>=评估表4总成本费用表!Y10</f>
        <v>0</v>
      </c>
    </row>
    <row r="11" spans="1:24" ht="12" customHeight="true">
      <c r="A11" s="358" t="s">
        <v>442</v>
      </c>
      <c r="B11" s="679" t="s">
        <v>1491</v>
      </c>
      <c r="C11" s="357">
        <f>=C12+C13+C14+C15</f>
        <v>0</v>
      </c>
      <c r="D11" s="357">
        <f>=D12+D13+D14+D15</f>
        <v>0</v>
      </c>
      <c r="E11" s="357">
        <f>=E12+E13+E14+E15</f>
        <v>615.4450417656</v>
      </c>
      <c r="F11" s="357">
        <f>=F12+F13+F14+F15</f>
        <v>1228.66981164288</v>
      </c>
      <c r="G11" s="357">
        <f>=G12+G13+G14+G15</f>
        <v>1230.54259110336</v>
      </c>
      <c r="H11" s="357">
        <f>=H12+H13+H14+H15</f>
        <v>1232.41537056384</v>
      </c>
      <c r="I11" s="357">
        <f>=I12+I13+I14+I15</f>
        <v>1234.28815002432</v>
      </c>
      <c r="J11" s="357">
        <f>=J12+J13+J14+J15</f>
        <v>1234.4059294848</v>
      </c>
      <c r="K11" s="357">
        <f>=K12+K13+K14+K15</f>
        <v>1232.76870894528</v>
      </c>
      <c r="L11" s="357">
        <f>=L12+L13+L14+L15</f>
        <v>1231.13148840576</v>
      </c>
      <c r="M11" s="357">
        <f>=M12+M13+M14+M15</f>
        <v>1229.49426786624</v>
      </c>
      <c r="N11" s="357">
        <f>=N12+N13+N14+N15</f>
        <v>1227.85704732672</v>
      </c>
      <c r="O11" s="357">
        <f>=O12+O13+O14+O15</f>
        <v>1226.2198267872</v>
      </c>
      <c r="P11" s="357">
        <f>=P12+P13+P14+P15</f>
        <v>4709.78178115884</v>
      </c>
      <c r="Q11" s="357">
        <f>=Q12+Q13+Q14+Q15</f>
        <v>0</v>
      </c>
      <c r="R11" s="357">
        <f>=R12+R13+R14+R15</f>
        <v>0</v>
      </c>
      <c r="S11" s="357">
        <f>=S12+S13+S14+S15</f>
        <v>0</v>
      </c>
      <c r="T11" s="357">
        <f>=T12+T13+T14+T15</f>
        <v>0</v>
      </c>
      <c r="U11" s="357">
        <f>=U12+U13+U14+U15</f>
        <v>0</v>
      </c>
      <c r="V11" s="357">
        <f>=V12+V13+V14+V15</f>
        <v>0</v>
      </c>
      <c r="W11" s="357">
        <f>=W12+W13+W14+W15</f>
        <v>0</v>
      </c>
      <c r="X11" s="357">
        <f>=X12+X13+X14+X15</f>
        <v>0</v>
      </c>
    </row>
    <row r="12" spans="1:25" ht="12" customHeight="true">
      <c r="A12" s="358">
        <v>1</v>
      </c>
      <c r="B12" s="679" t="s">
        <v>746</v>
      </c>
      <c r="C12" s="357">
        <f>=评估表5损益及利润分配表!D11</f>
        <v>0</v>
      </c>
      <c r="D12" s="357">
        <f>=评估表5损益及利润分配表!E11</f>
        <v>0</v>
      </c>
      <c r="E12" s="357">
        <f>=评估表5损益及利润分配表!F11</f>
        <v>615.4450417656</v>
      </c>
      <c r="F12" s="357">
        <f>=评估表5损益及利润分配表!G11</f>
        <v>1228.66981164288</v>
      </c>
      <c r="G12" s="357">
        <f>=评估表5损益及利润分配表!H11</f>
        <v>1230.54259110336</v>
      </c>
      <c r="H12" s="357">
        <f>=评估表5损益及利润分配表!I11</f>
        <v>1232.41537056384</v>
      </c>
      <c r="I12" s="357">
        <f>=评估表5损益及利润分配表!J11</f>
        <v>1234.28815002432</v>
      </c>
      <c r="J12" s="357">
        <f>=评估表5损益及利润分配表!K11</f>
        <v>1234.4059294848</v>
      </c>
      <c r="K12" s="357">
        <f>=评估表5损益及利润分配表!L11</f>
        <v>1232.76870894528</v>
      </c>
      <c r="L12" s="357">
        <f>=评估表5损益及利润分配表!M11</f>
        <v>1231.13148840576</v>
      </c>
      <c r="M12" s="357">
        <f>=评估表5损益及利润分配表!N11</f>
        <v>1229.49426786624</v>
      </c>
      <c r="N12" s="357">
        <f>=评估表5损益及利润分配表!O11</f>
        <v>1227.85704732672</v>
      </c>
      <c r="O12" s="357">
        <f>=评估表5损益及利润分配表!P11</f>
        <v>1226.2198267872</v>
      </c>
      <c r="P12" s="357">
        <f>=评估表5损益及利润分配表!Q11</f>
        <v>1224.58260624768</v>
      </c>
      <c r="Q12" s="357">
        <f>=评估表5损益及利润分配表!R11</f>
        <v>0</v>
      </c>
      <c r="R12" s="357">
        <f>=评估表5损益及利润分配表!S11</f>
        <v>0</v>
      </c>
      <c r="S12" s="357">
        <f>=评估表5损益及利润分配表!T11</f>
        <v>0</v>
      </c>
      <c r="T12" s="357">
        <f>=评估表5损益及利润分配表!U11</f>
        <v>0</v>
      </c>
      <c r="U12" s="357">
        <f>=评估表5损益及利润分配表!V11</f>
        <v>0</v>
      </c>
      <c r="V12" s="357">
        <f>=评估表5损益及利润分配表!W11</f>
        <v>0</v>
      </c>
      <c r="W12" s="357">
        <f>=评估表5损益及利润分配表!X11</f>
        <v>0</v>
      </c>
      <c r="X12" s="357">
        <f>=评估表5损益及利润分配表!Y11</f>
        <v>0</v>
      </c>
      <c r="Y12" s="188" t="s">
        <v>775</v>
      </c>
    </row>
    <row r="13" spans="1:25" ht="12" customHeight="true">
      <c r="A13" s="358">
        <v>2</v>
      </c>
      <c r="B13" s="679" t="s">
        <v>1492</v>
      </c>
      <c r="C13" s="357">
        <f>=辅助表3资产折旧及摊销估算表!K11+IF(C$34=辅助表1评估项目基础数据表!$C$3+辅助表1评估项目基础数据表!$C$5,辅助表3资产折旧及摊销估算表!K$175+辅助表3资产折旧及摊销估算表!K$202,0)</f>
        <v>0</v>
      </c>
      <c r="D13" s="357">
        <f>=辅助表3资产折旧及摊销估算表!L11+IF(D$34=辅助表1评估项目基础数据表!$C$3+辅助表1评估项目基础数据表!$C$5,辅助表3资产折旧及摊销估算表!L$175+辅助表3资产折旧及摊销估算表!L$202,0)</f>
        <v>0</v>
      </c>
      <c r="E13" s="357">
        <f>=辅助表3资产折旧及摊销估算表!M11+IF(E$34=辅助表1评估项目基础数据表!$C$3+辅助表1评估项目基础数据表!$C$5,辅助表3资产折旧及摊销估算表!M$175+辅助表3资产折旧及摊销估算表!M$202,0)</f>
        <v>0</v>
      </c>
      <c r="F13" s="357">
        <f>=辅助表3资产折旧及摊销估算表!N11+IF(F$34=辅助表1评估项目基础数据表!$C$3+辅助表1评估项目基础数据表!$C$5,辅助表3资产折旧及摊销估算表!N$175+辅助表3资产折旧及摊销估算表!N$202,0)</f>
        <v>0</v>
      </c>
      <c r="G13" s="357">
        <f>=辅助表3资产折旧及摊销估算表!O11+IF(G$34=辅助表1评估项目基础数据表!$C$3+辅助表1评估项目基础数据表!$C$5,辅助表3资产折旧及摊销估算表!O$175+辅助表3资产折旧及摊销估算表!O$202,0)</f>
        <v>0</v>
      </c>
      <c r="H13" s="357">
        <f>=辅助表3资产折旧及摊销估算表!P11+IF(H$34=辅助表1评估项目基础数据表!$C$3+辅助表1评估项目基础数据表!$C$5,辅助表3资产折旧及摊销估算表!P$175+辅助表3资产折旧及摊销估算表!P$202,0)</f>
        <v>0</v>
      </c>
      <c r="I13" s="357">
        <f>=辅助表3资产折旧及摊销估算表!Q11+IF(I$34=辅助表1评估项目基础数据表!$C$3+辅助表1评估项目基础数据表!$C$5,辅助表3资产折旧及摊销估算表!Q$175+辅助表3资产折旧及摊销估算表!Q$202,0)</f>
        <v>0</v>
      </c>
      <c r="J13" s="357">
        <f>=辅助表3资产折旧及摊销估算表!R11+IF(J$34=辅助表1评估项目基础数据表!$C$3+辅助表1评估项目基础数据表!$C$5,辅助表3资产折旧及摊销估算表!R$175+辅助表3资产折旧及摊销估算表!R$202,0)</f>
        <v>0</v>
      </c>
      <c r="K13" s="357">
        <f>=辅助表3资产折旧及摊销估算表!S11+IF(K$34=辅助表1评估项目基础数据表!$C$3+辅助表1评估项目基础数据表!$C$5,辅助表3资产折旧及摊销估算表!S$175+辅助表3资产折旧及摊销估算表!S$202,0)</f>
        <v>0</v>
      </c>
      <c r="L13" s="357">
        <f>=辅助表3资产折旧及摊销估算表!T11+IF(L$34=辅助表1评估项目基础数据表!$C$3+辅助表1评估项目基础数据表!$C$5,辅助表3资产折旧及摊销估算表!T$175+辅助表3资产折旧及摊销估算表!T$202,0)</f>
        <v>0</v>
      </c>
      <c r="M13" s="357">
        <f>=辅助表3资产折旧及摊销估算表!U11+IF(M$34=辅助表1评估项目基础数据表!$C$3+辅助表1评估项目基础数据表!$C$5,辅助表3资产折旧及摊销估算表!U$175+辅助表3资产折旧及摊销估算表!U$202,0)</f>
        <v>0</v>
      </c>
      <c r="N13" s="357">
        <f>=辅助表3资产折旧及摊销估算表!V11+IF(N$34=辅助表1评估项目基础数据表!$C$3+辅助表1评估项目基础数据表!$C$5,辅助表3资产折旧及摊销估算表!V$175+辅助表3资产折旧及摊销估算表!V$202,0)</f>
        <v>0</v>
      </c>
      <c r="O13" s="357">
        <f>=辅助表3资产折旧及摊销估算表!W11+IF(O$34=辅助表1评估项目基础数据表!$C$3+辅助表1评估项目基础数据表!$C$5,辅助表3资产折旧及摊销估算表!W$175+辅助表3资产折旧及摊销估算表!W$202,0)</f>
        <v>0</v>
      </c>
      <c r="P13" s="357">
        <f>=辅助表3资产折旧及摊销估算表!X11+IF(P$34=辅助表1评估项目基础数据表!$C$3+辅助表1评估项目基础数据表!$C$5,辅助表3资产折旧及摊销估算表!X$175+辅助表3资产折旧及摊销估算表!X$202,0)</f>
        <v>3485.19917491116</v>
      </c>
      <c r="Q13" s="357">
        <f>=辅助表3资产折旧及摊销估算表!Y11+IF(Q$34=辅助表1评估项目基础数据表!$C$3+辅助表1评估项目基础数据表!$C$5,辅助表3资产折旧及摊销估算表!Y$175+辅助表3资产折旧及摊销估算表!Y$202,0)</f>
        <v>0</v>
      </c>
      <c r="R13" s="357">
        <f>=辅助表3资产折旧及摊销估算表!Z11+IF(R$34=辅助表1评估项目基础数据表!$C$3+辅助表1评估项目基础数据表!$C$5,辅助表3资产折旧及摊销估算表!Z$175+辅助表3资产折旧及摊销估算表!Z$202,0)</f>
        <v>0</v>
      </c>
      <c r="S13" s="357">
        <f>=辅助表3资产折旧及摊销估算表!AA11+IF(S$34=辅助表1评估项目基础数据表!$C$3+辅助表1评估项目基础数据表!$C$5,辅助表3资产折旧及摊销估算表!AA$175+辅助表3资产折旧及摊销估算表!AA$202,0)</f>
        <v>0</v>
      </c>
      <c r="T13" s="357">
        <f>=辅助表3资产折旧及摊销估算表!AB11+IF(T$34=辅助表1评估项目基础数据表!$C$3+辅助表1评估项目基础数据表!$C$5,辅助表3资产折旧及摊销估算表!AB$175+辅助表3资产折旧及摊销估算表!AB$202,0)</f>
        <v>0</v>
      </c>
      <c r="U13" s="357">
        <f>=辅助表3资产折旧及摊销估算表!AC11+IF(U$34=辅助表1评估项目基础数据表!$C$3+辅助表1评估项目基础数据表!$C$5,辅助表3资产折旧及摊销估算表!AC$175+辅助表3资产折旧及摊销估算表!AC$202,0)</f>
        <v>0</v>
      </c>
      <c r="V13" s="357">
        <f>=辅助表3资产折旧及摊销估算表!AD11+IF(V$34=辅助表1评估项目基础数据表!$C$3+辅助表1评估项目基础数据表!$C$5,辅助表3资产折旧及摊销估算表!AD$175+辅助表3资产折旧及摊销估算表!AD$202,0)</f>
        <v>0</v>
      </c>
      <c r="W13" s="357">
        <f>=辅助表3资产折旧及摊销估算表!AE11+IF(W$34=辅助表1评估项目基础数据表!$C$3+辅助表1评估项目基础数据表!$C$5,辅助表3资产折旧及摊销估算表!AE$175+辅助表3资产折旧及摊销估算表!AE$202,0)</f>
        <v>0</v>
      </c>
      <c r="X13" s="357">
        <f>=辅助表3资产折旧及摊销估算表!AF11+IF(X$34=辅助表1评估项目基础数据表!$C$3+辅助表1评估项目基础数据表!$C$5,辅助表3资产折旧及摊销估算表!AF$175+辅助表3资产折旧及摊销估算表!AF$202,0)</f>
        <v>0</v>
      </c>
      <c r="Y13" s="188" t="s">
        <v>940</v>
      </c>
    </row>
    <row r="14" spans="1:24" ht="12" customHeight="true">
      <c r="A14" s="358">
        <v>3</v>
      </c>
      <c r="B14" s="679" t="s">
        <v>1493</v>
      </c>
      <c r="C14" s="357">
        <f>=IF(C34=辅助表1评估项目基础数据表!$C$3+辅助表1评估项目基础数据表!$C$5,评估表3投资计划与资金筹措表!$E$15,0)</f>
        <v>0</v>
      </c>
      <c r="D14" s="357">
        <f>=IF(D34=辅助表1评估项目基础数据表!$C$3+辅助表1评估项目基础数据表!$C$5,评估表3投资计划与资金筹措表!$E$15,0)</f>
        <v>0</v>
      </c>
      <c r="E14" s="357">
        <f>=IF(E34=辅助表1评估项目基础数据表!$C$3+辅助表1评估项目基础数据表!$C$5,评估表3投资计划与资金筹措表!$E$15,0)</f>
        <v>0</v>
      </c>
      <c r="F14" s="357">
        <f>=IF(F34=辅助表1评估项目基础数据表!$C$3+辅助表1评估项目基础数据表!$C$5,评估表3投资计划与资金筹措表!$E$15,0)</f>
        <v>0</v>
      </c>
      <c r="G14" s="357">
        <f>=IF(G34=辅助表1评估项目基础数据表!$C$3+辅助表1评估项目基础数据表!$C$5,评估表3投资计划与资金筹措表!$E$15,0)</f>
        <v>0</v>
      </c>
      <c r="H14" s="357">
        <f>=IF(H34=辅助表1评估项目基础数据表!$C$3+辅助表1评估项目基础数据表!$C$5,评估表3投资计划与资金筹措表!$E$15,0)</f>
        <v>0</v>
      </c>
      <c r="I14" s="357">
        <f>=IF(I34=辅助表1评估项目基础数据表!$C$3+辅助表1评估项目基础数据表!$C$5,评估表3投资计划与资金筹措表!$E$15,0)</f>
        <v>0</v>
      </c>
      <c r="J14" s="357">
        <f>=IF(J34=辅助表1评估项目基础数据表!$C$3+辅助表1评估项目基础数据表!$C$5,评估表3投资计划与资金筹措表!$E$15,0)</f>
        <v>0</v>
      </c>
      <c r="K14" s="357">
        <f>=IF(K34=辅助表1评估项目基础数据表!$C$3+辅助表1评估项目基础数据表!$C$5,评估表3投资计划与资金筹措表!$E$15,0)</f>
        <v>0</v>
      </c>
      <c r="L14" s="357">
        <f>=IF(L34=辅助表1评估项目基础数据表!$C$3+辅助表1评估项目基础数据表!$C$5,评估表3投资计划与资金筹措表!$E$15,0)</f>
        <v>0</v>
      </c>
      <c r="M14" s="357">
        <f>=IF(M34=辅助表1评估项目基础数据表!$C$3+辅助表1评估项目基础数据表!$C$5,评估表3投资计划与资金筹措表!$E$15,0)</f>
        <v>0</v>
      </c>
      <c r="N14" s="357">
        <f>=IF(N34=辅助表1评估项目基础数据表!$C$3+辅助表1评估项目基础数据表!$C$5,评估表3投资计划与资金筹措表!$E$15,0)</f>
        <v>0</v>
      </c>
      <c r="O14" s="357">
        <f>=IF(O34=辅助表1评估项目基础数据表!$C$3+辅助表1评估项目基础数据表!$C$5,评估表3投资计划与资金筹措表!$E$15,0)</f>
        <v>0</v>
      </c>
      <c r="P14" s="357">
        <f>=IF(P34=辅助表1评估项目基础数据表!$C$3+辅助表1评估项目基础数据表!$C$5,评估表3投资计划与资金筹措表!$E$15,0)</f>
        <v>0</v>
      </c>
      <c r="Q14" s="357">
        <f>=IF(Q34=辅助表1评估项目基础数据表!$C$3+辅助表1评估项目基础数据表!$C$5,评估表3投资计划与资金筹措表!$E$15,0)</f>
        <v>0</v>
      </c>
      <c r="R14" s="357">
        <f>=IF(R34=辅助表1评估项目基础数据表!$C$3+辅助表1评估项目基础数据表!$C$5,评估表3投资计划与资金筹措表!$E$15,0)</f>
        <v>0</v>
      </c>
      <c r="S14" s="357">
        <f>=IF(S34=辅助表1评估项目基础数据表!$C$3+辅助表1评估项目基础数据表!$C$5,评估表3投资计划与资金筹措表!$E$15,0)</f>
        <v>0</v>
      </c>
      <c r="T14" s="357">
        <f>=IF(T34=辅助表1评估项目基础数据表!$C$3+辅助表1评估项目基础数据表!$C$5,评估表3投资计划与资金筹措表!$E$15,0)</f>
        <v>0</v>
      </c>
      <c r="U14" s="357">
        <f>=IF(U34=辅助表1评估项目基础数据表!$C$3+辅助表1评估项目基础数据表!$C$5,评估表3投资计划与资金筹措表!$E$15,0)</f>
        <v>0</v>
      </c>
      <c r="V14" s="357">
        <f>=IF(V34=辅助表1评估项目基础数据表!$C$3+辅助表1评估项目基础数据表!$C$5,评估表3投资计划与资金筹措表!$E$15,0)</f>
        <v>0</v>
      </c>
      <c r="W14" s="357">
        <f>=IF(W34=辅助表1评估项目基础数据表!$C$3+辅助表1评估项目基础数据表!$C$5,评估表3投资计划与资金筹措表!$E$15,0)</f>
        <v>0</v>
      </c>
      <c r="X14" s="357">
        <f>=IF(X34=辅助表1评估项目基础数据表!$C$3+辅助表1评估项目基础数据表!$C$5,评估表3投资计划与资金筹措表!$E$15,0)</f>
        <v>0</v>
      </c>
    </row>
    <row r="15" spans="1:24" ht="12" customHeight="true">
      <c r="A15" s="358">
        <v>4</v>
      </c>
      <c r="B15" s="679" t="s">
        <v>1494</v>
      </c>
      <c r="C15" s="364" t="s"/>
      <c r="D15" s="364" t="s"/>
      <c r="E15" s="364" t="s"/>
      <c r="F15" s="364" t="s"/>
      <c r="G15" s="364" t="s"/>
      <c r="H15" s="364" t="s"/>
      <c r="I15" s="364" t="s"/>
      <c r="J15" s="364" t="s"/>
      <c r="K15" s="364" t="s"/>
      <c r="L15" s="364" t="s"/>
      <c r="M15" s="364" t="s"/>
      <c r="N15" s="364" t="s"/>
      <c r="O15" s="364" t="s"/>
      <c r="P15" s="364" t="s"/>
      <c r="Q15" s="364" t="s"/>
      <c r="R15" s="364" t="s"/>
      <c r="S15" s="364" t="s"/>
      <c r="T15" s="364" t="s"/>
      <c r="U15" s="364" t="s"/>
      <c r="V15" s="364" t="s"/>
      <c r="W15" s="364" t="s"/>
      <c r="X15" s="364" t="s"/>
    </row>
    <row r="16" spans="1:24" ht="12" customHeight="true">
      <c r="A16" s="358" t="s">
        <v>460</v>
      </c>
      <c r="B16" s="679" t="s">
        <v>1495</v>
      </c>
      <c r="C16" s="357">
        <f>=SUM(C17:C27)</f>
        <v>0</v>
      </c>
      <c r="D16" s="357">
        <f>=SUM(D17:D27)</f>
        <v>8688.84401589645</v>
      </c>
      <c r="E16" s="357">
        <f>=SUM(E17:E27)</f>
        <v>112.95195987885</v>
      </c>
      <c r="F16" s="357">
        <f>=SUM(F17:F27)</f>
        <v>228.883338740611</v>
      </c>
      <c r="G16" s="357">
        <f>=SUM(G17:G27)</f>
        <v>236.406302732878</v>
      </c>
      <c r="H16" s="357">
        <f>=SUM(H17:H27)</f>
        <v>246.370344670733</v>
      </c>
      <c r="I16" s="357">
        <f>=SUM(I17:I27)</f>
        <v>254.261199975269</v>
      </c>
      <c r="J16" s="357">
        <f>=SUM(J17:J27)</f>
        <v>264.249937621578</v>
      </c>
      <c r="K16" s="357">
        <f>=SUM(K17:K27)</f>
        <v>271.980884750824</v>
      </c>
      <c r="L16" s="357">
        <f>=SUM(L17:L27)</f>
        <v>291.776061557297</v>
      </c>
      <c r="M16" s="357">
        <f>=SUM(M17:M27)</f>
        <v>398.118111117511</v>
      </c>
      <c r="N16" s="357">
        <f>=SUM(N17:N27)</f>
        <v>404.926798659104</v>
      </c>
      <c r="O16" s="357">
        <f>=SUM(O17:O27)</f>
        <v>414.396016468126</v>
      </c>
      <c r="P16" s="357">
        <f>=SUM(P17:P27)</f>
        <v>421.112129277376</v>
      </c>
      <c r="Q16" s="357">
        <f>=SUM(Q17:Q27)</f>
        <v>0</v>
      </c>
      <c r="R16" s="357">
        <f>=SUM(R17:R27)</f>
        <v>0</v>
      </c>
      <c r="S16" s="357">
        <f>=SUM(S17:S27)</f>
        <v>0</v>
      </c>
      <c r="T16" s="357">
        <f>=SUM(T17:T27)</f>
        <v>0</v>
      </c>
      <c r="U16" s="357">
        <f>=SUM(U17:U27)</f>
        <v>0</v>
      </c>
      <c r="V16" s="357">
        <f>=SUM(V17:V27)</f>
        <v>0</v>
      </c>
      <c r="W16" s="357">
        <f>=SUM(W17:W27)</f>
        <v>0</v>
      </c>
      <c r="X16" s="357">
        <f>=SUM(X17:X27)</f>
        <v>0</v>
      </c>
    </row>
    <row r="17" spans="1:25" ht="12" customHeight="true">
      <c r="A17" s="358">
        <v>1</v>
      </c>
      <c r="B17" s="679" t="s">
        <v>1263</v>
      </c>
      <c r="C17" s="357">
        <f>=评估表3投资计划与资金筹措表!F8</f>
        <v>0</v>
      </c>
      <c r="D17" s="357">
        <f>=评估表3投资计划与资金筹措表!G8</f>
        <v>8688.84401589645</v>
      </c>
      <c r="E17" s="680" t="s"/>
      <c r="F17" s="680" t="s"/>
      <c r="G17" s="680" t="s"/>
      <c r="H17" s="680" t="s"/>
      <c r="I17" s="680" t="s"/>
      <c r="J17" s="680" t="s"/>
      <c r="K17" s="680" t="s"/>
      <c r="L17" s="680" t="s"/>
      <c r="M17" s="680" t="s"/>
      <c r="N17" s="680" t="s"/>
      <c r="O17" s="680" t="s"/>
      <c r="P17" s="680" t="s"/>
      <c r="Q17" s="680" t="s"/>
      <c r="R17" s="680" t="s"/>
      <c r="S17" s="680" t="s"/>
      <c r="T17" s="680" t="s"/>
      <c r="U17" s="680" t="s"/>
      <c r="V17" s="680" t="s"/>
      <c r="W17" s="680" t="s"/>
      <c r="X17" s="680" t="s"/>
      <c r="Y17" s="188" t="s">
        <v>592</v>
      </c>
    </row>
    <row r="18" spans="1:25" ht="12" customHeight="true">
      <c r="A18" s="358">
        <v>2</v>
      </c>
      <c r="B18" s="679" t="s">
        <v>1496</v>
      </c>
      <c r="C18" s="357">
        <f>=评估表3投资计划与资金筹措表!F12</f>
        <v>0</v>
      </c>
      <c r="D18" s="357">
        <f>=评估表3投资计划与资金筹措表!G12</f>
        <v>0</v>
      </c>
      <c r="E18" s="372" t="s"/>
      <c r="F18" s="372" t="s"/>
      <c r="G18" s="372" t="s"/>
      <c r="H18" s="372" t="s"/>
      <c r="I18" s="372" t="s"/>
      <c r="J18" s="372" t="s"/>
      <c r="K18" s="372" t="s"/>
      <c r="L18" s="372" t="s"/>
      <c r="M18" s="372" t="s"/>
      <c r="N18" s="372" t="s"/>
      <c r="O18" s="372" t="s"/>
      <c r="P18" s="372" t="s"/>
      <c r="Q18" s="372" t="s"/>
      <c r="R18" s="372" t="s"/>
      <c r="S18" s="372" t="s"/>
      <c r="T18" s="372" t="s"/>
      <c r="U18" s="372" t="s"/>
      <c r="V18" s="372" t="s"/>
      <c r="W18" s="372" t="s"/>
      <c r="X18" s="372" t="s"/>
      <c r="Y18" s="188" t="s">
        <v>592</v>
      </c>
    </row>
    <row r="19" spans="1:25" ht="12" customHeight="true">
      <c r="A19" s="358">
        <v>3</v>
      </c>
      <c r="B19" s="679" t="s">
        <v>457</v>
      </c>
      <c r="C19" s="357">
        <f>=评估表3投资计划与资金筹措表!F13</f>
        <v>0</v>
      </c>
      <c r="D19" s="357">
        <f>=评估表3投资计划与资金筹措表!G13</f>
        <v>0</v>
      </c>
      <c r="E19" s="372" t="s"/>
      <c r="F19" s="372" t="s"/>
      <c r="G19" s="372" t="s"/>
      <c r="H19" s="372" t="s"/>
      <c r="I19" s="372" t="s"/>
      <c r="J19" s="372" t="s"/>
      <c r="K19" s="372" t="s"/>
      <c r="L19" s="372" t="s"/>
      <c r="M19" s="372" t="s"/>
      <c r="N19" s="372" t="s"/>
      <c r="O19" s="372" t="s"/>
      <c r="P19" s="372" t="s"/>
      <c r="Q19" s="372" t="s"/>
      <c r="R19" s="372" t="s"/>
      <c r="S19" s="372" t="s"/>
      <c r="T19" s="372" t="s"/>
      <c r="U19" s="372" t="s"/>
      <c r="V19" s="372" t="s"/>
      <c r="W19" s="372" t="s"/>
      <c r="X19" s="372" t="s"/>
      <c r="Y19" s="188" t="s">
        <v>592</v>
      </c>
    </row>
    <row r="20" spans="1:25" ht="12" customHeight="true">
      <c r="A20" s="358">
        <v>4</v>
      </c>
      <c r="B20" s="679" t="s">
        <v>458</v>
      </c>
      <c r="C20" s="357">
        <f>=评估表3投资计划与资金筹措表!F14</f>
        <v>0</v>
      </c>
      <c r="D20" s="357">
        <f>=评估表3投资计划与资金筹措表!G14</f>
        <v>0</v>
      </c>
      <c r="E20" s="372" t="s"/>
      <c r="F20" s="372" t="s"/>
      <c r="G20" s="372" t="s"/>
      <c r="H20" s="372" t="s"/>
      <c r="I20" s="372" t="s"/>
      <c r="J20" s="372" t="s"/>
      <c r="K20" s="372" t="s"/>
      <c r="L20" s="372" t="s"/>
      <c r="M20" s="372" t="s"/>
      <c r="N20" s="372" t="s"/>
      <c r="O20" s="372" t="s"/>
      <c r="P20" s="372" t="s"/>
      <c r="Q20" s="372" t="s"/>
      <c r="R20" s="372" t="s"/>
      <c r="S20" s="372" t="s"/>
      <c r="T20" s="372" t="s"/>
      <c r="U20" s="372" t="s"/>
      <c r="V20" s="372" t="s"/>
      <c r="W20" s="372" t="s"/>
      <c r="X20" s="372" t="s"/>
      <c r="Y20" s="188" t="s">
        <v>592</v>
      </c>
    </row>
    <row r="21" spans="1:25" ht="12" customHeight="true">
      <c r="A21" s="358">
        <v>5</v>
      </c>
      <c r="B21" s="679" t="s">
        <v>1272</v>
      </c>
      <c r="C21" s="357">
        <f>=评估表3投资计划与资金筹措表!F15</f>
        <v>0</v>
      </c>
      <c r="D21" s="357">
        <f>=评估表3投资计划与资金筹措表!G15</f>
        <v>0</v>
      </c>
      <c r="E21" s="357">
        <f>=评估表3投资计划与资金筹措表!R15</f>
        <v>0</v>
      </c>
      <c r="F21" s="372" t="s"/>
      <c r="G21" s="372" t="s"/>
      <c r="H21" s="372" t="s"/>
      <c r="I21" s="372" t="s"/>
      <c r="J21" s="372" t="s"/>
      <c r="K21" s="372" t="s"/>
      <c r="L21" s="372" t="s"/>
      <c r="M21" s="372" t="s"/>
      <c r="N21" s="372" t="s"/>
      <c r="O21" s="372" t="s"/>
      <c r="P21" s="372" t="s"/>
      <c r="Q21" s="372" t="s"/>
      <c r="R21" s="372" t="s"/>
      <c r="S21" s="372" t="s"/>
      <c r="T21" s="372" t="s"/>
      <c r="U21" s="372" t="s"/>
      <c r="V21" s="372" t="s"/>
      <c r="W21" s="372" t="s"/>
      <c r="X21" s="372" t="s"/>
      <c r="Y21" s="188" t="s">
        <v>592</v>
      </c>
    </row>
    <row r="22" spans="1:25" ht="12" customHeight="true">
      <c r="A22" s="358">
        <v>6</v>
      </c>
      <c r="B22" s="679" t="s">
        <v>968</v>
      </c>
      <c r="C22" s="357">
        <f>=评估表4总成本费用表!D56</f>
        <v>0</v>
      </c>
      <c r="D22" s="357">
        <f>=评估表4总成本费用表!E56</f>
        <v>0</v>
      </c>
      <c r="E22" s="357">
        <f>=评估表4总成本费用表!F56</f>
        <v>63.768900835312</v>
      </c>
      <c r="F22" s="357">
        <f>=评估表4总成本费用表!G56</f>
        <v>127.615584703942</v>
      </c>
      <c r="G22" s="357">
        <f>=评估表4总成本费用表!H56</f>
        <v>127.653497405126</v>
      </c>
      <c r="H22" s="357">
        <f>=评估表4总成本费用表!I56</f>
        <v>130.691539255505</v>
      </c>
      <c r="I22" s="357">
        <f>=评估表4总成本费用表!J56</f>
        <v>130.729709738483</v>
      </c>
      <c r="J22" s="357">
        <f>=评估表4总成本费用表!K56</f>
        <v>133.882908339529</v>
      </c>
      <c r="K22" s="357">
        <f>=评估表4总成本费用表!L56</f>
        <v>134.378174546171</v>
      </c>
      <c r="L22" s="357">
        <f>=评估表4总成本费用表!M56</f>
        <v>134.346527847987</v>
      </c>
      <c r="M22" s="357">
        <f>=评估表4总成本费用表!N56</f>
        <v>134.315007736595</v>
      </c>
      <c r="N22" s="357">
        <f>=评估表4总成本费用表!O56</f>
        <v>134.283613705648</v>
      </c>
      <c r="O22" s="357">
        <f>=评估表4总成本费用表!P56</f>
        <v>137.559845250826</v>
      </c>
      <c r="P22" s="357">
        <f>=评估表4总成本费用表!Q56</f>
        <v>137.528701869822</v>
      </c>
      <c r="Q22" s="357">
        <f>=评估表4总成本费用表!R56</f>
        <v>0</v>
      </c>
      <c r="R22" s="357">
        <f>=评估表4总成本费用表!S56</f>
        <v>0</v>
      </c>
      <c r="S22" s="357">
        <f>=评估表4总成本费用表!T56</f>
        <v>0</v>
      </c>
      <c r="T22" s="357">
        <f>=评估表4总成本费用表!U56</f>
        <v>0</v>
      </c>
      <c r="U22" s="357">
        <f>=评估表4总成本费用表!V56</f>
        <v>0</v>
      </c>
      <c r="V22" s="357">
        <f>=评估表4总成本费用表!W56</f>
        <v>0</v>
      </c>
      <c r="W22" s="357">
        <f>=评估表4总成本费用表!X56</f>
        <v>0</v>
      </c>
      <c r="X22" s="357">
        <f>=评估表4总成本费用表!Y56</f>
        <v>0</v>
      </c>
      <c r="Y22" s="188" t="s">
        <v>644</v>
      </c>
    </row>
    <row r="23" spans="1:25" ht="12" customHeight="true">
      <c r="A23" s="358">
        <v>7</v>
      </c>
      <c r="B23" s="679" t="s">
        <v>659</v>
      </c>
      <c r="C23" s="357">
        <f>=评估表5损益及利润分配表!D12</f>
        <v>0</v>
      </c>
      <c r="D23" s="357">
        <f>=评估表5损益及利润分配表!E12</f>
        <v>0</v>
      </c>
      <c r="E23" s="357">
        <f>=评估表5损益及利润分配表!F12</f>
        <v>0</v>
      </c>
      <c r="F23" s="357">
        <f>=评估表5损益及利润分配表!G12</f>
        <v>0</v>
      </c>
      <c r="G23" s="357">
        <f>=评估表5损益及利润分配表!H12</f>
        <v>0</v>
      </c>
      <c r="H23" s="357">
        <f>=评估表5损益及利润分配表!I12</f>
        <v>0</v>
      </c>
      <c r="I23" s="357">
        <f>=评估表5损益及利润分配表!J12</f>
        <v>0</v>
      </c>
      <c r="J23" s="357">
        <f>=评估表5损益及利润分配表!K12</f>
        <v>0</v>
      </c>
      <c r="K23" s="357">
        <f>=评估表5损益及利润分配表!L12</f>
        <v>0</v>
      </c>
      <c r="L23" s="357">
        <f>=评估表5损益及利润分配表!M12</f>
        <v>1.48785405540685</v>
      </c>
      <c r="M23" s="357">
        <f>=评估表5损益及利润分配表!N12</f>
        <v>13.4555244708606</v>
      </c>
      <c r="N23" s="357">
        <f>=评估表5损益及利润分配表!O12</f>
        <v>13.4366891903174</v>
      </c>
      <c r="O23" s="357">
        <f>=评估表5损益及利润分配表!P12</f>
        <v>13.4178539097743</v>
      </c>
      <c r="P23" s="357">
        <f>=评估表5损益及利润分配表!Q12</f>
        <v>13.3990186292311</v>
      </c>
      <c r="Q23" s="357">
        <f>=评估表5损益及利润分配表!R12</f>
        <v>0</v>
      </c>
      <c r="R23" s="357">
        <f>=评估表5损益及利润分配表!S12</f>
        <v>0</v>
      </c>
      <c r="S23" s="357">
        <f>=评估表5损益及利润分配表!T12</f>
        <v>0</v>
      </c>
      <c r="T23" s="357">
        <f>=评估表5损益及利润分配表!U12</f>
        <v>0</v>
      </c>
      <c r="U23" s="357">
        <f>=评估表5损益及利润分配表!V12</f>
        <v>0</v>
      </c>
      <c r="V23" s="357">
        <f>=评估表5损益及利润分配表!W12</f>
        <v>0</v>
      </c>
      <c r="W23" s="357">
        <f>=评估表5损益及利润分配表!X12</f>
        <v>0</v>
      </c>
      <c r="X23" s="357">
        <f>=评估表5损益及利润分配表!Y12</f>
        <v>0</v>
      </c>
      <c r="Y23" s="188" t="s">
        <v>775</v>
      </c>
    </row>
    <row r="24" spans="1:25" ht="12" customHeight="true">
      <c r="A24" s="358">
        <v>8</v>
      </c>
      <c r="B24" s="679" t="s">
        <v>652</v>
      </c>
      <c r="C24" s="357">
        <f>=评估表5损益及利润分配表!D13</f>
        <v>0</v>
      </c>
      <c r="D24" s="357">
        <f>=评估表5损益及利润分配表!E13</f>
        <v>0</v>
      </c>
      <c r="E24" s="357">
        <f>=评估表5损益及利润分配表!F13</f>
        <v>0</v>
      </c>
      <c r="F24" s="357">
        <f>=评估表5损益及利润分配表!G13</f>
        <v>0</v>
      </c>
      <c r="G24" s="357">
        <f>=评估表5损益及利润分配表!H13</f>
        <v>0</v>
      </c>
      <c r="H24" s="357">
        <f>=评估表5损益及利润分配表!I13</f>
        <v>0</v>
      </c>
      <c r="I24" s="357">
        <f>=评估表5损益及利润分配表!J13</f>
        <v>0</v>
      </c>
      <c r="J24" s="357">
        <f>=评估表5损益及利润分配表!K13</f>
        <v>0</v>
      </c>
      <c r="K24" s="357">
        <f>=评估表5损益及利润分配表!L13</f>
        <v>0</v>
      </c>
      <c r="L24" s="357">
        <f>=评估表5损益及利润分配表!M13</f>
        <v>14.8785405540685</v>
      </c>
      <c r="M24" s="357">
        <f>=评估表5损益及利润分配表!N13</f>
        <v>134.555244708606</v>
      </c>
      <c r="N24" s="357">
        <f>=评估表5损益及利润分配表!O13</f>
        <v>134.366891903174</v>
      </c>
      <c r="O24" s="357">
        <f>=评估表5损益及利润分配表!P13</f>
        <v>134.178539097743</v>
      </c>
      <c r="P24" s="357">
        <f>=评估表5损益及利润分配表!Q13</f>
        <v>133.990186292311</v>
      </c>
      <c r="Q24" s="357">
        <f>=评估表5损益及利润分配表!R13</f>
        <v>0</v>
      </c>
      <c r="R24" s="357">
        <f>=评估表5损益及利润分配表!S13</f>
        <v>0</v>
      </c>
      <c r="S24" s="357">
        <f>=评估表5损益及利润分配表!T13</f>
        <v>0</v>
      </c>
      <c r="T24" s="357">
        <f>=评估表5损益及利润分配表!U13</f>
        <v>0</v>
      </c>
      <c r="U24" s="357">
        <f>=评估表5损益及利润分配表!V13</f>
        <v>0</v>
      </c>
      <c r="V24" s="357">
        <f>=评估表5损益及利润分配表!W13</f>
        <v>0</v>
      </c>
      <c r="W24" s="357">
        <f>=评估表5损益及利润分配表!X13</f>
        <v>0</v>
      </c>
      <c r="X24" s="357">
        <f>=评估表5损益及利润分配表!Y13</f>
        <v>0</v>
      </c>
      <c r="Y24" s="188" t="s">
        <v>775</v>
      </c>
    </row>
    <row r="25" spans="1:25" ht="12" customHeight="true">
      <c r="A25" s="358">
        <v>9</v>
      </c>
      <c r="B25" s="679" t="s">
        <v>754</v>
      </c>
      <c r="C25" s="357">
        <f>=评估表5损益及利润分配表!D20</f>
        <v>0</v>
      </c>
      <c r="D25" s="357">
        <f>=评估表5损益及利润分配表!E20</f>
        <v>0</v>
      </c>
      <c r="E25" s="357">
        <f>=评估表5损益及利润分配表!F20</f>
        <v>49.1830590435381</v>
      </c>
      <c r="F25" s="357">
        <f>=评估表5损益及利润分配表!G20</f>
        <v>101.267754036669</v>
      </c>
      <c r="G25" s="357">
        <f>=评估表5损益及利润分配表!H20</f>
        <v>108.752805327752</v>
      </c>
      <c r="H25" s="357">
        <f>=评估表5损益及利润分配表!I20</f>
        <v>115.678805415228</v>
      </c>
      <c r="I25" s="357">
        <f>=评估表5损益及利润分配表!J20</f>
        <v>123.531490236786</v>
      </c>
      <c r="J25" s="357">
        <f>=评估表5损益及利润分配表!K20</f>
        <v>130.367029282049</v>
      </c>
      <c r="K25" s="357">
        <f>=评估表5损益及利润分配表!L20</f>
        <v>137.602710204653</v>
      </c>
      <c r="L25" s="357">
        <f>=评估表5损益及利润分配表!M20</f>
        <v>141.063139099835</v>
      </c>
      <c r="M25" s="357">
        <f>=评估表5损益及利润分配表!N20</f>
        <v>115.792334201451</v>
      </c>
      <c r="N25" s="357">
        <f>=评估表5损益及利润分配表!O20</f>
        <v>122.839603859964</v>
      </c>
      <c r="O25" s="357">
        <f>=评估表5损益及利润分配表!P20</f>
        <v>129.239778209783</v>
      </c>
      <c r="P25" s="357">
        <f>=评估表5损益及利润分配表!Q20</f>
        <v>136.194222486011</v>
      </c>
      <c r="Q25" s="357">
        <f>=评估表5损益及利润分配表!R20</f>
        <v>0</v>
      </c>
      <c r="R25" s="357">
        <f>=评估表5损益及利润分配表!S20</f>
        <v>0</v>
      </c>
      <c r="S25" s="357">
        <f>=评估表5损益及利润分配表!T20</f>
        <v>0</v>
      </c>
      <c r="T25" s="357">
        <f>=评估表5损益及利润分配表!U20</f>
        <v>0</v>
      </c>
      <c r="U25" s="357">
        <f>=评估表5损益及利润分配表!V20</f>
        <v>0</v>
      </c>
      <c r="V25" s="357">
        <f>=评估表5损益及利润分配表!W20</f>
        <v>0</v>
      </c>
      <c r="W25" s="357">
        <f>=评估表5损益及利润分配表!X20</f>
        <v>0</v>
      </c>
      <c r="X25" s="357">
        <f>=评估表5损益及利润分配表!Y20</f>
        <v>0</v>
      </c>
      <c r="Y25" s="188" t="s">
        <v>775</v>
      </c>
    </row>
    <row r="26" spans="1:25" ht="12" customHeight="true">
      <c r="A26" s="358">
        <v>10</v>
      </c>
      <c r="B26" s="679" t="s">
        <v>708</v>
      </c>
      <c r="C26" s="357">
        <f>=辅助表3资产折旧及摊销估算表!K10</f>
        <v>0</v>
      </c>
      <c r="D26" s="357">
        <f>=辅助表3资产折旧及摊销估算表!L10</f>
        <v>0</v>
      </c>
      <c r="E26" s="357">
        <f>=辅助表3资产折旧及摊销估算表!M10</f>
        <v>0</v>
      </c>
      <c r="F26" s="357">
        <f>=辅助表3资产折旧及摊销估算表!N10</f>
        <v>0</v>
      </c>
      <c r="G26" s="357">
        <f>=辅助表3资产折旧及摊销估算表!O10</f>
        <v>0</v>
      </c>
      <c r="H26" s="357">
        <f>=辅助表3资产折旧及摊销估算表!P10</f>
        <v>0</v>
      </c>
      <c r="I26" s="357">
        <f>=辅助表3资产折旧及摊销估算表!Q10</f>
        <v>0</v>
      </c>
      <c r="J26" s="357">
        <f>=辅助表3资产折旧及摊销估算表!R10</f>
        <v>0</v>
      </c>
      <c r="K26" s="357">
        <f>=辅助表3资产折旧及摊销估算表!S10</f>
        <v>0</v>
      </c>
      <c r="L26" s="357">
        <f>=辅助表3资产折旧及摊销估算表!T10</f>
        <v>0</v>
      </c>
      <c r="M26" s="357">
        <f>=辅助表3资产折旧及摊销估算表!U10</f>
        <v>0</v>
      </c>
      <c r="N26" s="357">
        <f>=辅助表3资产折旧及摊销估算表!V10</f>
        <v>0</v>
      </c>
      <c r="O26" s="357">
        <f>=辅助表3资产折旧及摊销估算表!W10</f>
        <v>0</v>
      </c>
      <c r="P26" s="357">
        <f>=辅助表3资产折旧及摊销估算表!X10</f>
        <v>0</v>
      </c>
      <c r="Q26" s="357">
        <f>=辅助表3资产折旧及摊销估算表!Y10</f>
        <v>0</v>
      </c>
      <c r="R26" s="357">
        <f>=辅助表3资产折旧及摊销估算表!Z10</f>
        <v>0</v>
      </c>
      <c r="S26" s="357">
        <f>=辅助表3资产折旧及摊销估算表!AA10</f>
        <v>0</v>
      </c>
      <c r="T26" s="357">
        <f>=辅助表3资产折旧及摊销估算表!AB10</f>
        <v>0</v>
      </c>
      <c r="U26" s="357">
        <f>=辅助表3资产折旧及摊销估算表!AC10</f>
        <v>0</v>
      </c>
      <c r="V26" s="357">
        <f>=辅助表3资产折旧及摊销估算表!AD10</f>
        <v>0</v>
      </c>
      <c r="W26" s="357">
        <f>=辅助表3资产折旧及摊销估算表!AE10</f>
        <v>0</v>
      </c>
      <c r="X26" s="357">
        <f>=辅助表3资产折旧及摊销估算表!AF10</f>
        <v>0</v>
      </c>
      <c r="Y26" s="188" t="s">
        <v>940</v>
      </c>
    </row>
    <row r="27" spans="1:24" ht="12" customHeight="true">
      <c r="A27" s="358">
        <v>11</v>
      </c>
      <c r="B27" s="679" t="s">
        <v>1497</v>
      </c>
      <c r="C27" s="364" t="s"/>
      <c r="D27" s="364" t="s"/>
      <c r="E27" s="364" t="s"/>
      <c r="F27" s="364" t="s"/>
      <c r="G27" s="364" t="s"/>
      <c r="H27" s="364" t="s"/>
      <c r="I27" s="364" t="s"/>
      <c r="J27" s="364" t="s"/>
      <c r="K27" s="364" t="s"/>
      <c r="L27" s="364" t="s"/>
      <c r="M27" s="364" t="s"/>
      <c r="N27" s="364" t="s"/>
      <c r="O27" s="364" t="s"/>
      <c r="P27" s="364" t="s"/>
      <c r="Q27" s="364" t="s"/>
      <c r="R27" s="364" t="s"/>
      <c r="S27" s="364" t="s"/>
      <c r="T27" s="364" t="s"/>
      <c r="U27" s="364" t="s"/>
      <c r="V27" s="364" t="s"/>
      <c r="W27" s="364" t="s"/>
      <c r="X27" s="364" t="s"/>
    </row>
    <row r="28" spans="1:25" ht="12" customHeight="true">
      <c r="A28" s="358" t="s">
        <v>469</v>
      </c>
      <c r="B28" s="679" t="s">
        <v>1498</v>
      </c>
      <c r="C28" s="357">
        <f>=C11-C16</f>
        <v>0</v>
      </c>
      <c r="D28" s="357">
        <f>=D11-D16</f>
        <v>-8688.84401589645</v>
      </c>
      <c r="E28" s="357">
        <f>=E11-E16</f>
        <v>502.49308188675</v>
      </c>
      <c r="F28" s="357">
        <f>=F11-F16</f>
        <v>999.786472902269</v>
      </c>
      <c r="G28" s="357">
        <f>=G11-G16</f>
        <v>994.136288370482</v>
      </c>
      <c r="H28" s="357">
        <f>=H11-H16</f>
        <v>986.045025893107</v>
      </c>
      <c r="I28" s="357">
        <f>=I11-I16</f>
        <v>980.026950049051</v>
      </c>
      <c r="J28" s="357">
        <f>=J11-J16</f>
        <v>970.155991863222</v>
      </c>
      <c r="K28" s="357">
        <f>=K11-K16</f>
        <v>960.787824194456</v>
      </c>
      <c r="L28" s="357">
        <f>=L11-L16</f>
        <v>939.355426848463</v>
      </c>
      <c r="M28" s="357">
        <f>=M11-M16</f>
        <v>831.376156748729</v>
      </c>
      <c r="N28" s="357">
        <f>=N11-N16</f>
        <v>822.930248667616</v>
      </c>
      <c r="O28" s="357">
        <f>=O11-O16</f>
        <v>811.823810319074</v>
      </c>
      <c r="P28" s="357">
        <f>=P11-P16</f>
        <v>4288.66965188147</v>
      </c>
      <c r="Q28" s="357">
        <f>=Q11-Q16</f>
        <v>0</v>
      </c>
      <c r="R28" s="357">
        <f>=R11-R16</f>
        <v>0</v>
      </c>
      <c r="S28" s="357">
        <f>=S11-S16</f>
        <v>0</v>
      </c>
      <c r="T28" s="357">
        <f>=T11-T16</f>
        <v>0</v>
      </c>
      <c r="U28" s="357">
        <f>=U11-U16</f>
        <v>0</v>
      </c>
      <c r="V28" s="357">
        <f>=V11-V16</f>
        <v>0</v>
      </c>
      <c r="W28" s="357">
        <f>=W11-W16</f>
        <v>0</v>
      </c>
      <c r="X28" s="357">
        <f>=X11-X16</f>
        <v>0</v>
      </c>
      <c r="Y28" s="188" t="s">
        <v>1499</v>
      </c>
    </row>
    <row r="29" spans="1:25" ht="12" customHeight="true">
      <c r="A29" s="358" t="s">
        <v>479</v>
      </c>
      <c r="B29" s="679" t="s">
        <v>1500</v>
      </c>
      <c r="C29" s="357">
        <f>=C28</f>
        <v>0</v>
      </c>
      <c r="D29" s="357">
        <f>=C29+D28</f>
        <v>-8688.84401589645</v>
      </c>
      <c r="E29" s="357">
        <f>=D29+E28</f>
        <v>-8186.3509340097</v>
      </c>
      <c r="F29" s="357">
        <f>=E29+F28</f>
        <v>-7186.56446110743</v>
      </c>
      <c r="G29" s="357">
        <f>=F29+G28</f>
        <v>-6192.42817273695</v>
      </c>
      <c r="H29" s="357">
        <f>=G29+H28</f>
        <v>-5206.38314684384</v>
      </c>
      <c r="I29" s="357">
        <f>=H29+I28</f>
        <v>-4226.35619679479</v>
      </c>
      <c r="J29" s="357">
        <f>=I29+J28</f>
        <v>-3256.20020493157</v>
      </c>
      <c r="K29" s="357">
        <f>=J29+K28</f>
        <v>-2295.41238073711</v>
      </c>
      <c r="L29" s="357">
        <f>=K29+L28</f>
        <v>-1356.05695388865</v>
      </c>
      <c r="M29" s="357">
        <f>=L29+M28</f>
        <v>-524.680797139922</v>
      </c>
      <c r="N29" s="357">
        <f>=M29+N28</f>
        <v>298.249451527694</v>
      </c>
      <c r="O29" s="357">
        <f>=N29+O28</f>
        <v>1110.07326184677</v>
      </c>
      <c r="P29" s="357">
        <f>=O29+P28</f>
        <v>5398.74291372824</v>
      </c>
      <c r="Q29" s="357">
        <f>=P29+Q28</f>
        <v>5398.74291372824</v>
      </c>
      <c r="R29" s="357">
        <f>=Q29+R28</f>
        <v>5398.74291372824</v>
      </c>
      <c r="S29" s="357">
        <f>=R29+S28</f>
        <v>5398.74291372824</v>
      </c>
      <c r="T29" s="357">
        <f>=S29+T28</f>
        <v>5398.74291372824</v>
      </c>
      <c r="U29" s="357">
        <f>=T29+U28</f>
        <v>5398.74291372824</v>
      </c>
      <c r="V29" s="357">
        <f>=U29+V28</f>
        <v>5398.74291372824</v>
      </c>
      <c r="W29" s="357">
        <f>=V29+W28</f>
        <v>5398.74291372824</v>
      </c>
      <c r="X29" s="357">
        <f>=W29+X28</f>
        <v>5398.74291372824</v>
      </c>
      <c r="Y29" s="188" t="s">
        <v>1501</v>
      </c>
    </row>
    <row r="30" spans="1:24" ht="12" customHeight="true">
      <c r="A30" s="681" t="s"/>
      <c r="B30" s="682" t="s">
        <v>1502</v>
      </c>
      <c r="C30" s="357">
        <f>=C25+C28</f>
        <v>0</v>
      </c>
      <c r="D30" s="357">
        <f>=D25+D28</f>
        <v>-8688.84401589645</v>
      </c>
      <c r="E30" s="357">
        <f>=E25+E28</f>
        <v>551.676140930288</v>
      </c>
      <c r="F30" s="357">
        <f>=F25+F28</f>
        <v>1101.05422693894</v>
      </c>
      <c r="G30" s="357">
        <f>=G25+G28</f>
        <v>1102.88909369823</v>
      </c>
      <c r="H30" s="357">
        <f>=H25+H28</f>
        <v>1101.72383130833</v>
      </c>
      <c r="I30" s="357">
        <f>=I25+I28</f>
        <v>1103.55844028584</v>
      </c>
      <c r="J30" s="357">
        <f>=J25+J28</f>
        <v>1100.52302114527</v>
      </c>
      <c r="K30" s="357">
        <f>=K25+K28</f>
        <v>1098.39053439911</v>
      </c>
      <c r="L30" s="357">
        <f>=L25+L28</f>
        <v>1080.4185659483</v>
      </c>
      <c r="M30" s="357">
        <f>=M25+M28</f>
        <v>947.168490950179</v>
      </c>
      <c r="N30" s="357">
        <f>=N25+N28</f>
        <v>945.76985252758</v>
      </c>
      <c r="O30" s="357">
        <f>=O25+O28</f>
        <v>941.063588528858</v>
      </c>
      <c r="P30" s="357">
        <f>=P25+P28</f>
        <v>4424.86387436748</v>
      </c>
      <c r="Q30" s="357">
        <f>=Q25+Q28</f>
        <v>0</v>
      </c>
      <c r="R30" s="357">
        <f>=R25+R28</f>
        <v>0</v>
      </c>
      <c r="S30" s="357">
        <f>=S25+S28</f>
        <v>0</v>
      </c>
      <c r="T30" s="357">
        <f>=T25+T28</f>
        <v>0</v>
      </c>
      <c r="U30" s="357">
        <f>=U25+U28</f>
        <v>0</v>
      </c>
      <c r="V30" s="357">
        <f>=V25+V28</f>
        <v>0</v>
      </c>
      <c r="W30" s="357">
        <f>=W25+W28</f>
        <v>0</v>
      </c>
      <c r="X30" s="357">
        <f>=X25+X28</f>
        <v>0</v>
      </c>
    </row>
    <row r="31" spans="1:24" s="698" customFormat="true" ht="12" customHeight="true">
      <c r="A31" s="683" t="s">
        <v>1503</v>
      </c>
      <c r="B31" s="683" t="s"/>
      <c r="C31" s="684">
        <f>=IRR(C28:X28)</f>
        <v>0.067638846121507</v>
      </c>
      <c r="D31" s="680" t="s"/>
      <c r="E31" s="537" t="s">
        <v>1504</v>
      </c>
      <c r="F31" s="538" t="s"/>
      <c r="G31" s="685">
        <f>=NPV(辅助表1评估项目基础数据表!$F$15,C28:X28)</f>
        <v>980.360982032412</v>
      </c>
      <c r="H31" s="372" t="s"/>
      <c r="I31" s="372" t="s"/>
      <c r="J31" s="372" t="s"/>
      <c r="K31" s="372" t="s"/>
      <c r="L31" s="372" t="s"/>
      <c r="M31" s="372" t="s"/>
      <c r="N31" s="372" t="s"/>
      <c r="O31" s="372" t="s"/>
      <c r="P31" s="372" t="s"/>
      <c r="Q31" s="372" t="s"/>
      <c r="R31" s="372" t="s"/>
      <c r="S31" s="372" t="s"/>
      <c r="T31" s="372" t="s"/>
      <c r="U31" s="372" t="s"/>
      <c r="V31" s="372" t="s"/>
      <c r="W31" s="372" t="s"/>
      <c r="X31" s="372" t="s"/>
    </row>
    <row r="32" spans="1:24" s="698" customFormat="true" ht="12" customHeight="true">
      <c r="A32" s="683" t="s">
        <v>1505</v>
      </c>
      <c r="B32" s="683" t="s"/>
      <c r="C32" s="684">
        <f>=IRR(C30:X30)</f>
        <v>0.083561597467849</v>
      </c>
      <c r="D32" s="680" t="s"/>
      <c r="E32" s="686" t="s">
        <v>1506</v>
      </c>
      <c r="F32" s="686" t="s"/>
      <c r="G32" s="685">
        <f>=NPV(辅助表1评估项目基础数据表!$F$15,C30:X30)</f>
        <v>1902.45090752453</v>
      </c>
      <c r="H32" s="372" t="s"/>
      <c r="I32" s="372" t="s"/>
      <c r="J32" s="372" t="s"/>
      <c r="K32" s="372" t="s"/>
      <c r="L32" s="372" t="s"/>
      <c r="M32" s="372" t="s"/>
      <c r="N32" s="372" t="s"/>
      <c r="O32" s="372" t="s"/>
      <c r="P32" s="372" t="s"/>
      <c r="Q32" s="372" t="s"/>
      <c r="R32" s="372" t="s"/>
      <c r="S32" s="372" t="s"/>
      <c r="T32" s="372" t="s"/>
      <c r="U32" s="372" t="s"/>
      <c r="V32" s="372" t="s"/>
      <c r="W32" s="372" t="s"/>
      <c r="X32" s="372" t="s"/>
    </row>
    <row r="33" spans="1:24" s="698" customFormat="true" ht="12" customHeight="true">
      <c r="A33" s="683" t="s">
        <v>1507</v>
      </c>
      <c r="B33" s="683" t="s"/>
      <c r="C33" s="685">
        <f>=INDEX(C34:X34,MATCH(0,C29:X29,1))-INDEX(C29:X29,MATCH(0,C29:X29,1))/INDEX(C28:X28,MATCH(0,C29:X29,1)+1)-1+辅助表1评估项目基础数据表!$C$4/12</f>
        <v>11.1375762684498</v>
      </c>
      <c r="D33" s="680" t="s"/>
      <c r="E33" s="686" t="s"/>
      <c r="F33" s="686" t="s"/>
      <c r="G33" s="687" t="s"/>
      <c r="H33" s="372" t="s"/>
      <c r="I33" s="372" t="s"/>
      <c r="J33" s="372" t="s"/>
      <c r="K33" s="372" t="s"/>
      <c r="L33" s="372" t="s"/>
      <c r="M33" s="372" t="s"/>
      <c r="N33" s="372" t="s"/>
      <c r="O33" s="372" t="s"/>
      <c r="P33" s="372" t="s"/>
      <c r="Q33" s="372" t="s"/>
      <c r="R33" s="372" t="s"/>
      <c r="S33" s="372" t="s"/>
      <c r="T33" s="372" t="s"/>
      <c r="U33" s="372" t="s"/>
      <c r="V33" s="372" t="s"/>
      <c r="W33" s="372" t="s"/>
      <c r="X33" s="372" t="s"/>
    </row>
    <row r="34" spans="1:24" ht="12" customHeight="true">
      <c r="A34" s="688" t="s"/>
      <c r="B34" s="688" t="s"/>
      <c r="C34" s="545">
        <v>1</v>
      </c>
      <c r="D34" s="545">
        <f>=C34+1</f>
        <v>2</v>
      </c>
      <c r="E34" s="545">
        <f>=辅助表1评估项目基础数据表!$C$3+1</f>
        <v>3</v>
      </c>
      <c r="F34" s="545">
        <f>=E34+1</f>
        <v>4</v>
      </c>
      <c r="G34" s="545">
        <f>=F34+1</f>
        <v>5</v>
      </c>
      <c r="H34" s="545">
        <f>=G34+1</f>
        <v>6</v>
      </c>
      <c r="I34" s="545">
        <f>=H34+1</f>
        <v>7</v>
      </c>
      <c r="J34" s="545">
        <f>=I34+1</f>
        <v>8</v>
      </c>
      <c r="K34" s="545">
        <f>=J34+1</f>
        <v>9</v>
      </c>
      <c r="L34" s="545">
        <f>=K34+1</f>
        <v>10</v>
      </c>
      <c r="M34" s="545">
        <f>=L34+1</f>
        <v>11</v>
      </c>
      <c r="N34" s="545">
        <f>=M34+1</f>
        <v>12</v>
      </c>
      <c r="O34" s="545">
        <f>=N34+1</f>
        <v>13</v>
      </c>
      <c r="P34" s="545">
        <f>=O34+1</f>
        <v>14</v>
      </c>
      <c r="Q34" s="545">
        <f>=P34+1</f>
        <v>15</v>
      </c>
      <c r="R34" s="545">
        <f>=Q34+1</f>
        <v>16</v>
      </c>
      <c r="S34" s="545">
        <f>=R34+1</f>
        <v>17</v>
      </c>
      <c r="T34" s="545">
        <f>=S34+1</f>
        <v>18</v>
      </c>
      <c r="U34" s="545">
        <f>=T34+1</f>
        <v>19</v>
      </c>
      <c r="V34" s="545">
        <f>=U34+1</f>
        <v>20</v>
      </c>
      <c r="W34" s="545">
        <f>=V34+1</f>
        <v>21</v>
      </c>
      <c r="X34" s="545">
        <f>=W34+1</f>
        <v>22</v>
      </c>
    </row>
    <row r="35" spans="3:3" ht="12" customHeight="true">
      <c r="C35" s="638" t="s"/>
    </row>
  </sheetData>
  <sheetProtection/>
  <mergeCells count="8">
    <mergeCell ref="E3:X3"/>
    <mergeCell ref="A31:B31"/>
    <mergeCell ref="E31:F31"/>
    <mergeCell ref="A32:B32"/>
    <mergeCell ref="E32:F32"/>
    <mergeCell ref="A33:B33"/>
    <mergeCell ref="E33:F33"/>
    <mergeCell ref="A34:B34"/>
  </mergeCells>
  <pageMargins left="0.748031" right="0.551181" top="0.984252" bottom="0.984252" header="0.511811" footer="0.511811"/>
  <pageSetup paperSize="9" orientation="landscape" blackAndWhite="true"/>
  <headerFooter alignWithMargins="false"/>
  <legacyDrawing r:id="rId0"/>
</worksheet>
</file>

<file path=xl/worksheets/sheet9.xml><?xml version="1.0" encoding="utf-8"?>
<worksheet xmlns="http://schemas.openxmlformats.org/spreadsheetml/2006/main">
  <sheetPr/>
  <dimension ref="AB44"/>
  <sheetViews>
    <sheetView showGridLines="false" showZeros="false" tabSelected="false" topLeftCell="A4" workbookViewId="0"/>
  </sheetViews>
  <sheetFormatPr defaultColWidth="9" defaultRowHeight="12" customHeight="true"/>
  <cols>
    <col min="1" max="1" width="6.625" style="698"/>
    <col min="2" max="2" width="25.625" style="698"/>
    <col min="3" max="3" width="9.875" style="698"/>
    <col min="4" max="4" width="10.625" style="698"/>
    <col min="5" max="5" width="7.875" style="698"/>
    <col min="6" max="6" width="11.125" style="698"/>
    <col min="7" max="25" width="10.625" style="698"/>
    <col min="26" max="26" width="32.125" style="698"/>
    <col min="27" max="27" width="10.625" style="698"/>
  </cols>
  <sheetData>
    <row r="1" spans="1:25" ht="12" customHeight="true">
      <c r="A1" s="347" t="s"/>
      <c r="B1" s="348" t="s"/>
      <c r="C1" s="348" t="s"/>
      <c r="D1" s="348" t="s">
        <v>772</v>
      </c>
      <c r="E1" s="348" t="s"/>
      <c r="F1" s="348" t="s"/>
      <c r="G1" s="348" t="s"/>
      <c r="H1" s="348" t="s"/>
      <c r="I1" s="348" t="s"/>
      <c r="J1" s="348" t="s"/>
      <c r="K1" s="348" t="s"/>
      <c r="L1" s="348" t="s"/>
      <c r="M1" s="348" t="s"/>
      <c r="N1" s="348" t="s"/>
      <c r="O1" s="348" t="s"/>
      <c r="P1" s="348" t="s"/>
      <c r="Q1" s="348" t="s"/>
      <c r="R1" s="348" t="s"/>
      <c r="S1" s="348" t="s"/>
      <c r="T1" s="348" t="s"/>
      <c r="U1" s="348" t="s"/>
      <c r="V1" s="348" t="s"/>
      <c r="W1" s="348" t="s"/>
      <c r="X1" s="348" t="s"/>
      <c r="Y1" s="348" t="s"/>
    </row>
    <row r="2" spans="1:25" ht="12" customHeight="true">
      <c r="A2" s="349" t="s">
        <v>773</v>
      </c>
      <c r="C2" s="350" t="s"/>
      <c r="D2" s="350" t="s">
        <v>438</v>
      </c>
      <c r="E2" s="350" t="s"/>
      <c r="F2" s="350" t="s"/>
      <c r="G2" s="350" t="s"/>
      <c r="H2" s="350" t="s"/>
      <c r="I2" s="350" t="s"/>
      <c r="J2" s="350" t="s"/>
      <c r="K2" s="350" t="s"/>
      <c r="L2" s="350" t="s"/>
      <c r="M2" s="350" t="s"/>
      <c r="N2" s="350" t="s"/>
      <c r="O2" s="350" t="s"/>
      <c r="P2" s="350" t="s"/>
      <c r="Q2" s="350" t="s"/>
      <c r="R2" s="350" t="s"/>
      <c r="S2" s="350" t="s"/>
      <c r="T2" s="350" t="s"/>
      <c r="U2" s="350" t="s"/>
      <c r="V2" s="350" t="s"/>
      <c r="W2" s="350" t="s"/>
      <c r="X2" s="350" t="s"/>
      <c r="Y2" s="350" t="s"/>
    </row>
    <row r="3" spans="1:25" ht="12" customHeight="true">
      <c r="A3" s="294" t="s">
        <v>525</v>
      </c>
      <c r="B3" s="294" t="s">
        <v>738</v>
      </c>
      <c r="C3" s="294" t="s">
        <v>739</v>
      </c>
      <c r="D3" s="296" t="s">
        <v>620</v>
      </c>
      <c r="E3" s="296" t="s"/>
      <c r="F3" s="296" t="s">
        <v>621</v>
      </c>
      <c r="G3" s="296" t="s"/>
      <c r="H3" s="296" t="s"/>
      <c r="I3" s="296" t="s"/>
      <c r="J3" s="296" t="s"/>
      <c r="K3" s="296" t="s"/>
      <c r="L3" s="296" t="s"/>
      <c r="M3" s="296" t="s"/>
      <c r="N3" s="296" t="s"/>
      <c r="O3" s="296" t="s"/>
      <c r="P3" s="296" t="s"/>
      <c r="Q3" s="296" t="s"/>
      <c r="R3" s="296" t="s"/>
      <c r="S3" s="296" t="s"/>
      <c r="T3" s="296" t="s"/>
      <c r="U3" s="296" t="s"/>
      <c r="V3" s="296" t="s"/>
      <c r="W3" s="296" t="s"/>
      <c r="X3" s="296" t="s"/>
      <c r="Y3" s="296" t="s"/>
    </row>
    <row r="4" spans="1:25" ht="12" customHeight="true">
      <c r="A4" s="294" t="s"/>
      <c r="B4" s="294" t="s"/>
      <c r="C4" s="294" t="s"/>
      <c r="D4" s="294" t="s">
        <v>622</v>
      </c>
      <c r="E4" s="294" t="s">
        <v>623</v>
      </c>
      <c r="F4" s="294" t="s">
        <v>622</v>
      </c>
      <c r="G4" s="294" t="s">
        <v>623</v>
      </c>
      <c r="H4" s="294" t="s">
        <v>624</v>
      </c>
      <c r="I4" s="294" t="s">
        <v>625</v>
      </c>
      <c r="J4" s="294" t="s">
        <v>626</v>
      </c>
      <c r="K4" s="294" t="s">
        <v>627</v>
      </c>
      <c r="L4" s="294" t="s">
        <v>628</v>
      </c>
      <c r="M4" s="294" t="s">
        <v>629</v>
      </c>
      <c r="N4" s="294" t="s">
        <v>630</v>
      </c>
      <c r="O4" s="294" t="s">
        <v>631</v>
      </c>
      <c r="P4" s="294" t="s">
        <v>632</v>
      </c>
      <c r="Q4" s="294" t="s">
        <v>633</v>
      </c>
      <c r="R4" s="294" t="s">
        <v>634</v>
      </c>
      <c r="S4" s="294" t="s">
        <v>635</v>
      </c>
      <c r="T4" s="294" t="s">
        <v>636</v>
      </c>
      <c r="U4" s="294" t="s">
        <v>702</v>
      </c>
      <c r="V4" s="294" t="s">
        <v>703</v>
      </c>
      <c r="W4" s="294" t="s">
        <v>637</v>
      </c>
      <c r="X4" s="294" t="s">
        <v>638</v>
      </c>
      <c r="Y4" s="294" t="s">
        <v>639</v>
      </c>
    </row>
    <row r="5" spans="1:25" ht="12" customHeight="true">
      <c r="A5" s="409" t="s"/>
      <c r="B5" s="358" t="s">
        <v>740</v>
      </c>
      <c r="C5" s="410" t="s"/>
      <c r="D5" s="394">
        <f>=评估表4总成本费用表!D5</f>
        <v>0</v>
      </c>
      <c r="E5" s="394">
        <f>=评估表4总成本费用表!E5</f>
        <v>0</v>
      </c>
      <c r="F5" s="394">
        <f>=评估表4总成本费用表!F5</f>
        <v>0</v>
      </c>
      <c r="G5" s="394">
        <f>=评估表4总成本费用表!G5</f>
        <v>0</v>
      </c>
      <c r="H5" s="394">
        <f>=评估表4总成本费用表!H5</f>
        <v>0</v>
      </c>
      <c r="I5" s="394">
        <f>=评估表4总成本费用表!I5</f>
        <v>0</v>
      </c>
      <c r="J5" s="394">
        <f>=评估表4总成本费用表!J5</f>
        <v>0</v>
      </c>
      <c r="K5" s="394">
        <f>=评估表4总成本费用表!K5</f>
        <v>0.05</v>
      </c>
      <c r="L5" s="394">
        <f>=评估表4总成本费用表!L5</f>
        <v>0</v>
      </c>
      <c r="M5" s="394">
        <f>=评估表4总成本费用表!M5</f>
        <v>0.05</v>
      </c>
      <c r="N5" s="394">
        <f>=评估表4总成本费用表!N5</f>
        <v>0</v>
      </c>
      <c r="O5" s="394">
        <f>=评估表4总成本费用表!O5</f>
        <v>0</v>
      </c>
      <c r="P5" s="394">
        <f>=评估表4总成本费用表!P5</f>
        <v>0.05</v>
      </c>
      <c r="Q5" s="394">
        <f>=评估表4总成本费用表!Q5</f>
        <v>0</v>
      </c>
      <c r="R5" s="394">
        <f>=评估表4总成本费用表!R5</f>
        <v>0</v>
      </c>
      <c r="S5" s="394">
        <f>=评估表4总成本费用表!S5</f>
        <v>0</v>
      </c>
      <c r="T5" s="394">
        <f>=评估表4总成本费用表!T5</f>
        <v>0</v>
      </c>
      <c r="U5" s="394">
        <f>=评估表4总成本费用表!U5</f>
        <v>0</v>
      </c>
      <c r="V5" s="394">
        <f>=评估表4总成本费用表!V5</f>
        <v>0</v>
      </c>
      <c r="W5" s="394">
        <f>=评估表4总成本费用表!W5</f>
        <v>0</v>
      </c>
      <c r="X5" s="394">
        <f>=评估表4总成本费用表!X5</f>
        <v>0</v>
      </c>
      <c r="Y5" s="394">
        <f>=评估表4总成本费用表!Y5</f>
        <v>0</v>
      </c>
    </row>
    <row r="6" spans="1:26" ht="12" customHeight="true">
      <c r="A6" s="409" t="s">
        <v>51</v>
      </c>
      <c r="B6" s="358" t="s">
        <v>741</v>
      </c>
      <c r="C6" s="410" t="s"/>
      <c r="D6" s="394">
        <f>=评估表4总成本费用表!D6</f>
        <v>0</v>
      </c>
      <c r="E6" s="394">
        <f>=评估表4总成本费用表!E6</f>
        <v>0</v>
      </c>
      <c r="F6" s="394">
        <f>=评估表4总成本费用表!F6</f>
        <v>0.99</v>
      </c>
      <c r="G6" s="394">
        <f>=评估表4总成本费用表!G6</f>
        <v>0.976</v>
      </c>
      <c r="H6" s="394">
        <f>=评估表4总成本费用表!H6</f>
        <v>0.972</v>
      </c>
      <c r="I6" s="394">
        <f>=评估表4总成本费用表!I6</f>
        <v>0.968</v>
      </c>
      <c r="J6" s="394">
        <f>=评估表4总成本费用表!J6</f>
        <v>0.964</v>
      </c>
      <c r="K6" s="394">
        <f>=评估表4总成本费用表!K6</f>
        <v>0.96</v>
      </c>
      <c r="L6" s="394">
        <f>=评估表4总成本费用表!L6</f>
        <v>0.956</v>
      </c>
      <c r="M6" s="394">
        <f>=评估表4总成本费用表!M6</f>
        <v>0.952</v>
      </c>
      <c r="N6" s="394">
        <f>=评估表4总成本费用表!N6</f>
        <v>0.948</v>
      </c>
      <c r="O6" s="394">
        <f>=评估表4总成本费用表!O6</f>
        <v>0.944</v>
      </c>
      <c r="P6" s="394">
        <f>=评估表4总成本费用表!P6</f>
        <v>0.94</v>
      </c>
      <c r="Q6" s="394">
        <f>=评估表4总成本费用表!Q6</f>
        <v>0.936</v>
      </c>
      <c r="R6" s="394">
        <f>=评估表4总成本费用表!R6</f>
        <v>0</v>
      </c>
      <c r="S6" s="394">
        <f>=评估表4总成本费用表!S6</f>
        <v>0</v>
      </c>
      <c r="T6" s="394">
        <f>=评估表4总成本费用表!T6</f>
        <v>0</v>
      </c>
      <c r="U6" s="394">
        <f>=评估表4总成本费用表!U6</f>
        <v>0</v>
      </c>
      <c r="V6" s="394">
        <f>=评估表4总成本费用表!V6</f>
        <v>0</v>
      </c>
      <c r="W6" s="394">
        <f>=评估表4总成本费用表!W6</f>
        <v>0</v>
      </c>
      <c r="X6" s="394">
        <f>=评估表4总成本费用表!X6</f>
        <v>0</v>
      </c>
      <c r="Y6" s="394">
        <f>=评估表4总成本费用表!Y6</f>
        <v>0</v>
      </c>
      <c r="Z6" s="188" t="s">
        <v>644</v>
      </c>
    </row>
    <row r="7" spans="1:25" ht="12" hidden="true" customHeight="true">
      <c r="A7" s="409" t="s">
        <v>51</v>
      </c>
      <c r="B7" s="358" t="s">
        <v>742</v>
      </c>
      <c r="C7" s="411" t="s"/>
      <c r="D7" s="394">
        <f>=评估表4总成本费用表!D7</f>
        <v>0</v>
      </c>
      <c r="E7" s="394">
        <f>=评估表4总成本费用表!E7</f>
        <v>0</v>
      </c>
      <c r="F7" s="394">
        <f>=评估表4总成本费用表!F7</f>
        <v>0.92</v>
      </c>
      <c r="G7" s="394">
        <f>=评估表4总成本费用表!G7</f>
        <v>0.92</v>
      </c>
      <c r="H7" s="394">
        <f>=评估表4总成本费用表!H7</f>
        <v>0.92</v>
      </c>
      <c r="I7" s="394">
        <f>=评估表4总成本费用表!I7</f>
        <v>0.92</v>
      </c>
      <c r="J7" s="394">
        <f>=评估表4总成本费用表!J7</f>
        <v>0.92</v>
      </c>
      <c r="K7" s="394">
        <f>=评估表4总成本费用表!K7</f>
        <v>0.92</v>
      </c>
      <c r="L7" s="394">
        <f>=评估表4总成本费用表!L7</f>
        <v>0.92</v>
      </c>
      <c r="M7" s="394">
        <f>=评估表4总成本费用表!M7</f>
        <v>0.92</v>
      </c>
      <c r="N7" s="394">
        <f>=评估表4总成本费用表!N7</f>
        <v>0.92</v>
      </c>
      <c r="O7" s="394">
        <f>=评估表4总成本费用表!O7</f>
        <v>0.92</v>
      </c>
      <c r="P7" s="394">
        <f>=评估表4总成本费用表!P7</f>
        <v>0.92</v>
      </c>
      <c r="Q7" s="394">
        <f>=评估表4总成本费用表!Q7</f>
        <v>0.92</v>
      </c>
      <c r="R7" s="394">
        <f>=评估表4总成本费用表!R7</f>
        <v>0</v>
      </c>
      <c r="S7" s="394">
        <f>=评估表4总成本费用表!S7</f>
        <v>0</v>
      </c>
      <c r="T7" s="394">
        <f>=评估表4总成本费用表!T7</f>
        <v>0</v>
      </c>
      <c r="U7" s="394">
        <f>=评估表4总成本费用表!U7</f>
        <v>0</v>
      </c>
      <c r="V7" s="394">
        <f>=评估表4总成本费用表!V7</f>
        <v>0</v>
      </c>
      <c r="W7" s="394">
        <f>=评估表4总成本费用表!W7</f>
        <v>0</v>
      </c>
      <c r="X7" s="394">
        <f>=评估表4总成本费用表!X7</f>
        <v>0</v>
      </c>
      <c r="Y7" s="394">
        <f>=评估表4总成本费用表!Y7</f>
        <v>0</v>
      </c>
    </row>
    <row r="8" spans="1:25" ht="12" hidden="true" customHeight="true">
      <c r="A8" s="409" t="s">
        <v>51</v>
      </c>
      <c r="B8" s="358" t="s">
        <v>743</v>
      </c>
      <c r="C8" s="411" t="s"/>
      <c r="D8" s="394">
        <f>=评估表4总成本费用表!D8</f>
        <v>0</v>
      </c>
      <c r="E8" s="394">
        <f>=评估表4总成本费用表!E8</f>
        <v>0</v>
      </c>
      <c r="F8" s="394">
        <f>=评估表4总成本费用表!F8</f>
        <v>0</v>
      </c>
      <c r="G8" s="394">
        <f>=评估表4总成本费用表!G8</f>
        <v>0</v>
      </c>
      <c r="H8" s="394">
        <f>=评估表4总成本费用表!H8</f>
        <v>0</v>
      </c>
      <c r="I8" s="394">
        <f>=评估表4总成本费用表!I8</f>
        <v>0</v>
      </c>
      <c r="J8" s="394">
        <f>=评估表4总成本费用表!J8</f>
        <v>0</v>
      </c>
      <c r="K8" s="394">
        <f>=评估表4总成本费用表!K8</f>
        <v>0.03</v>
      </c>
      <c r="L8" s="394">
        <f>=评估表4总成本费用表!L8</f>
        <v>0</v>
      </c>
      <c r="M8" s="394">
        <f>=评估表4总成本费用表!M8</f>
        <v>0</v>
      </c>
      <c r="N8" s="394">
        <f>=评估表4总成本费用表!N8</f>
        <v>0</v>
      </c>
      <c r="O8" s="394">
        <f>=评估表4总成本费用表!O8</f>
        <v>0</v>
      </c>
      <c r="P8" s="394">
        <f>=评估表4总成本费用表!P8</f>
        <v>0.03</v>
      </c>
      <c r="Q8" s="394">
        <f>=评估表4总成本费用表!Q8</f>
        <v>0</v>
      </c>
      <c r="R8" s="394">
        <f>=评估表4总成本费用表!R8</f>
        <v>0</v>
      </c>
      <c r="S8" s="394">
        <f>=评估表4总成本费用表!S8</f>
        <v>0</v>
      </c>
      <c r="T8" s="394">
        <f>=评估表4总成本费用表!T8</f>
        <v>0</v>
      </c>
      <c r="U8" s="394">
        <f>=评估表4总成本费用表!U8</f>
        <v>0</v>
      </c>
      <c r="V8" s="394">
        <f>=评估表4总成本费用表!V8</f>
        <v>0</v>
      </c>
      <c r="W8" s="394">
        <f>=评估表4总成本费用表!W8</f>
        <v>0</v>
      </c>
      <c r="X8" s="394">
        <f>=评估表4总成本费用表!X8</f>
        <v>0</v>
      </c>
      <c r="Y8" s="394">
        <f>=评估表4总成本费用表!Y8</f>
        <v>0</v>
      </c>
    </row>
    <row r="9" spans="1:25" ht="12" hidden="true" customHeight="true">
      <c r="A9" s="409" t="s">
        <v>51</v>
      </c>
      <c r="B9" s="358" t="s">
        <v>744</v>
      </c>
      <c r="C9" s="411" t="s"/>
      <c r="D9" s="394">
        <f>=评估表4总成本费用表!D9</f>
        <v>0</v>
      </c>
      <c r="E9" s="394">
        <f>=评估表4总成本费用表!E9</f>
        <v>0</v>
      </c>
      <c r="F9" s="394">
        <f>=评估表4总成本费用表!F9</f>
        <v>0.5</v>
      </c>
      <c r="G9" s="394">
        <f>=评估表4总成本费用表!G9</f>
        <v>0.6</v>
      </c>
      <c r="H9" s="394">
        <f>=评估表4总成本费用表!H9</f>
        <v>0.7</v>
      </c>
      <c r="I9" s="394">
        <f>=评估表4总成本费用表!I9</f>
        <v>0.8</v>
      </c>
      <c r="J9" s="394">
        <f>=评估表4总成本费用表!J9</f>
        <v>0.9</v>
      </c>
      <c r="K9" s="394">
        <f>=评估表4总成本费用表!K9</f>
        <v>0.95</v>
      </c>
      <c r="L9" s="394">
        <f>=评估表4总成本费用表!L9</f>
        <v>0.95</v>
      </c>
      <c r="M9" s="394">
        <f>=评估表4总成本费用表!M9</f>
        <v>0.95</v>
      </c>
      <c r="N9" s="394">
        <f>=评估表4总成本费用表!N9</f>
        <v>0.95</v>
      </c>
      <c r="O9" s="394">
        <f>=评估表4总成本费用表!O9</f>
        <v>0.95</v>
      </c>
      <c r="P9" s="394">
        <f>=评估表4总成本费用表!P9</f>
        <v>0.95</v>
      </c>
      <c r="Q9" s="394">
        <f>=评估表4总成本费用表!Q9</f>
        <v>0.95</v>
      </c>
      <c r="R9" s="394">
        <f>=评估表4总成本费用表!R9</f>
        <v>0</v>
      </c>
      <c r="S9" s="394">
        <f>=评估表4总成本费用表!S9</f>
        <v>0</v>
      </c>
      <c r="T9" s="394">
        <f>=评估表4总成本费用表!T9</f>
        <v>0</v>
      </c>
      <c r="U9" s="394">
        <f>=评估表4总成本费用表!U9</f>
        <v>0</v>
      </c>
      <c r="V9" s="394">
        <f>=评估表4总成本费用表!V9</f>
        <v>0</v>
      </c>
      <c r="W9" s="394">
        <f>=评估表4总成本费用表!W9</f>
        <v>0</v>
      </c>
      <c r="X9" s="394">
        <f>=评估表4总成本费用表!X9</f>
        <v>0</v>
      </c>
      <c r="Y9" s="394">
        <f>=评估表4总成本费用表!Y9</f>
        <v>0</v>
      </c>
    </row>
    <row r="10" spans="1:25" ht="12" hidden="true" customHeight="true">
      <c r="A10" s="409" t="s">
        <v>51</v>
      </c>
      <c r="B10" s="358" t="s">
        <v>745</v>
      </c>
      <c r="C10" s="411" t="s"/>
      <c r="D10" s="394">
        <f>=评估表4总成本费用表!D10</f>
        <v>0</v>
      </c>
      <c r="E10" s="394">
        <f>=评估表4总成本费用表!E10</f>
        <v>0</v>
      </c>
      <c r="F10" s="394">
        <f>=评估表4总成本费用表!F10</f>
        <v>0</v>
      </c>
      <c r="G10" s="394">
        <f>=评估表4总成本费用表!G10</f>
        <v>0</v>
      </c>
      <c r="H10" s="394">
        <f>=评估表4总成本费用表!H10</f>
        <v>0</v>
      </c>
      <c r="I10" s="394">
        <f>=评估表4总成本费用表!I10</f>
        <v>0</v>
      </c>
      <c r="J10" s="394">
        <f>=评估表4总成本费用表!J10</f>
        <v>0</v>
      </c>
      <c r="K10" s="394">
        <f>=评估表4总成本费用表!K10</f>
        <v>0</v>
      </c>
      <c r="L10" s="394">
        <f>=评估表4总成本费用表!L10</f>
        <v>0</v>
      </c>
      <c r="M10" s="394">
        <f>=评估表4总成本费用表!M10</f>
        <v>0</v>
      </c>
      <c r="N10" s="394">
        <f>=评估表4总成本费用表!N10</f>
        <v>0</v>
      </c>
      <c r="O10" s="394">
        <f>=评估表4总成本费用表!O10</f>
        <v>0</v>
      </c>
      <c r="P10" s="394">
        <f>=评估表4总成本费用表!P10</f>
        <v>0</v>
      </c>
      <c r="Q10" s="394">
        <f>=评估表4总成本费用表!Q10</f>
        <v>0</v>
      </c>
      <c r="R10" s="394">
        <f>=评估表4总成本费用表!R10</f>
        <v>0</v>
      </c>
      <c r="S10" s="394">
        <f>=评估表4总成本费用表!S10</f>
        <v>0</v>
      </c>
      <c r="T10" s="394">
        <f>=评估表4总成本费用表!T10</f>
        <v>0</v>
      </c>
      <c r="U10" s="394">
        <f>=评估表4总成本费用表!U10</f>
        <v>0</v>
      </c>
      <c r="V10" s="394">
        <f>=评估表4总成本费用表!V10</f>
        <v>0</v>
      </c>
      <c r="W10" s="394">
        <f>=评估表4总成本费用表!W10</f>
        <v>0</v>
      </c>
      <c r="X10" s="394">
        <f>=评估表4总成本费用表!X10</f>
        <v>0</v>
      </c>
      <c r="Y10" s="394">
        <f>=评估表4总成本费用表!Y10</f>
        <v>0</v>
      </c>
    </row>
    <row r="11" spans="1:25" ht="12" customHeight="true">
      <c r="A11" s="409" t="s">
        <v>442</v>
      </c>
      <c r="B11" s="361" t="s">
        <v>774</v>
      </c>
      <c r="C11" s="376">
        <f>=SUM(D11:Y11)</f>
        <v>10256.8584947334</v>
      </c>
      <c r="D11" s="412">
        <f>=SUM(D22:D29)</f>
        <v>0</v>
      </c>
      <c r="E11" s="412">
        <f>=SUM(E22:E29)</f>
        <v>0</v>
      </c>
      <c r="F11" s="412">
        <f>=SUM(F22:F29)</f>
        <v>487.470070583265</v>
      </c>
      <c r="G11" s="412">
        <f>=SUM(G22:G29)</f>
        <v>969.740450295299</v>
      </c>
      <c r="H11" s="412">
        <f>=SUM(H22:H29)</f>
        <v>964.090265763513</v>
      </c>
      <c r="I11" s="412">
        <f>=SUM(I22:I29)</f>
        <v>955.999003286137</v>
      </c>
      <c r="J11" s="412">
        <f>=SUM(J22:J29)</f>
        <v>949.980927442081</v>
      </c>
      <c r="K11" s="412">
        <f>=SUM(K22:K29)</f>
        <v>940.109969256252</v>
      </c>
      <c r="L11" s="412">
        <f>=SUM(L22:L29)</f>
        <v>930.741801587486</v>
      </c>
      <c r="M11" s="412">
        <f>=SUM(M22:M29)</f>
        <v>909.309404241493</v>
      </c>
      <c r="N11" s="412">
        <f>=SUM(N22:N29)</f>
        <v>801.330134141759</v>
      </c>
      <c r="O11" s="412">
        <f>=SUM(O22:O29)</f>
        <v>792.884226060646</v>
      </c>
      <c r="P11" s="412">
        <f>=SUM(P22:P29)</f>
        <v>781.777787712104</v>
      </c>
      <c r="Q11" s="412">
        <f>=SUM(Q22:Q29)</f>
        <v>773.424454363335</v>
      </c>
      <c r="R11" s="412">
        <f>=SUM(R22:R29)</f>
        <v>0</v>
      </c>
      <c r="S11" s="412">
        <f>=SUM(S22:S29)</f>
        <v>0</v>
      </c>
      <c r="T11" s="412">
        <f>=SUM(T22:T29)</f>
        <v>0</v>
      </c>
      <c r="U11" s="412">
        <f>=SUM(U22:U29)</f>
        <v>0</v>
      </c>
      <c r="V11" s="412">
        <f>=SUM(V22:V29)</f>
        <v>0</v>
      </c>
      <c r="W11" s="412">
        <f>=SUM(W22:W29)</f>
        <v>0</v>
      </c>
      <c r="X11" s="412">
        <f>=SUM(X22:X29)</f>
        <v>0</v>
      </c>
      <c r="Y11" s="412">
        <f>=SUM(Y22:Y29)</f>
        <v>0</v>
      </c>
    </row>
    <row r="12" spans="1:26" s="699" customFormat="true" ht="12" customHeight="true">
      <c r="A12" s="413">
        <v>1</v>
      </c>
      <c r="B12" s="398" t="s">
        <v>746</v>
      </c>
      <c r="C12" s="376">
        <f>=SUM(D12:Y12)</f>
        <v>14147.8208401637</v>
      </c>
      <c r="D12" s="376">
        <f>=评估表5损益及利润分配表!D11</f>
        <v>0</v>
      </c>
      <c r="E12" s="376">
        <f>=评估表5损益及利润分配表!E11</f>
        <v>0</v>
      </c>
      <c r="F12" s="376">
        <f>=评估表5损益及利润分配表!F11</f>
        <v>615.4450417656</v>
      </c>
      <c r="G12" s="376">
        <f>=评估表5损益及利润分配表!G11</f>
        <v>1228.66981164288</v>
      </c>
      <c r="H12" s="376">
        <f>=评估表5损益及利润分配表!H11</f>
        <v>1230.54259110336</v>
      </c>
      <c r="I12" s="376">
        <f>=评估表5损益及利润分配表!I11</f>
        <v>1232.41537056384</v>
      </c>
      <c r="J12" s="376">
        <f>=评估表5损益及利润分配表!J11</f>
        <v>1234.28815002432</v>
      </c>
      <c r="K12" s="376">
        <f>=评估表5损益及利润分配表!K11</f>
        <v>1234.4059294848</v>
      </c>
      <c r="L12" s="376">
        <f>=评估表5损益及利润分配表!L11</f>
        <v>1232.76870894528</v>
      </c>
      <c r="M12" s="376">
        <f>=评估表5损益及利润分配表!M11</f>
        <v>1231.13148840576</v>
      </c>
      <c r="N12" s="376">
        <f>=评估表5损益及利润分配表!N11</f>
        <v>1229.49426786624</v>
      </c>
      <c r="O12" s="376">
        <f>=评估表5损益及利润分配表!O11</f>
        <v>1227.85704732672</v>
      </c>
      <c r="P12" s="376">
        <f>=评估表5损益及利润分配表!P11</f>
        <v>1226.2198267872</v>
      </c>
      <c r="Q12" s="376">
        <f>=评估表5损益及利润分配表!Q11</f>
        <v>1224.58260624768</v>
      </c>
      <c r="R12" s="376">
        <f>=评估表5损益及利润分配表!R11</f>
        <v>0</v>
      </c>
      <c r="S12" s="376">
        <f>=评估表5损益及利润分配表!S11</f>
        <v>0</v>
      </c>
      <c r="T12" s="376">
        <f>=评估表5损益及利润分配表!T11</f>
        <v>0</v>
      </c>
      <c r="U12" s="376">
        <f>=评估表5损益及利润分配表!U11</f>
        <v>0</v>
      </c>
      <c r="V12" s="376">
        <f>=评估表5损益及利润分配表!V11</f>
        <v>0</v>
      </c>
      <c r="W12" s="376">
        <f>=评估表5损益及利润分配表!W11</f>
        <v>0</v>
      </c>
      <c r="X12" s="376">
        <f>=评估表5损益及利润分配表!X11</f>
        <v>0</v>
      </c>
      <c r="Y12" s="376">
        <f>=评估表5损益及利润分配表!Y11</f>
        <v>0</v>
      </c>
      <c r="Z12" s="399" t="s">
        <v>775</v>
      </c>
    </row>
    <row r="13" spans="1:26" s="699" customFormat="true" ht="10.8">
      <c r="A13" s="413">
        <v>2</v>
      </c>
      <c r="B13" s="398" t="s">
        <v>659</v>
      </c>
      <c r="C13" s="376">
        <f>=SUM(D13:Y13)</f>
        <v>55.1969402555902</v>
      </c>
      <c r="D13" s="376">
        <f>=评估表5损益及利润分配表!D12</f>
        <v>0</v>
      </c>
      <c r="E13" s="376">
        <f>=评估表5损益及利润分配表!E12</f>
        <v>0</v>
      </c>
      <c r="F13" s="376">
        <f>=评估表5损益及利润分配表!F12</f>
        <v>0</v>
      </c>
      <c r="G13" s="376">
        <f>=评估表5损益及利润分配表!G12</f>
        <v>0</v>
      </c>
      <c r="H13" s="376">
        <f>=评估表5损益及利润分配表!H12</f>
        <v>0</v>
      </c>
      <c r="I13" s="376">
        <f>=评估表5损益及利润分配表!I12</f>
        <v>0</v>
      </c>
      <c r="J13" s="376">
        <f>=评估表5损益及利润分配表!J12</f>
        <v>0</v>
      </c>
      <c r="K13" s="376">
        <f>=评估表5损益及利润分配表!K12</f>
        <v>0</v>
      </c>
      <c r="L13" s="376">
        <f>=评估表5损益及利润分配表!L12</f>
        <v>0</v>
      </c>
      <c r="M13" s="376">
        <f>=评估表5损益及利润分配表!M12</f>
        <v>1.48785405540685</v>
      </c>
      <c r="N13" s="376">
        <f>=评估表5损益及利润分配表!N12</f>
        <v>13.4555244708606</v>
      </c>
      <c r="O13" s="376">
        <f>=评估表5损益及利润分配表!O12</f>
        <v>13.4366891903174</v>
      </c>
      <c r="P13" s="376">
        <f>=评估表5损益及利润分配表!P12</f>
        <v>13.4178539097743</v>
      </c>
      <c r="Q13" s="376">
        <f>=评估表5损益及利润分配表!Q12</f>
        <v>13.3990186292311</v>
      </c>
      <c r="R13" s="376">
        <f>=评估表5损益及利润分配表!R12</f>
        <v>0</v>
      </c>
      <c r="S13" s="376">
        <f>=评估表5损益及利润分配表!S12</f>
        <v>0</v>
      </c>
      <c r="T13" s="376">
        <f>=评估表5损益及利润分配表!T12</f>
        <v>0</v>
      </c>
      <c r="U13" s="376">
        <f>=评估表5损益及利润分配表!U12</f>
        <v>0</v>
      </c>
      <c r="V13" s="376">
        <f>=评估表5损益及利润分配表!V12</f>
        <v>0</v>
      </c>
      <c r="W13" s="376">
        <f>=评估表5损益及利润分配表!W12</f>
        <v>0</v>
      </c>
      <c r="X13" s="376">
        <f>=评估表5损益及利润分配表!X12</f>
        <v>0</v>
      </c>
      <c r="Y13" s="376">
        <f>=评估表5损益及利润分配表!Y12</f>
        <v>0</v>
      </c>
      <c r="Z13" s="399" t="s">
        <v>775</v>
      </c>
    </row>
    <row r="14" spans="1:26" s="699" customFormat="true" ht="12" customHeight="true">
      <c r="A14" s="413">
        <v>3</v>
      </c>
      <c r="B14" s="398" t="s">
        <v>652</v>
      </c>
      <c r="C14" s="376">
        <f>=SUM(D14:Y14)</f>
        <v>551.969402555902</v>
      </c>
      <c r="D14" s="376">
        <f>=评估表5损益及利润分配表!D13</f>
        <v>0</v>
      </c>
      <c r="E14" s="376">
        <f>=评估表5损益及利润分配表!E13</f>
        <v>0</v>
      </c>
      <c r="F14" s="376">
        <f>=评估表5损益及利润分配表!F13</f>
        <v>0</v>
      </c>
      <c r="G14" s="376">
        <f>=评估表5损益及利润分配表!G13</f>
        <v>0</v>
      </c>
      <c r="H14" s="376">
        <f>=评估表5损益及利润分配表!H13</f>
        <v>0</v>
      </c>
      <c r="I14" s="376">
        <f>=评估表5损益及利润分配表!I13</f>
        <v>0</v>
      </c>
      <c r="J14" s="376">
        <f>=评估表5损益及利润分配表!J13</f>
        <v>0</v>
      </c>
      <c r="K14" s="376">
        <f>=评估表5损益及利润分配表!K13</f>
        <v>0</v>
      </c>
      <c r="L14" s="376">
        <f>=评估表5损益及利润分配表!L13</f>
        <v>0</v>
      </c>
      <c r="M14" s="376">
        <f>=评估表5损益及利润分配表!M13</f>
        <v>14.8785405540685</v>
      </c>
      <c r="N14" s="376">
        <f>=评估表5损益及利润分配表!N13</f>
        <v>134.555244708606</v>
      </c>
      <c r="O14" s="376">
        <f>=评估表5损益及利润分配表!O13</f>
        <v>134.366891903174</v>
      </c>
      <c r="P14" s="376">
        <f>=评估表5损益及利润分配表!P13</f>
        <v>134.178539097743</v>
      </c>
      <c r="Q14" s="376">
        <f>=评估表5损益及利润分配表!Q13</f>
        <v>133.990186292311</v>
      </c>
      <c r="R14" s="376">
        <f>=评估表5损益及利润分配表!R13</f>
        <v>0</v>
      </c>
      <c r="S14" s="376">
        <f>=评估表5损益及利润分配表!S13</f>
        <v>0</v>
      </c>
      <c r="T14" s="376">
        <f>=评估表5损益及利润分配表!T13</f>
        <v>0</v>
      </c>
      <c r="U14" s="376">
        <f>=评估表5损益及利润分配表!U13</f>
        <v>0</v>
      </c>
      <c r="V14" s="376">
        <f>=评估表5损益及利润分配表!V13</f>
        <v>0</v>
      </c>
      <c r="W14" s="376">
        <f>=评估表5损益及利润分配表!W13</f>
        <v>0</v>
      </c>
      <c r="X14" s="376">
        <f>=评估表5损益及利润分配表!X13</f>
        <v>0</v>
      </c>
      <c r="Y14" s="376">
        <f>=评估表5损益及利润分配表!Y13</f>
        <v>0</v>
      </c>
      <c r="Z14" s="399" t="s">
        <v>775</v>
      </c>
    </row>
    <row r="15" spans="1:26" s="699" customFormat="true" ht="12" customHeight="true">
      <c r="A15" s="413">
        <v>4</v>
      </c>
      <c r="B15" s="398" t="s">
        <v>748</v>
      </c>
      <c r="C15" s="376">
        <f>=SUM(D15:Y15)</f>
        <v>10813.3378669797</v>
      </c>
      <c r="D15" s="376">
        <f>=评估表5损益及利润分配表!D14</f>
        <v>0</v>
      </c>
      <c r="E15" s="376">
        <f>=评估表5损益及利润分配表!E14</f>
        <v>0</v>
      </c>
      <c r="F15" s="376">
        <f>=评估表5损益及利润分配表!F14</f>
        <v>418.712805591448</v>
      </c>
      <c r="G15" s="376">
        <f>=评估表5损益及利润分配表!G14</f>
        <v>823.598795496203</v>
      </c>
      <c r="H15" s="376">
        <f>=评估表5损益及利润分配表!H14</f>
        <v>795.531369792352</v>
      </c>
      <c r="I15" s="376">
        <f>=评估表5损益及利润分配表!I14</f>
        <v>769.700148902929</v>
      </c>
      <c r="J15" s="376">
        <f>=评估表5损益及利润分配表!J14</f>
        <v>740.162189077177</v>
      </c>
      <c r="K15" s="376">
        <f>=评估表5损益及利润分配表!K14</f>
        <v>712.937812356605</v>
      </c>
      <c r="L15" s="376">
        <f>=评估表5损益及利润分配表!L14</f>
        <v>682.357868126668</v>
      </c>
      <c r="M15" s="376">
        <f>=评估表5损益及利润分配表!M14</f>
        <v>650.512537396945</v>
      </c>
      <c r="N15" s="376">
        <f>=评估表5损益及利润分配表!N14</f>
        <v>618.314161880971</v>
      </c>
      <c r="O15" s="376">
        <f>=评估表5损益及利润分配表!O14</f>
        <v>588.695050793373</v>
      </c>
      <c r="P15" s="376">
        <f>=评估表5损益及利润分配表!P14</f>
        <v>561.66432094055</v>
      </c>
      <c r="Q15" s="376">
        <f>=评估表5损益及利润分配表!Q14</f>
        <v>532.416511382093</v>
      </c>
      <c r="R15" s="376">
        <f>=评估表5损益及利润分配表!R14</f>
        <v>364.841786905301</v>
      </c>
      <c r="S15" s="376">
        <f>=评估表5损益及利润分配表!S14</f>
        <v>364.841786905301</v>
      </c>
      <c r="T15" s="376">
        <f>=评估表5损益及利润分配表!T14</f>
        <v>364.841786905301</v>
      </c>
      <c r="U15" s="376">
        <f>=评估表5损益及利润分配表!U14</f>
        <v>364.841786905301</v>
      </c>
      <c r="V15" s="376">
        <f>=评估表5损益及利润分配表!V14</f>
        <v>364.841786905301</v>
      </c>
      <c r="W15" s="376">
        <f>=评估表5损益及利润分配表!W14</f>
        <v>364.841786905301</v>
      </c>
      <c r="X15" s="376">
        <f>=评估表5损益及利润分配表!X14</f>
        <v>364.841786905301</v>
      </c>
      <c r="Y15" s="376">
        <f>=评估表5损益及利润分配表!Y14</f>
        <v>364.841786905301</v>
      </c>
      <c r="Z15" s="399" t="s">
        <v>775</v>
      </c>
    </row>
    <row r="16" spans="1:26" s="699" customFormat="true" ht="12" customHeight="true">
      <c r="A16" s="413">
        <v>5</v>
      </c>
      <c r="B16" s="398" t="s">
        <v>749</v>
      </c>
      <c r="C16" s="376">
        <f>=SUM(D16:Y16)</f>
        <v>0</v>
      </c>
      <c r="D16" s="376">
        <f>=评估表5损益及利润分配表!D15</f>
        <v>0</v>
      </c>
      <c r="E16" s="376">
        <f>=评估表5损益及利润分配表!E15</f>
        <v>0</v>
      </c>
      <c r="F16" s="376">
        <f>=评估表5损益及利润分配表!F15</f>
        <v>0</v>
      </c>
      <c r="G16" s="376">
        <f>=评估表5损益及利润分配表!G15</f>
        <v>0</v>
      </c>
      <c r="H16" s="376">
        <f>=评估表5损益及利润分配表!H15</f>
        <v>0</v>
      </c>
      <c r="I16" s="376">
        <f>=评估表5损益及利润分配表!I15</f>
        <v>0</v>
      </c>
      <c r="J16" s="376">
        <f>=评估表5损益及利润分配表!J15</f>
        <v>0</v>
      </c>
      <c r="K16" s="376">
        <f>=评估表5损益及利润分配表!K15</f>
        <v>0</v>
      </c>
      <c r="L16" s="376">
        <f>=评估表5损益及利润分配表!L15</f>
        <v>0</v>
      </c>
      <c r="M16" s="376">
        <f>=评估表5损益及利润分配表!M15</f>
        <v>0</v>
      </c>
      <c r="N16" s="376">
        <f>=评估表5损益及利润分配表!N15</f>
        <v>0</v>
      </c>
      <c r="O16" s="376">
        <f>=评估表5损益及利润分配表!O15</f>
        <v>0</v>
      </c>
      <c r="P16" s="376">
        <f>=评估表5损益及利润分配表!P15</f>
        <v>0</v>
      </c>
      <c r="Q16" s="376">
        <f>=评估表5损益及利润分配表!Q15</f>
        <v>0</v>
      </c>
      <c r="R16" s="376">
        <f>=评估表5损益及利润分配表!R15</f>
        <v>0</v>
      </c>
      <c r="S16" s="376">
        <f>=评估表5损益及利润分配表!S15</f>
        <v>0</v>
      </c>
      <c r="T16" s="376">
        <f>=评估表5损益及利润分配表!T15</f>
        <v>0</v>
      </c>
      <c r="U16" s="376">
        <f>=评估表5损益及利润分配表!U15</f>
        <v>0</v>
      </c>
      <c r="V16" s="376">
        <f>=评估表5损益及利润分配表!V15</f>
        <v>0</v>
      </c>
      <c r="W16" s="376">
        <f>=评估表5损益及利润分配表!W15</f>
        <v>0</v>
      </c>
      <c r="X16" s="376">
        <f>=评估表5损益及利润分配表!X15</f>
        <v>0</v>
      </c>
      <c r="Y16" s="376">
        <f>=评估表5损益及利润分配表!Y15</f>
        <v>0</v>
      </c>
      <c r="Z16" s="399" t="s">
        <v>775</v>
      </c>
    </row>
    <row r="17" spans="1:26" s="699" customFormat="true" ht="12" customHeight="true">
      <c r="A17" s="413">
        <v>6</v>
      </c>
      <c r="B17" s="398" t="s">
        <v>776</v>
      </c>
      <c r="C17" s="376">
        <f>=SUM(D17:Y17)</f>
        <v>2727.31663037247</v>
      </c>
      <c r="D17" s="376">
        <f>=评估表5损益及利润分配表!D16</f>
        <v>0</v>
      </c>
      <c r="E17" s="376">
        <f>=评估表5损益及利润分配表!E16</f>
        <v>0</v>
      </c>
      <c r="F17" s="376">
        <f>=评估表5损益及利润分配表!F16</f>
        <v>196.732236174153</v>
      </c>
      <c r="G17" s="376">
        <f>=评估表5损益及利润分配表!G16</f>
        <v>405.071016146677</v>
      </c>
      <c r="H17" s="376">
        <f>=评估表5损益及利润分配表!H16</f>
        <v>435.011221311008</v>
      </c>
      <c r="I17" s="376">
        <f>=评估表5损益及利润分配表!I16</f>
        <v>462.715221660911</v>
      </c>
      <c r="J17" s="376">
        <f>=评估表5损益及利润分配表!J16</f>
        <v>494.125960947143</v>
      </c>
      <c r="K17" s="376">
        <f>=评估表5损益及利润分配表!K16</f>
        <v>521.468117128196</v>
      </c>
      <c r="L17" s="376">
        <f>=评估表5损益及利润分配表!L16</f>
        <v>550.410840818612</v>
      </c>
      <c r="M17" s="376">
        <f>=评估表5损益及利润分配表!M16</f>
        <v>564.25255639934</v>
      </c>
      <c r="N17" s="376">
        <f>=评估表5损益及利润分配表!N16</f>
        <v>463.169336805802</v>
      </c>
      <c r="O17" s="376">
        <f>=评估表5损益及利润分配表!O16</f>
        <v>491.358415439856</v>
      </c>
      <c r="P17" s="376">
        <f>=评估表5损益及利润分配表!P16</f>
        <v>516.959112839133</v>
      </c>
      <c r="Q17" s="376">
        <f>=评估表5损益及利润分配表!Q16</f>
        <v>544.776889944045</v>
      </c>
      <c r="R17" s="376">
        <f>=评估表5损益及利润分配表!R16</f>
        <v>-364.841786905301</v>
      </c>
      <c r="S17" s="376">
        <f>=评估表5损益及利润分配表!S16</f>
        <v>-364.841786905301</v>
      </c>
      <c r="T17" s="376">
        <f>=评估表5损益及利润分配表!T16</f>
        <v>-364.841786905301</v>
      </c>
      <c r="U17" s="376">
        <f>=评估表5损益及利润分配表!U16</f>
        <v>-364.841786905301</v>
      </c>
      <c r="V17" s="376">
        <f>=评估表5损益及利润分配表!V16</f>
        <v>-364.841786905301</v>
      </c>
      <c r="W17" s="376">
        <f>=评估表5损益及利润分配表!W16</f>
        <v>-364.841786905301</v>
      </c>
      <c r="X17" s="376">
        <f>=评估表5损益及利润分配表!X16</f>
        <v>-364.841786905301</v>
      </c>
      <c r="Y17" s="376">
        <f>=评估表5损益及利润分配表!Y16</f>
        <v>-364.841786905301</v>
      </c>
      <c r="Z17" s="399" t="s">
        <v>775</v>
      </c>
    </row>
    <row r="18" spans="1:26" s="699" customFormat="true" ht="12" customHeight="true">
      <c r="A18" s="413">
        <v>7</v>
      </c>
      <c r="B18" s="398" t="s">
        <v>751</v>
      </c>
      <c r="C18" s="376">
        <f>=SUM(D18:Y18)</f>
        <v>0</v>
      </c>
      <c r="D18" s="376">
        <f>=评估表5损益及利润分配表!D17</f>
        <v>0</v>
      </c>
      <c r="E18" s="376">
        <f>=评估表5损益及利润分配表!E17</f>
        <v>0</v>
      </c>
      <c r="F18" s="376">
        <f>=评估表5损益及利润分配表!F17</f>
        <v>0</v>
      </c>
      <c r="G18" s="376">
        <f>=评估表5损益及利润分配表!G17</f>
        <v>0</v>
      </c>
      <c r="H18" s="376">
        <f>=评估表5损益及利润分配表!H17</f>
        <v>0</v>
      </c>
      <c r="I18" s="376">
        <f>=评估表5损益及利润分配表!I17</f>
        <v>0</v>
      </c>
      <c r="J18" s="376">
        <f>=评估表5损益及利润分配表!J17</f>
        <v>0</v>
      </c>
      <c r="K18" s="376">
        <f>=评估表5损益及利润分配表!K17</f>
        <v>0</v>
      </c>
      <c r="L18" s="376">
        <f>=评估表5损益及利润分配表!L17</f>
        <v>0</v>
      </c>
      <c r="M18" s="376">
        <f>=评估表5损益及利润分配表!M17</f>
        <v>0</v>
      </c>
      <c r="N18" s="376">
        <f>=评估表5损益及利润分配表!N17</f>
        <v>0</v>
      </c>
      <c r="O18" s="376">
        <f>=评估表5损益及利润分配表!O17</f>
        <v>0</v>
      </c>
      <c r="P18" s="376">
        <f>=评估表5损益及利润分配表!P17</f>
        <v>0</v>
      </c>
      <c r="Q18" s="376">
        <f>=评估表5损益及利润分配表!Q17</f>
        <v>0</v>
      </c>
      <c r="R18" s="376">
        <f>=评估表5损益及利润分配表!R17</f>
        <v>0</v>
      </c>
      <c r="S18" s="376">
        <f>=评估表5损益及利润分配表!S17</f>
        <v>0</v>
      </c>
      <c r="T18" s="376">
        <f>=评估表5损益及利润分配表!T17</f>
        <v>0</v>
      </c>
      <c r="U18" s="376">
        <f>=评估表5损益及利润分配表!U17</f>
        <v>0</v>
      </c>
      <c r="V18" s="376">
        <f>=评估表5损益及利润分配表!V17</f>
        <v>0</v>
      </c>
      <c r="W18" s="376">
        <f>=评估表5损益及利润分配表!W17</f>
        <v>0</v>
      </c>
      <c r="X18" s="376">
        <f>=评估表5损益及利润分配表!X17</f>
        <v>0</v>
      </c>
      <c r="Y18" s="376">
        <f>=评估表5损益及利润分配表!Y17</f>
        <v>0</v>
      </c>
      <c r="Z18" s="399" t="s">
        <v>775</v>
      </c>
    </row>
    <row r="19" spans="1:26" s="699" customFormat="true" ht="12" customHeight="true">
      <c r="A19" s="413">
        <v>8</v>
      </c>
      <c r="B19" s="398" t="s">
        <v>777</v>
      </c>
      <c r="C19" s="376">
        <f>=SUM(D19:Y19)</f>
        <v>5646.05092561487</v>
      </c>
      <c r="D19" s="376">
        <f>=评估表5损益及利润分配表!D18</f>
        <v>0</v>
      </c>
      <c r="E19" s="376">
        <f>=评估表5损益及利润分配表!E18</f>
        <v>0</v>
      </c>
      <c r="F19" s="376">
        <f>=评估表5损益及利润分配表!F18</f>
        <v>196.732236174153</v>
      </c>
      <c r="G19" s="376">
        <f>=评估表5损益及利润分配表!G18</f>
        <v>405.071016146677</v>
      </c>
      <c r="H19" s="376">
        <f>=评估表5损益及利润分配表!H18</f>
        <v>435.011221311008</v>
      </c>
      <c r="I19" s="376">
        <f>=评估表5损益及利润分配表!I18</f>
        <v>462.715221660911</v>
      </c>
      <c r="J19" s="376">
        <f>=评估表5损益及利润分配表!J18</f>
        <v>494.125960947143</v>
      </c>
      <c r="K19" s="376">
        <f>=评估表5损益及利润分配表!K18</f>
        <v>521.468117128196</v>
      </c>
      <c r="L19" s="376">
        <f>=评估表5损益及利润分配表!L18</f>
        <v>550.410840818612</v>
      </c>
      <c r="M19" s="376">
        <f>=评估表5损益及利润分配表!M18</f>
        <v>564.25255639934</v>
      </c>
      <c r="N19" s="376">
        <f>=评估表5损益及利润分配表!N18</f>
        <v>463.169336805802</v>
      </c>
      <c r="O19" s="376">
        <f>=评估表5损益及利润分配表!O18</f>
        <v>491.358415439856</v>
      </c>
      <c r="P19" s="376">
        <f>=评估表5损益及利润分配表!P18</f>
        <v>516.959112839133</v>
      </c>
      <c r="Q19" s="376">
        <f>=评估表5损益及利润分配表!Q18</f>
        <v>544.776889944045</v>
      </c>
      <c r="R19" s="376">
        <f>=评估表5损益及利润分配表!R18</f>
        <v>0</v>
      </c>
      <c r="S19" s="376">
        <f>=评估表5损益及利润分配表!S18</f>
        <v>0</v>
      </c>
      <c r="T19" s="376">
        <f>=评估表5损益及利润分配表!T18</f>
        <v>0</v>
      </c>
      <c r="U19" s="376">
        <f>=评估表5损益及利润分配表!U18</f>
        <v>0</v>
      </c>
      <c r="V19" s="376">
        <f>=评估表5损益及利润分配表!V18</f>
        <v>0</v>
      </c>
      <c r="W19" s="376">
        <f>=评估表5损益及利润分配表!W18</f>
        <v>0</v>
      </c>
      <c r="X19" s="376">
        <f>=评估表5损益及利润分配表!X18</f>
        <v>0</v>
      </c>
      <c r="Y19" s="376">
        <f>=评估表5损益及利润分配表!Y18</f>
        <v>0</v>
      </c>
      <c r="Z19" s="399" t="s">
        <v>775</v>
      </c>
    </row>
    <row r="20" spans="1:26" s="699" customFormat="true" ht="12" customHeight="true">
      <c r="A20" s="413" t="s"/>
      <c r="B20" s="398" t="s">
        <v>753</v>
      </c>
      <c r="C20" s="401" t="s"/>
      <c r="D20" s="414">
        <f>=辅助表1评估项目基础数据表!$F$7</f>
        <v>0.25</v>
      </c>
      <c r="E20" s="414">
        <f>=辅助表1评估项目基础数据表!$F$7</f>
        <v>0.25</v>
      </c>
      <c r="F20" s="414">
        <f>=辅助表1评估项目基础数据表!$F$7</f>
        <v>0.25</v>
      </c>
      <c r="G20" s="414">
        <f>=辅助表1评估项目基础数据表!$F$7</f>
        <v>0.25</v>
      </c>
      <c r="H20" s="414">
        <f>=辅助表1评估项目基础数据表!$F$7</f>
        <v>0.25</v>
      </c>
      <c r="I20" s="414">
        <f>=辅助表1评估项目基础数据表!$F$7</f>
        <v>0.25</v>
      </c>
      <c r="J20" s="414">
        <f>=辅助表1评估项目基础数据表!$F$7</f>
        <v>0.25</v>
      </c>
      <c r="K20" s="414">
        <f>=辅助表1评估项目基础数据表!$F$7</f>
        <v>0.25</v>
      </c>
      <c r="L20" s="414">
        <f>=辅助表1评估项目基础数据表!$F$7</f>
        <v>0.25</v>
      </c>
      <c r="M20" s="414">
        <f>=辅助表1评估项目基础数据表!$F$7</f>
        <v>0.25</v>
      </c>
      <c r="N20" s="414">
        <f>=辅助表1评估项目基础数据表!$F$7</f>
        <v>0.25</v>
      </c>
      <c r="O20" s="414">
        <f>=辅助表1评估项目基础数据表!$F$7</f>
        <v>0.25</v>
      </c>
      <c r="P20" s="414">
        <f>=辅助表1评估项目基础数据表!$F$7</f>
        <v>0.25</v>
      </c>
      <c r="Q20" s="414">
        <f>=辅助表1评估项目基础数据表!$F$7</f>
        <v>0.25</v>
      </c>
      <c r="R20" s="414">
        <f>=辅助表1评估项目基础数据表!$F$7</f>
        <v>0.25</v>
      </c>
      <c r="S20" s="414">
        <f>=辅助表1评估项目基础数据表!$F$7</f>
        <v>0.25</v>
      </c>
      <c r="T20" s="414">
        <f>=辅助表1评估项目基础数据表!$F$7</f>
        <v>0.25</v>
      </c>
      <c r="U20" s="414">
        <f>=辅助表1评估项目基础数据表!$F$7</f>
        <v>0.25</v>
      </c>
      <c r="V20" s="414">
        <f>=辅助表1评估项目基础数据表!$F$7</f>
        <v>0.25</v>
      </c>
      <c r="W20" s="414">
        <f>=辅助表1评估项目基础数据表!$F$7</f>
        <v>0.25</v>
      </c>
      <c r="X20" s="414">
        <f>=辅助表1评估项目基础数据表!$F$7</f>
        <v>0.25</v>
      </c>
      <c r="Y20" s="414">
        <f>=辅助表1评估项目基础数据表!$F$7</f>
        <v>0.25</v>
      </c>
      <c r="Z20" s="399" t="s">
        <v>585</v>
      </c>
    </row>
    <row r="21" spans="1:26" s="699" customFormat="true" ht="12" customHeight="true">
      <c r="A21" s="413">
        <v>9</v>
      </c>
      <c r="B21" s="402" t="s">
        <v>754</v>
      </c>
      <c r="C21" s="376">
        <f>=SUM(D21:Y21)</f>
        <v>1411.51273140372</v>
      </c>
      <c r="D21" s="376">
        <f>=评估表5损益及利润分配表!D20</f>
        <v>0</v>
      </c>
      <c r="E21" s="376">
        <f>=评估表5损益及利润分配表!E20</f>
        <v>0</v>
      </c>
      <c r="F21" s="376">
        <f>=评估表5损益及利润分配表!F20</f>
        <v>49.1830590435381</v>
      </c>
      <c r="G21" s="376">
        <f>=评估表5损益及利润分配表!G20</f>
        <v>101.267754036669</v>
      </c>
      <c r="H21" s="376">
        <f>=评估表5损益及利润分配表!H20</f>
        <v>108.752805327752</v>
      </c>
      <c r="I21" s="376">
        <f>=评估表5损益及利润分配表!I20</f>
        <v>115.678805415228</v>
      </c>
      <c r="J21" s="376">
        <f>=评估表5损益及利润分配表!J20</f>
        <v>123.531490236786</v>
      </c>
      <c r="K21" s="376">
        <f>=评估表5损益及利润分配表!K20</f>
        <v>130.367029282049</v>
      </c>
      <c r="L21" s="376">
        <f>=评估表5损益及利润分配表!L20</f>
        <v>137.602710204653</v>
      </c>
      <c r="M21" s="376">
        <f>=评估表5损益及利润分配表!M20</f>
        <v>141.063139099835</v>
      </c>
      <c r="N21" s="376">
        <f>=评估表5损益及利润分配表!N20</f>
        <v>115.792334201451</v>
      </c>
      <c r="O21" s="376">
        <f>=评估表5损益及利润分配表!O20</f>
        <v>122.839603859964</v>
      </c>
      <c r="P21" s="376">
        <f>=评估表5损益及利润分配表!P20</f>
        <v>129.239778209783</v>
      </c>
      <c r="Q21" s="376">
        <f>=评估表5损益及利润分配表!Q20</f>
        <v>136.194222486011</v>
      </c>
      <c r="R21" s="376">
        <f>=评估表5损益及利润分配表!R20</f>
        <v>0</v>
      </c>
      <c r="S21" s="376">
        <f>=评估表5损益及利润分配表!S20</f>
        <v>0</v>
      </c>
      <c r="T21" s="376">
        <f>=评估表5损益及利润分配表!T20</f>
        <v>0</v>
      </c>
      <c r="U21" s="376">
        <f>=评估表5损益及利润分配表!U20</f>
        <v>0</v>
      </c>
      <c r="V21" s="376">
        <f>=评估表5损益及利润分配表!V20</f>
        <v>0</v>
      </c>
      <c r="W21" s="376">
        <f>=评估表5损益及利润分配表!W20</f>
        <v>0</v>
      </c>
      <c r="X21" s="376">
        <f>=评估表5损益及利润分配表!X20</f>
        <v>0</v>
      </c>
      <c r="Y21" s="376">
        <f>=评估表5损益及利润分配表!Y20</f>
        <v>0</v>
      </c>
      <c r="Z21" s="399" t="s">
        <v>775</v>
      </c>
    </row>
    <row r="22" spans="1:26" s="699" customFormat="true" ht="12" customHeight="true">
      <c r="A22" s="413">
        <v>10</v>
      </c>
      <c r="B22" s="402" t="s">
        <v>778</v>
      </c>
      <c r="C22" s="376">
        <f>=SUM(D22:Y22)</f>
        <v>1315.80389896875</v>
      </c>
      <c r="D22" s="376">
        <f>=评估表5损益及利润分配表!D21</f>
        <v>0</v>
      </c>
      <c r="E22" s="376">
        <f>=评估表5损益及利润分配表!E21</f>
        <v>0</v>
      </c>
      <c r="F22" s="376">
        <f>=评估表5损益及利润分配表!F21</f>
        <v>147.549177130614</v>
      </c>
      <c r="G22" s="376">
        <f>=评估表5损益及利润分配表!G21</f>
        <v>303.803262110008</v>
      </c>
      <c r="H22" s="376">
        <f>=评估表5损益及利润分配表!H21</f>
        <v>326.258415983256</v>
      </c>
      <c r="I22" s="376">
        <f>=评估表5损益及利润分配表!I21</f>
        <v>347.036416245683</v>
      </c>
      <c r="J22" s="376">
        <f>=评估表5损益及利润分配表!J21</f>
        <v>370.594470710357</v>
      </c>
      <c r="K22" s="376">
        <f>=评估表5损益及利润分配表!K21</f>
        <v>391.101087846147</v>
      </c>
      <c r="L22" s="376">
        <f>=评估表5损益及利润分配表!L21</f>
        <v>412.808130613959</v>
      </c>
      <c r="M22" s="376">
        <f>=评估表5损益及利润分配表!M21</f>
        <v>423.189417299505</v>
      </c>
      <c r="N22" s="376">
        <f>=评估表5损益及利润分配表!N21</f>
        <v>347.377002604352</v>
      </c>
      <c r="O22" s="376">
        <f>=评估表5损益及利润分配表!O21</f>
        <v>368.518811579892</v>
      </c>
      <c r="P22" s="376">
        <f>=评估表5损益及利润分配表!P21</f>
        <v>387.71933462935</v>
      </c>
      <c r="Q22" s="376">
        <f>=评估表5损益及利润分配表!Q21</f>
        <v>408.582667458034</v>
      </c>
      <c r="R22" s="376">
        <f>=评估表5损益及利润分配表!R21</f>
        <v>-364.841786905301</v>
      </c>
      <c r="S22" s="376">
        <f>=评估表5损益及利润分配表!S21</f>
        <v>-364.841786905301</v>
      </c>
      <c r="T22" s="376">
        <f>=评估表5损益及利润分配表!T21</f>
        <v>-364.841786905301</v>
      </c>
      <c r="U22" s="376">
        <f>=评估表5损益及利润分配表!U21</f>
        <v>-364.841786905301</v>
      </c>
      <c r="V22" s="376">
        <f>=评估表5损益及利润分配表!V21</f>
        <v>-364.841786905301</v>
      </c>
      <c r="W22" s="376">
        <f>=评估表5损益及利润分配表!W21</f>
        <v>-364.841786905301</v>
      </c>
      <c r="X22" s="376">
        <f>=评估表5损益及利润分配表!X21</f>
        <v>-364.841786905301</v>
      </c>
      <c r="Y22" s="376">
        <f>=评估表5损益及利润分配表!Y21</f>
        <v>-364.841786905301</v>
      </c>
      <c r="Z22" s="399" t="s">
        <v>775</v>
      </c>
    </row>
    <row r="23" spans="1:26" s="699" customFormat="true" ht="12" customHeight="true">
      <c r="A23" s="413">
        <v>11</v>
      </c>
      <c r="B23" s="402" t="s">
        <v>779</v>
      </c>
      <c r="C23" s="376">
        <f>=SUM(D23:Y23)</f>
        <v>7114.41484465337</v>
      </c>
      <c r="D23" s="376">
        <f>=评估表4总成本费用表!D25</f>
        <v>0</v>
      </c>
      <c r="E23" s="376">
        <f>=评估表4总成本费用表!E25</f>
        <v>0</v>
      </c>
      <c r="F23" s="376">
        <f>=评估表4总成本费用表!F25</f>
        <v>182.42089345265</v>
      </c>
      <c r="G23" s="376">
        <f>=评估表4总成本费用表!G25</f>
        <v>364.841786905301</v>
      </c>
      <c r="H23" s="376">
        <f>=评估表4总成本费用表!H25</f>
        <v>364.841786905301</v>
      </c>
      <c r="I23" s="376">
        <f>=评估表4总成本费用表!I25</f>
        <v>364.841786905301</v>
      </c>
      <c r="J23" s="376">
        <f>=评估表4总成本费用表!J25</f>
        <v>364.841786905301</v>
      </c>
      <c r="K23" s="376">
        <f>=评估表4总成本费用表!K25</f>
        <v>364.841786905301</v>
      </c>
      <c r="L23" s="376">
        <f>=评估表4总成本费用表!L25</f>
        <v>364.841786905301</v>
      </c>
      <c r="M23" s="376">
        <f>=评估表4总成本费用表!M25</f>
        <v>364.841786905301</v>
      </c>
      <c r="N23" s="376">
        <f>=评估表4总成本费用表!N25</f>
        <v>364.841786905301</v>
      </c>
      <c r="O23" s="376">
        <f>=评估表4总成本费用表!O25</f>
        <v>364.841786905301</v>
      </c>
      <c r="P23" s="376">
        <f>=评估表4总成本费用表!P25</f>
        <v>364.841786905301</v>
      </c>
      <c r="Q23" s="376">
        <f>=评估表4总成本费用表!Q25</f>
        <v>364.841786905301</v>
      </c>
      <c r="R23" s="376">
        <f>=评估表4总成本费用表!R25</f>
        <v>364.841786905301</v>
      </c>
      <c r="S23" s="376">
        <f>=评估表4总成本费用表!S25</f>
        <v>364.841786905301</v>
      </c>
      <c r="T23" s="376">
        <f>=评估表4总成本费用表!T25</f>
        <v>364.841786905301</v>
      </c>
      <c r="U23" s="376">
        <f>=评估表4总成本费用表!U25</f>
        <v>364.841786905301</v>
      </c>
      <c r="V23" s="376">
        <f>=评估表4总成本费用表!V25</f>
        <v>364.841786905301</v>
      </c>
      <c r="W23" s="376">
        <f>=评估表4总成本费用表!W25</f>
        <v>364.841786905301</v>
      </c>
      <c r="X23" s="376">
        <f>=评估表4总成本费用表!X25</f>
        <v>364.841786905301</v>
      </c>
      <c r="Y23" s="376">
        <f>=评估表4总成本费用表!Y25</f>
        <v>364.841786905301</v>
      </c>
      <c r="Z23" s="188" t="s">
        <v>644</v>
      </c>
    </row>
    <row r="24" spans="1:26" s="699" customFormat="true" ht="12" customHeight="true">
      <c r="A24" s="413">
        <v>12</v>
      </c>
      <c r="B24" s="402" t="s">
        <v>780</v>
      </c>
      <c r="C24" s="376">
        <f>=SUM(D24:Y24)</f>
        <v>0</v>
      </c>
      <c r="D24" s="376">
        <f>=评估表4总成本费用表!D42</f>
        <v>0</v>
      </c>
      <c r="E24" s="376">
        <f>=评估表4总成本费用表!E42</f>
        <v>0</v>
      </c>
      <c r="F24" s="376">
        <f>=评估表4总成本费用表!F42</f>
        <v>0</v>
      </c>
      <c r="G24" s="376">
        <f>=评估表4总成本费用表!G42</f>
        <v>0</v>
      </c>
      <c r="H24" s="376">
        <f>=评估表4总成本费用表!H42</f>
        <v>0</v>
      </c>
      <c r="I24" s="376">
        <f>=评估表4总成本费用表!I42</f>
        <v>0</v>
      </c>
      <c r="J24" s="376">
        <f>=评估表4总成本费用表!J42</f>
        <v>0</v>
      </c>
      <c r="K24" s="376">
        <f>=评估表4总成本费用表!K42</f>
        <v>0</v>
      </c>
      <c r="L24" s="376">
        <f>=评估表4总成本费用表!L42</f>
        <v>0</v>
      </c>
      <c r="M24" s="376">
        <f>=评估表4总成本费用表!M42</f>
        <v>0</v>
      </c>
      <c r="N24" s="376">
        <f>=评估表4总成本费用表!N42</f>
        <v>0</v>
      </c>
      <c r="O24" s="376">
        <f>=评估表4总成本费用表!O42</f>
        <v>0</v>
      </c>
      <c r="P24" s="376">
        <f>=评估表4总成本费用表!P42</f>
        <v>0</v>
      </c>
      <c r="Q24" s="376">
        <f>=评估表4总成本费用表!Q42</f>
        <v>0</v>
      </c>
      <c r="R24" s="376">
        <f>=评估表4总成本费用表!R42</f>
        <v>0</v>
      </c>
      <c r="S24" s="376">
        <f>=评估表4总成本费用表!S42</f>
        <v>0</v>
      </c>
      <c r="T24" s="376">
        <f>=评估表4总成本费用表!T42</f>
        <v>0</v>
      </c>
      <c r="U24" s="376">
        <f>=评估表4总成本费用表!U42</f>
        <v>0</v>
      </c>
      <c r="V24" s="376">
        <f>=评估表4总成本费用表!V42</f>
        <v>0</v>
      </c>
      <c r="W24" s="376">
        <f>=评估表4总成本费用表!W42</f>
        <v>0</v>
      </c>
      <c r="X24" s="376">
        <f>=评估表4总成本费用表!X42</f>
        <v>0</v>
      </c>
      <c r="Y24" s="376">
        <f>=评估表4总成本费用表!Y42</f>
        <v>0</v>
      </c>
      <c r="Z24" s="188" t="s">
        <v>644</v>
      </c>
    </row>
    <row r="25" spans="1:26" s="699" customFormat="true" ht="12" customHeight="true">
      <c r="A25" s="413">
        <v>13</v>
      </c>
      <c r="B25" s="402" t="s">
        <v>781</v>
      </c>
      <c r="C25" s="376">
        <f>=SUM(D25:Y25)</f>
        <v>0</v>
      </c>
      <c r="D25" s="376">
        <f>=评估表4总成本费用表!D45</f>
        <v>0</v>
      </c>
      <c r="E25" s="376">
        <f>=评估表4总成本费用表!E45</f>
        <v>0</v>
      </c>
      <c r="F25" s="376">
        <f>=评估表4总成本费用表!F45</f>
        <v>0</v>
      </c>
      <c r="G25" s="376">
        <f>=评估表4总成本费用表!G45</f>
        <v>0</v>
      </c>
      <c r="H25" s="376">
        <f>=评估表4总成本费用表!H45</f>
        <v>0</v>
      </c>
      <c r="I25" s="376">
        <f>=评估表4总成本费用表!I45</f>
        <v>0</v>
      </c>
      <c r="J25" s="376">
        <f>=评估表4总成本费用表!J45</f>
        <v>0</v>
      </c>
      <c r="K25" s="376">
        <f>=评估表4总成本费用表!K45</f>
        <v>0</v>
      </c>
      <c r="L25" s="376">
        <f>=评估表4总成本费用表!L45</f>
        <v>0</v>
      </c>
      <c r="M25" s="376">
        <f>=评估表4总成本费用表!M45</f>
        <v>0</v>
      </c>
      <c r="N25" s="376">
        <f>=评估表4总成本费用表!N45</f>
        <v>0</v>
      </c>
      <c r="O25" s="376">
        <f>=评估表4总成本费用表!O45</f>
        <v>0</v>
      </c>
      <c r="P25" s="376">
        <f>=评估表4总成本费用表!P45</f>
        <v>0</v>
      </c>
      <c r="Q25" s="376">
        <f>=评估表4总成本费用表!Q45</f>
        <v>0</v>
      </c>
      <c r="R25" s="376">
        <f>=评估表4总成本费用表!R45</f>
        <v>0</v>
      </c>
      <c r="S25" s="376">
        <f>=评估表4总成本费用表!S45</f>
        <v>0</v>
      </c>
      <c r="T25" s="376">
        <f>=评估表4总成本费用表!T45</f>
        <v>0</v>
      </c>
      <c r="U25" s="376">
        <f>=评估表4总成本费用表!U45</f>
        <v>0</v>
      </c>
      <c r="V25" s="376">
        <f>=评估表4总成本费用表!V45</f>
        <v>0</v>
      </c>
      <c r="W25" s="376">
        <f>=评估表4总成本费用表!W45</f>
        <v>0</v>
      </c>
      <c r="X25" s="376">
        <f>=评估表4总成本费用表!X45</f>
        <v>0</v>
      </c>
      <c r="Y25" s="376">
        <f>=评估表4总成本费用表!Y45</f>
        <v>0</v>
      </c>
      <c r="Z25" s="188" t="s">
        <v>644</v>
      </c>
    </row>
    <row r="26" spans="1:26" s="699" customFormat="true" ht="12" customHeight="true">
      <c r="A26" s="413">
        <v>14</v>
      </c>
      <c r="B26" s="402" t="s">
        <v>782</v>
      </c>
      <c r="C26" s="376">
        <f>=SUM(D26:Y26)</f>
        <v>0</v>
      </c>
      <c r="D26" s="376">
        <f>=评估表4总成本费用表!D50</f>
        <v>0</v>
      </c>
      <c r="E26" s="376">
        <f>=评估表4总成本费用表!E50</f>
        <v>0</v>
      </c>
      <c r="F26" s="376">
        <f>=评估表4总成本费用表!F50</f>
        <v>0</v>
      </c>
      <c r="G26" s="376">
        <f>=评估表4总成本费用表!G50</f>
        <v>0</v>
      </c>
      <c r="H26" s="376">
        <f>=评估表4总成本费用表!H50</f>
        <v>0</v>
      </c>
      <c r="I26" s="376">
        <f>=评估表4总成本费用表!I50</f>
        <v>0</v>
      </c>
      <c r="J26" s="376">
        <f>=评估表4总成本费用表!J50</f>
        <v>0</v>
      </c>
      <c r="K26" s="376">
        <f>=评估表4总成本费用表!K50</f>
        <v>0</v>
      </c>
      <c r="L26" s="376">
        <f>=评估表4总成本费用表!L50</f>
        <v>0</v>
      </c>
      <c r="M26" s="376">
        <f>=评估表4总成本费用表!M50</f>
        <v>0</v>
      </c>
      <c r="N26" s="376">
        <f>=评估表4总成本费用表!N50</f>
        <v>0</v>
      </c>
      <c r="O26" s="376">
        <f>=评估表4总成本费用表!O50</f>
        <v>0</v>
      </c>
      <c r="P26" s="376">
        <f>=评估表4总成本费用表!P50</f>
        <v>0</v>
      </c>
      <c r="Q26" s="376">
        <f>=评估表4总成本费用表!Q50</f>
        <v>0</v>
      </c>
      <c r="R26" s="376">
        <f>=评估表4总成本费用表!R50</f>
        <v>0</v>
      </c>
      <c r="S26" s="376">
        <f>=评估表4总成本费用表!S50</f>
        <v>0</v>
      </c>
      <c r="T26" s="376">
        <f>=评估表4总成本费用表!T50</f>
        <v>0</v>
      </c>
      <c r="U26" s="376">
        <f>=评估表4总成本费用表!U50</f>
        <v>0</v>
      </c>
      <c r="V26" s="376">
        <f>=评估表4总成本费用表!V50</f>
        <v>0</v>
      </c>
      <c r="W26" s="376">
        <f>=评估表4总成本费用表!W50</f>
        <v>0</v>
      </c>
      <c r="X26" s="376">
        <f>=评估表4总成本费用表!X50</f>
        <v>0</v>
      </c>
      <c r="Y26" s="376">
        <f>=评估表4总成本费用表!Y50</f>
        <v>0</v>
      </c>
      <c r="Z26" s="188" t="s">
        <v>644</v>
      </c>
    </row>
    <row r="27" spans="1:26" s="699" customFormat="true" ht="12" customHeight="true">
      <c r="A27" s="413">
        <v>15</v>
      </c>
      <c r="B27" s="402" t="s">
        <v>783</v>
      </c>
      <c r="C27" s="376">
        <f>=SUM(D27:Y27)</f>
        <v>1826.63975111125</v>
      </c>
      <c r="D27" s="376">
        <f>=评估表4总成本费用表!D51</f>
        <v>0</v>
      </c>
      <c r="E27" s="376">
        <f>=评估表4总成本费用表!E51</f>
        <v>0</v>
      </c>
      <c r="F27" s="376">
        <f>=评估表4总成本费用表!F51</f>
        <v>157.5</v>
      </c>
      <c r="G27" s="376">
        <f>=评估表4总成本费用表!G51</f>
        <v>301.09540127999</v>
      </c>
      <c r="H27" s="376">
        <f>=评估表4总成本费用表!H51</f>
        <v>272.990062874956</v>
      </c>
      <c r="I27" s="376">
        <f>=评估表4总成本费用表!I51</f>
        <v>244.120800135153</v>
      </c>
      <c r="J27" s="376">
        <f>=评估表4总成本费用表!J51</f>
        <v>214.544669826423</v>
      </c>
      <c r="K27" s="376">
        <f>=评估表4总成本费用表!K51</f>
        <v>184.167094504804</v>
      </c>
      <c r="L27" s="376">
        <f>=评估表4总成本费用表!L51</f>
        <v>153.091884068226</v>
      </c>
      <c r="M27" s="376">
        <f>=评估表4总成本费用表!M51</f>
        <v>121.278200036687</v>
      </c>
      <c r="N27" s="376">
        <f>=评估表4总成本费用表!N51</f>
        <v>89.1113446321059</v>
      </c>
      <c r="O27" s="376">
        <f>=评估表4总成本费用表!O51</f>
        <v>59.5236275754536</v>
      </c>
      <c r="P27" s="376">
        <f>=评估表4总成本费用表!P51</f>
        <v>29.2166661774535</v>
      </c>
      <c r="Q27" s="376">
        <f>=评估表4总成本费用表!Q51</f>
        <v>0</v>
      </c>
      <c r="R27" s="376">
        <f>=评估表4总成本费用表!R51</f>
        <v>0</v>
      </c>
      <c r="S27" s="376">
        <f>=评估表4总成本费用表!S51</f>
        <v>0</v>
      </c>
      <c r="T27" s="376">
        <f>=评估表4总成本费用表!T51</f>
        <v>0</v>
      </c>
      <c r="U27" s="376">
        <f>=评估表4总成本费用表!U51</f>
        <v>0</v>
      </c>
      <c r="V27" s="376">
        <f>=评估表4总成本费用表!V51</f>
        <v>0</v>
      </c>
      <c r="W27" s="376">
        <f>=评估表4总成本费用表!W51</f>
        <v>0</v>
      </c>
      <c r="X27" s="376">
        <f>=评估表4总成本费用表!X51</f>
        <v>0</v>
      </c>
      <c r="Y27" s="376">
        <f>=评估表4总成本费用表!Y51</f>
        <v>0</v>
      </c>
      <c r="Z27" s="188" t="s">
        <v>644</v>
      </c>
    </row>
    <row r="28" spans="1:26" s="699" customFormat="true" ht="12" customHeight="true">
      <c r="A28" s="413">
        <v>16</v>
      </c>
      <c r="B28" s="373" t="s">
        <v>784</v>
      </c>
      <c r="C28" s="376">
        <f>=SUM(D28:Y28)</f>
        <v>0</v>
      </c>
      <c r="D28" s="376">
        <f>=评估表4总成本费用表!D52</f>
        <v>0</v>
      </c>
      <c r="E28" s="376">
        <f>=评估表4总成本费用表!E52</f>
        <v>0</v>
      </c>
      <c r="F28" s="376">
        <f>=评估表4总成本费用表!F52</f>
        <v>0</v>
      </c>
      <c r="G28" s="376">
        <f>=评估表4总成本费用表!G52</f>
        <v>0</v>
      </c>
      <c r="H28" s="376">
        <f>=评估表4总成本费用表!H52</f>
        <v>0</v>
      </c>
      <c r="I28" s="376">
        <f>=评估表4总成本费用表!I52</f>
        <v>0</v>
      </c>
      <c r="J28" s="376">
        <f>=评估表4总成本费用表!J52</f>
        <v>0</v>
      </c>
      <c r="K28" s="376">
        <f>=评估表4总成本费用表!K52</f>
        <v>0</v>
      </c>
      <c r="L28" s="376">
        <f>=评估表4总成本费用表!L52</f>
        <v>0</v>
      </c>
      <c r="M28" s="376">
        <f>=评估表4总成本费用表!M52</f>
        <v>0</v>
      </c>
      <c r="N28" s="376">
        <f>=评估表4总成本费用表!N52</f>
        <v>0</v>
      </c>
      <c r="O28" s="376">
        <f>=评估表4总成本费用表!O52</f>
        <v>0</v>
      </c>
      <c r="P28" s="376">
        <f>=评估表4总成本费用表!P52</f>
        <v>0</v>
      </c>
      <c r="Q28" s="376">
        <f>=评估表4总成本费用表!Q52</f>
        <v>0</v>
      </c>
      <c r="R28" s="376">
        <f>=评估表4总成本费用表!R52</f>
        <v>0</v>
      </c>
      <c r="S28" s="376">
        <f>=评估表4总成本费用表!S52</f>
        <v>0</v>
      </c>
      <c r="T28" s="376">
        <f>=评估表4总成本费用表!T52</f>
        <v>0</v>
      </c>
      <c r="U28" s="376">
        <f>=评估表4总成本费用表!U52</f>
        <v>0</v>
      </c>
      <c r="V28" s="376">
        <f>=评估表4总成本费用表!V52</f>
        <v>0</v>
      </c>
      <c r="W28" s="376">
        <f>=评估表4总成本费用表!W52</f>
        <v>0</v>
      </c>
      <c r="X28" s="376">
        <f>=评估表4总成本费用表!X52</f>
        <v>0</v>
      </c>
      <c r="Y28" s="376">
        <f>=评估表4总成本费用表!Y52</f>
        <v>0</v>
      </c>
      <c r="Z28" s="188" t="s">
        <v>644</v>
      </c>
    </row>
    <row r="29" spans="1:26" s="699" customFormat="true" ht="12" customHeight="true">
      <c r="A29" s="413">
        <v>17</v>
      </c>
      <c r="B29" s="373" t="s">
        <v>785</v>
      </c>
      <c r="C29" s="376">
        <f>=SUM(D29:Y29)</f>
        <v>0</v>
      </c>
      <c r="D29" s="376">
        <f>=评估表4总成本费用表!D53</f>
        <v>0</v>
      </c>
      <c r="E29" s="376">
        <f>=评估表4总成本费用表!E53</f>
        <v>0</v>
      </c>
      <c r="F29" s="376">
        <f>=评估表4总成本费用表!F53</f>
        <v>0</v>
      </c>
      <c r="G29" s="376">
        <f>=评估表4总成本费用表!G53</f>
        <v>0</v>
      </c>
      <c r="H29" s="376">
        <f>=评估表4总成本费用表!H53</f>
        <v>0</v>
      </c>
      <c r="I29" s="376">
        <f>=评估表4总成本费用表!I53</f>
        <v>0</v>
      </c>
      <c r="J29" s="376">
        <f>=评估表4总成本费用表!J53</f>
        <v>0</v>
      </c>
      <c r="K29" s="376">
        <f>=评估表4总成本费用表!K53</f>
        <v>0</v>
      </c>
      <c r="L29" s="376">
        <f>=评估表4总成本费用表!L53</f>
        <v>0</v>
      </c>
      <c r="M29" s="376">
        <f>=评估表4总成本费用表!M53</f>
        <v>0</v>
      </c>
      <c r="N29" s="376">
        <f>=评估表4总成本费用表!N53</f>
        <v>0</v>
      </c>
      <c r="O29" s="376">
        <f>=评估表4总成本费用表!O53</f>
        <v>0</v>
      </c>
      <c r="P29" s="376">
        <f>=评估表4总成本费用表!P53</f>
        <v>0</v>
      </c>
      <c r="Q29" s="376">
        <f>=评估表4总成本费用表!Q53</f>
        <v>0</v>
      </c>
      <c r="R29" s="376">
        <f>=评估表4总成本费用表!R53</f>
        <v>0</v>
      </c>
      <c r="S29" s="376">
        <f>=评估表4总成本费用表!S53</f>
        <v>0</v>
      </c>
      <c r="T29" s="376">
        <f>=评估表4总成本费用表!T53</f>
        <v>0</v>
      </c>
      <c r="U29" s="376">
        <f>=评估表4总成本费用表!U53</f>
        <v>0</v>
      </c>
      <c r="V29" s="376">
        <f>=评估表4总成本费用表!V53</f>
        <v>0</v>
      </c>
      <c r="W29" s="376">
        <f>=评估表4总成本费用表!W53</f>
        <v>0</v>
      </c>
      <c r="X29" s="376">
        <f>=评估表4总成本费用表!X53</f>
        <v>0</v>
      </c>
      <c r="Y29" s="376">
        <f>=评估表4总成本费用表!Y53</f>
        <v>0</v>
      </c>
      <c r="Z29" s="188" t="s">
        <v>644</v>
      </c>
    </row>
    <row r="30" spans="1:25" s="699" customFormat="true" ht="12" customHeight="true">
      <c r="A30" s="413" t="s">
        <v>460</v>
      </c>
      <c r="B30" s="415" t="s">
        <v>786</v>
      </c>
      <c r="C30" s="376">
        <f>=SUM(D30:Y30)</f>
        <v>8826.63975111125</v>
      </c>
      <c r="D30" s="376">
        <f>=SUM(D31:D32)</f>
        <v>0</v>
      </c>
      <c r="E30" s="376">
        <f>=SUM(E31:E32)</f>
        <v>0</v>
      </c>
      <c r="F30" s="376">
        <f>=SUM(F31:F32)</f>
        <v>466.49108266688</v>
      </c>
      <c r="G30" s="376">
        <f>=SUM(G31:G32)</f>
        <v>925.658476947427</v>
      </c>
      <c r="H30" s="376">
        <f>=SUM(H31:H32)</f>
        <v>914.529234870568</v>
      </c>
      <c r="I30" s="376">
        <f>=SUM(I31:I32)</f>
        <v>901.36814032916</v>
      </c>
      <c r="J30" s="376">
        <f>=SUM(J31:J32)</f>
        <v>889.601899195724</v>
      </c>
      <c r="K30" s="376">
        <f>=SUM(K31:K32)</f>
        <v>874.727326428762</v>
      </c>
      <c r="L30" s="376">
        <f>=SUM(L31:L32)</f>
        <v>860.06264032465</v>
      </c>
      <c r="M30" s="376">
        <f>=SUM(M31:M32)</f>
        <v>836.097209027384</v>
      </c>
      <c r="N30" s="376">
        <f>=SUM(N31:N32)</f>
        <v>746.616168113267</v>
      </c>
      <c r="O30" s="376">
        <f>=SUM(O31:O32)</f>
        <v>733.011658642123</v>
      </c>
      <c r="P30" s="376">
        <f>=SUM(P31:P32)</f>
        <v>678.47591456531</v>
      </c>
      <c r="Q30" s="376">
        <f>=SUM(Q31:Q32)</f>
        <v>0</v>
      </c>
      <c r="R30" s="376">
        <f>=SUM(R31:R32)</f>
        <v>0</v>
      </c>
      <c r="S30" s="376">
        <f>=SUM(S31:S32)</f>
        <v>0</v>
      </c>
      <c r="T30" s="376">
        <f>=SUM(T31:T32)</f>
        <v>0</v>
      </c>
      <c r="U30" s="376">
        <f>=SUM(U31:U32)</f>
        <v>0</v>
      </c>
      <c r="V30" s="376">
        <f>=SUM(V31:V32)</f>
        <v>0</v>
      </c>
      <c r="W30" s="376">
        <f>=SUM(W31:W32)</f>
        <v>0</v>
      </c>
      <c r="X30" s="376">
        <f>=SUM(X31:X32)</f>
        <v>0</v>
      </c>
      <c r="Y30" s="376">
        <f>=SUM(Y31:Y32)</f>
        <v>0</v>
      </c>
    </row>
    <row r="31" spans="1:26" s="699" customFormat="true" ht="12" customHeight="true">
      <c r="A31" s="413">
        <v>1</v>
      </c>
      <c r="B31" s="402" t="s">
        <v>787</v>
      </c>
      <c r="C31" s="376">
        <f>=SUM(D31:Y31)</f>
        <v>7000</v>
      </c>
      <c r="D31" s="376">
        <f>=评估表6项目贷款偿还期计算表!E11</f>
        <v>0</v>
      </c>
      <c r="E31" s="376">
        <f>=评估表6项目贷款偿还期计算表!F11</f>
        <v>0</v>
      </c>
      <c r="F31" s="376">
        <f>=评估表6项目贷款偿还期计算表!G11</f>
        <v>308.99108266688</v>
      </c>
      <c r="G31" s="376">
        <f>=评估表6项目贷款偿还期计算表!H11</f>
        <v>624.563075667437</v>
      </c>
      <c r="H31" s="376">
        <f>=评估表6项目贷款偿还期计算表!I11</f>
        <v>641.539171995612</v>
      </c>
      <c r="I31" s="376">
        <f>=评估表6项目贷款偿还期计算表!J11</f>
        <v>657.247340194007</v>
      </c>
      <c r="J31" s="376">
        <f>=评估表6项目贷款偿还期计算表!K11</f>
        <v>675.057229369301</v>
      </c>
      <c r="K31" s="376">
        <f>=评估表6项目贷款偿还期计算表!L11</f>
        <v>690.560231923958</v>
      </c>
      <c r="L31" s="376">
        <f>=评估表6项目贷款偿还期计算表!M11</f>
        <v>706.970756256424</v>
      </c>
      <c r="M31" s="376">
        <f>=评估表6项目贷款偿还期计算表!N11</f>
        <v>714.819008990697</v>
      </c>
      <c r="N31" s="376">
        <f>=评估表6项目贷款偿还期计算表!O11</f>
        <v>657.504823481161</v>
      </c>
      <c r="O31" s="376">
        <f>=评估表6项目贷款偿还期计算表!P11</f>
        <v>673.488031066669</v>
      </c>
      <c r="P31" s="376">
        <f>=评估表6项目贷款偿还期计算表!Q11</f>
        <v>649.259248387856</v>
      </c>
      <c r="Q31" s="376">
        <f>=评估表6项目贷款偿还期计算表!R11</f>
        <v>0</v>
      </c>
      <c r="R31" s="376">
        <f>=评估表6项目贷款偿还期计算表!S11</f>
        <v>0</v>
      </c>
      <c r="S31" s="376">
        <f>=评估表6项目贷款偿还期计算表!T11</f>
        <v>0</v>
      </c>
      <c r="T31" s="376">
        <f>=评估表6项目贷款偿还期计算表!U11</f>
        <v>0</v>
      </c>
      <c r="U31" s="376">
        <f>=评估表6项目贷款偿还期计算表!V11</f>
        <v>0</v>
      </c>
      <c r="V31" s="376">
        <f>=评估表6项目贷款偿还期计算表!W11</f>
        <v>0</v>
      </c>
      <c r="W31" s="376">
        <f>=评估表6项目贷款偿还期计算表!X11</f>
        <v>0</v>
      </c>
      <c r="X31" s="376">
        <f>=评估表6项目贷款偿还期计算表!Y11</f>
        <v>0</v>
      </c>
      <c r="Y31" s="376">
        <f>=评估表6项目贷款偿还期计算表!Z11</f>
        <v>0</v>
      </c>
      <c r="Z31" s="399" t="s">
        <v>590</v>
      </c>
    </row>
    <row r="32" spans="1:25" s="703" customFormat="true" ht="12" customHeight="true">
      <c r="A32" s="416">
        <v>2</v>
      </c>
      <c r="B32" s="417" t="s">
        <v>788</v>
      </c>
      <c r="C32" s="376">
        <f>=SUM(D32:Y32)</f>
        <v>1826.63975111125</v>
      </c>
      <c r="D32" s="418">
        <f>=SUM(D33:D36)</f>
        <v>0</v>
      </c>
      <c r="E32" s="418">
        <f>=SUM(E33:E36)</f>
        <v>0</v>
      </c>
      <c r="F32" s="418">
        <f>=SUM(F33:F36)</f>
        <v>157.5</v>
      </c>
      <c r="G32" s="418">
        <f>=SUM(G33:G36)</f>
        <v>301.09540127999</v>
      </c>
      <c r="H32" s="418">
        <f>=SUM(H33:H36)</f>
        <v>272.990062874956</v>
      </c>
      <c r="I32" s="418">
        <f>=SUM(I33:I36)</f>
        <v>244.120800135153</v>
      </c>
      <c r="J32" s="418">
        <f>=SUM(J33:J36)</f>
        <v>214.544669826423</v>
      </c>
      <c r="K32" s="418">
        <f>=SUM(K33:K36)</f>
        <v>184.167094504804</v>
      </c>
      <c r="L32" s="418">
        <f>=SUM(L33:L36)</f>
        <v>153.091884068226</v>
      </c>
      <c r="M32" s="418">
        <f>=SUM(M33:M36)</f>
        <v>121.278200036687</v>
      </c>
      <c r="N32" s="418">
        <f>=SUM(N33:N36)</f>
        <v>89.1113446321059</v>
      </c>
      <c r="O32" s="418">
        <f>=SUM(O33:O36)</f>
        <v>59.5236275754536</v>
      </c>
      <c r="P32" s="418">
        <f>=SUM(P33:P36)</f>
        <v>29.2166661774535</v>
      </c>
      <c r="Q32" s="418">
        <f>=SUM(Q33:Q36)</f>
        <v>0</v>
      </c>
      <c r="R32" s="418">
        <f>=SUM(R33:R36)</f>
        <v>0</v>
      </c>
      <c r="S32" s="418">
        <f>=SUM(S33:S36)</f>
        <v>0</v>
      </c>
      <c r="T32" s="418">
        <f>=SUM(T33:T36)</f>
        <v>0</v>
      </c>
      <c r="U32" s="418">
        <f>=SUM(U33:U36)</f>
        <v>0</v>
      </c>
      <c r="V32" s="418">
        <f>=SUM(V33:V36)</f>
        <v>0</v>
      </c>
      <c r="W32" s="418">
        <f>=SUM(W33:W36)</f>
        <v>0</v>
      </c>
      <c r="X32" s="418">
        <f>=SUM(X33:X36)</f>
        <v>0</v>
      </c>
      <c r="Y32" s="418">
        <f>=SUM(Y33:Y36)</f>
        <v>0</v>
      </c>
    </row>
    <row r="33" spans="1:26" s="699" customFormat="true" ht="12" customHeight="true">
      <c r="A33" s="416">
        <v>3</v>
      </c>
      <c r="B33" s="419" t="s">
        <v>782</v>
      </c>
      <c r="C33" s="376">
        <f>=SUM(D33:Y33)</f>
        <v>0</v>
      </c>
      <c r="D33" s="420">
        <f>=评估表4总成本费用表!D50</f>
        <v>0</v>
      </c>
      <c r="E33" s="420">
        <f>=评估表4总成本费用表!E50</f>
        <v>0</v>
      </c>
      <c r="F33" s="420">
        <f>=评估表4总成本费用表!F50</f>
        <v>0</v>
      </c>
      <c r="G33" s="420">
        <f>=评估表4总成本费用表!G50</f>
        <v>0</v>
      </c>
      <c r="H33" s="420">
        <f>=评估表4总成本费用表!H50</f>
        <v>0</v>
      </c>
      <c r="I33" s="420">
        <f>=评估表4总成本费用表!I50</f>
        <v>0</v>
      </c>
      <c r="J33" s="420">
        <f>=评估表4总成本费用表!J50</f>
        <v>0</v>
      </c>
      <c r="K33" s="420">
        <f>=评估表4总成本费用表!K50</f>
        <v>0</v>
      </c>
      <c r="L33" s="420">
        <f>=评估表4总成本费用表!L50</f>
        <v>0</v>
      </c>
      <c r="M33" s="420">
        <f>=评估表4总成本费用表!M50</f>
        <v>0</v>
      </c>
      <c r="N33" s="420">
        <f>=评估表4总成本费用表!N50</f>
        <v>0</v>
      </c>
      <c r="O33" s="420">
        <f>=评估表4总成本费用表!O50</f>
        <v>0</v>
      </c>
      <c r="P33" s="420">
        <f>=评估表4总成本费用表!P50</f>
        <v>0</v>
      </c>
      <c r="Q33" s="420">
        <f>=评估表4总成本费用表!Q50</f>
        <v>0</v>
      </c>
      <c r="R33" s="420">
        <f>=评估表4总成本费用表!R50</f>
        <v>0</v>
      </c>
      <c r="S33" s="420">
        <f>=评估表4总成本费用表!S50</f>
        <v>0</v>
      </c>
      <c r="T33" s="420">
        <f>=评估表4总成本费用表!T50</f>
        <v>0</v>
      </c>
      <c r="U33" s="420">
        <f>=评估表4总成本费用表!U50</f>
        <v>0</v>
      </c>
      <c r="V33" s="420">
        <f>=评估表4总成本费用表!V50</f>
        <v>0</v>
      </c>
      <c r="W33" s="420">
        <f>=评估表4总成本费用表!W50</f>
        <v>0</v>
      </c>
      <c r="X33" s="420">
        <f>=评估表4总成本费用表!X50</f>
        <v>0</v>
      </c>
      <c r="Y33" s="420">
        <f>=评估表4总成本费用表!Y50</f>
        <v>0</v>
      </c>
      <c r="Z33" s="188" t="s">
        <v>644</v>
      </c>
    </row>
    <row r="34" spans="1:26" s="699" customFormat="true" ht="12" customHeight="true">
      <c r="A34" s="416">
        <v>4</v>
      </c>
      <c r="B34" s="419" t="s">
        <v>783</v>
      </c>
      <c r="C34" s="376">
        <f>=SUM(D34:Y34)</f>
        <v>1826.63975111125</v>
      </c>
      <c r="D34" s="418">
        <f>=评估表4总成本费用表!D51</f>
        <v>0</v>
      </c>
      <c r="E34" s="418">
        <f>=评估表4总成本费用表!E51</f>
        <v>0</v>
      </c>
      <c r="F34" s="418">
        <f>=评估表4总成本费用表!F51</f>
        <v>157.5</v>
      </c>
      <c r="G34" s="418">
        <f>=评估表4总成本费用表!G51</f>
        <v>301.09540127999</v>
      </c>
      <c r="H34" s="418">
        <f>=评估表4总成本费用表!H51</f>
        <v>272.990062874956</v>
      </c>
      <c r="I34" s="418">
        <f>=评估表4总成本费用表!I51</f>
        <v>244.120800135153</v>
      </c>
      <c r="J34" s="418">
        <f>=评估表4总成本费用表!J51</f>
        <v>214.544669826423</v>
      </c>
      <c r="K34" s="418">
        <f>=评估表4总成本费用表!K51</f>
        <v>184.167094504804</v>
      </c>
      <c r="L34" s="418">
        <f>=评估表4总成本费用表!L51</f>
        <v>153.091884068226</v>
      </c>
      <c r="M34" s="418">
        <f>=评估表4总成本费用表!M51</f>
        <v>121.278200036687</v>
      </c>
      <c r="N34" s="418">
        <f>=评估表4总成本费用表!N51</f>
        <v>89.1113446321059</v>
      </c>
      <c r="O34" s="418">
        <f>=评估表4总成本费用表!O51</f>
        <v>59.5236275754536</v>
      </c>
      <c r="P34" s="418">
        <f>=评估表4总成本费用表!P51</f>
        <v>29.2166661774535</v>
      </c>
      <c r="Q34" s="418">
        <f>=评估表4总成本费用表!Q51</f>
        <v>0</v>
      </c>
      <c r="R34" s="418">
        <f>=评估表4总成本费用表!R51</f>
        <v>0</v>
      </c>
      <c r="S34" s="418">
        <f>=评估表4总成本费用表!S51</f>
        <v>0</v>
      </c>
      <c r="T34" s="418">
        <f>=评估表4总成本费用表!T51</f>
        <v>0</v>
      </c>
      <c r="U34" s="418">
        <f>=评估表4总成本费用表!U51</f>
        <v>0</v>
      </c>
      <c r="V34" s="418">
        <f>=评估表4总成本费用表!V51</f>
        <v>0</v>
      </c>
      <c r="W34" s="418">
        <f>=评估表4总成本费用表!W51</f>
        <v>0</v>
      </c>
      <c r="X34" s="418">
        <f>=评估表4总成本费用表!X51</f>
        <v>0</v>
      </c>
      <c r="Y34" s="418">
        <f>=评估表4总成本费用表!Y51</f>
        <v>0</v>
      </c>
      <c r="Z34" s="188" t="s">
        <v>644</v>
      </c>
    </row>
    <row r="35" spans="1:26" s="699" customFormat="true" ht="12" customHeight="true">
      <c r="A35" s="421">
        <v>5</v>
      </c>
      <c r="B35" s="373" t="s">
        <v>784</v>
      </c>
      <c r="C35" s="376">
        <f>=SUM(D35:Y35)</f>
        <v>0</v>
      </c>
      <c r="D35" s="420">
        <f>=评估表4总成本费用表!D52</f>
        <v>0</v>
      </c>
      <c r="E35" s="420">
        <f>=评估表4总成本费用表!E52</f>
        <v>0</v>
      </c>
      <c r="F35" s="420">
        <f>=评估表4总成本费用表!F52</f>
        <v>0</v>
      </c>
      <c r="G35" s="420">
        <f>=评估表4总成本费用表!G52</f>
        <v>0</v>
      </c>
      <c r="H35" s="420">
        <f>=评估表4总成本费用表!H52</f>
        <v>0</v>
      </c>
      <c r="I35" s="420">
        <f>=评估表4总成本费用表!I52</f>
        <v>0</v>
      </c>
      <c r="J35" s="420">
        <f>=评估表4总成本费用表!J52</f>
        <v>0</v>
      </c>
      <c r="K35" s="420">
        <f>=评估表4总成本费用表!K52</f>
        <v>0</v>
      </c>
      <c r="L35" s="420">
        <f>=评估表4总成本费用表!L52</f>
        <v>0</v>
      </c>
      <c r="M35" s="420">
        <f>=评估表4总成本费用表!M52</f>
        <v>0</v>
      </c>
      <c r="N35" s="420">
        <f>=评估表4总成本费用表!N52</f>
        <v>0</v>
      </c>
      <c r="O35" s="420">
        <f>=评估表4总成本费用表!O52</f>
        <v>0</v>
      </c>
      <c r="P35" s="420">
        <f>=评估表4总成本费用表!P52</f>
        <v>0</v>
      </c>
      <c r="Q35" s="420">
        <f>=评估表4总成本费用表!Q52</f>
        <v>0</v>
      </c>
      <c r="R35" s="420">
        <f>=评估表4总成本费用表!R52</f>
        <v>0</v>
      </c>
      <c r="S35" s="420">
        <f>=评估表4总成本费用表!S52</f>
        <v>0</v>
      </c>
      <c r="T35" s="420">
        <f>=评估表4总成本费用表!T52</f>
        <v>0</v>
      </c>
      <c r="U35" s="420">
        <f>=评估表4总成本费用表!U52</f>
        <v>0</v>
      </c>
      <c r="V35" s="420">
        <f>=评估表4总成本费用表!V52</f>
        <v>0</v>
      </c>
      <c r="W35" s="420">
        <f>=评估表4总成本费用表!W52</f>
        <v>0</v>
      </c>
      <c r="X35" s="420">
        <f>=评估表4总成本费用表!X52</f>
        <v>0</v>
      </c>
      <c r="Y35" s="420">
        <f>=评估表4总成本费用表!Y52</f>
        <v>0</v>
      </c>
      <c r="Z35" s="188" t="s">
        <v>644</v>
      </c>
    </row>
    <row r="36" spans="1:26" s="699" customFormat="true" ht="12" customHeight="true">
      <c r="A36" s="421">
        <v>6</v>
      </c>
      <c r="B36" s="373" t="s">
        <v>785</v>
      </c>
      <c r="C36" s="376">
        <f>=SUM(D36:Y36)</f>
        <v>0</v>
      </c>
      <c r="D36" s="420">
        <f>=评估表4总成本费用表!D53</f>
        <v>0</v>
      </c>
      <c r="E36" s="420">
        <f>=评估表4总成本费用表!E53</f>
        <v>0</v>
      </c>
      <c r="F36" s="420">
        <f>=评估表4总成本费用表!F53</f>
        <v>0</v>
      </c>
      <c r="G36" s="420">
        <f>=评估表4总成本费用表!G53</f>
        <v>0</v>
      </c>
      <c r="H36" s="420">
        <f>=评估表4总成本费用表!H53</f>
        <v>0</v>
      </c>
      <c r="I36" s="420">
        <f>=评估表4总成本费用表!I53</f>
        <v>0</v>
      </c>
      <c r="J36" s="420">
        <f>=评估表4总成本费用表!J53</f>
        <v>0</v>
      </c>
      <c r="K36" s="420">
        <f>=评估表4总成本费用表!K53</f>
        <v>0</v>
      </c>
      <c r="L36" s="420">
        <f>=评估表4总成本费用表!L53</f>
        <v>0</v>
      </c>
      <c r="M36" s="420">
        <f>=评估表4总成本费用表!M53</f>
        <v>0</v>
      </c>
      <c r="N36" s="420">
        <f>=评估表4总成本费用表!N53</f>
        <v>0</v>
      </c>
      <c r="O36" s="420">
        <f>=评估表4总成本费用表!O53</f>
        <v>0</v>
      </c>
      <c r="P36" s="420">
        <f>=评估表4总成本费用表!P53</f>
        <v>0</v>
      </c>
      <c r="Q36" s="420">
        <f>=评估表4总成本费用表!Q53</f>
        <v>0</v>
      </c>
      <c r="R36" s="420">
        <f>=评估表4总成本费用表!R53</f>
        <v>0</v>
      </c>
      <c r="S36" s="420">
        <f>=评估表4总成本费用表!S53</f>
        <v>0</v>
      </c>
      <c r="T36" s="420">
        <f>=评估表4总成本费用表!T53</f>
        <v>0</v>
      </c>
      <c r="U36" s="420">
        <f>=评估表4总成本费用表!U53</f>
        <v>0</v>
      </c>
      <c r="V36" s="420">
        <f>=评估表4总成本费用表!V53</f>
        <v>0</v>
      </c>
      <c r="W36" s="420">
        <f>=评估表4总成本费用表!W53</f>
        <v>0</v>
      </c>
      <c r="X36" s="420">
        <f>=评估表4总成本费用表!X53</f>
        <v>0</v>
      </c>
      <c r="Y36" s="420">
        <f>=评估表4总成本费用表!Y53</f>
        <v>0</v>
      </c>
      <c r="Z36" s="188" t="s">
        <v>644</v>
      </c>
    </row>
    <row r="37" spans="1:26" s="699" customFormat="true" ht="12" customHeight="true">
      <c r="A37" s="416" t="s">
        <v>469</v>
      </c>
      <c r="B37" s="422" t="s">
        <v>789</v>
      </c>
      <c r="C37" s="423" t="s"/>
      <c r="D37" s="424" t="s">
        <f>=IF(OR(D12&lt;=0,D30=0)," ",D11/D30)</f>
        <v>51</v>
      </c>
      <c r="E37" s="424" t="s">
        <f>=IF(OR(E12&lt;=0,E30=0)," ",E11/E30)</f>
        <v>51</v>
      </c>
      <c r="F37" s="424">
        <f>=IF(OR(F12&lt;=0,F30=0)," ",F11/F30)</f>
        <v>1.0449718948462</v>
      </c>
      <c r="G37" s="424">
        <f>=IF(OR(G12&lt;=0,G30=0)," ",G11/G30)</f>
        <v>1.04762228667018</v>
      </c>
      <c r="H37" s="424">
        <f>=IF(OR(H12&lt;=0,H30=0)," ",H11/H30)</f>
        <v>1.05419294321407</v>
      </c>
      <c r="I37" s="424">
        <f>=IF(OR(I12&lt;=0,I30=0)," ",I11/I30)</f>
        <v>1.06060882397843</v>
      </c>
      <c r="J37" s="424">
        <f>=IF(OR(J12&lt;=0,J30=0)," ",J11/J30)</f>
        <v>1.06787196419089</v>
      </c>
      <c r="K37" s="424">
        <f>=IF(OR(K12&lt;=0,K30=0)," ",K11/K30)</f>
        <v>1.07474631333907</v>
      </c>
      <c r="L37" s="424">
        <f>=IF(OR(L12&lt;=0,L30=0)," ",L11/L30)</f>
        <v>1.08217908550958</v>
      </c>
      <c r="M37" s="424">
        <f>=IF(OR(M12&lt;=0,M30=0)," ",M11/M30)</f>
        <v>1.08756421433254</v>
      </c>
      <c r="N37" s="424">
        <f>=IF(OR(N12&lt;=0,N30=0)," ",N11/N30)</f>
        <v>1.07328258932131</v>
      </c>
      <c r="O37" s="424">
        <f>=IF(OR(O12&lt;=0,O30=0)," ",O11/O30)</f>
        <v>1.08168023893295</v>
      </c>
      <c r="P37" s="424">
        <f>=IF(OR(P12&lt;=0,P30=0)," ",P11/P30)</f>
        <v>1.15225577051321</v>
      </c>
      <c r="Q37" s="424" t="s">
        <f>=IF(OR(Q12&lt;=0,Q30=0)," ",Q11/Q30)</f>
        <v>51</v>
      </c>
      <c r="R37" s="424" t="s">
        <f>=IF(OR(R12&lt;=0,R30=0)," ",R11/R30)</f>
        <v>51</v>
      </c>
      <c r="S37" s="424" t="s">
        <f>=IF(OR(S12&lt;=0,S30=0)," ",S11/S30)</f>
        <v>51</v>
      </c>
      <c r="T37" s="424" t="s">
        <f>=IF(OR(T12&lt;=0,T30=0)," ",T11/T30)</f>
        <v>51</v>
      </c>
      <c r="U37" s="424" t="s">
        <f>=IF(OR(U12&lt;=0,U30=0)," ",U11/U30)</f>
        <v>51</v>
      </c>
      <c r="V37" s="424" t="s">
        <f>=IF(OR(V12&lt;=0,V30=0)," ",V11/V30)</f>
        <v>51</v>
      </c>
      <c r="W37" s="424" t="s">
        <f>=IF(OR(W12&lt;=0,W30=0)," ",W11/W30)</f>
        <v>51</v>
      </c>
      <c r="X37" s="424" t="s">
        <f>=IF(OR(X12&lt;=0,X30=0)," ",X11/X30)</f>
        <v>51</v>
      </c>
      <c r="Y37" s="424" t="s">
        <f>=IF(OR(Y12&lt;=0,Y30=0)," ",Y11/Y30)</f>
        <v>51</v>
      </c>
      <c r="Z37" s="188" t="s">
        <v>790</v>
      </c>
    </row>
    <row r="38" spans="1:26" s="699" customFormat="true" ht="12" customHeight="true">
      <c r="A38" s="416" t="s"/>
      <c r="B38" s="425" t="s">
        <v>791</v>
      </c>
      <c r="C38" s="426">
        <f>=MIN(D37:Y37)</f>
        <v>1.0449718948462</v>
      </c>
      <c r="D38" s="423" t="s"/>
      <c r="E38" s="423" t="s"/>
      <c r="F38" s="423" t="s"/>
      <c r="G38" s="423" t="s"/>
      <c r="H38" s="423" t="s"/>
      <c r="I38" s="423" t="s"/>
      <c r="J38" s="423" t="s"/>
      <c r="K38" s="423" t="s"/>
      <c r="L38" s="423" t="s"/>
      <c r="M38" s="423" t="s"/>
      <c r="N38" s="423" t="s"/>
      <c r="O38" s="423" t="s"/>
      <c r="P38" s="423" t="s"/>
      <c r="Q38" s="423" t="s"/>
      <c r="R38" s="423" t="s"/>
      <c r="S38" s="423" t="s"/>
      <c r="T38" s="423" t="s"/>
      <c r="U38" s="423" t="s"/>
      <c r="V38" s="423" t="s"/>
      <c r="W38" s="423" t="s"/>
      <c r="X38" s="423" t="s"/>
      <c r="Y38" s="423" t="s"/>
      <c r="Z38" s="399" t="s">
        <v>792</v>
      </c>
    </row>
    <row r="39" spans="1:27" s="699" customFormat="true" ht="12" customHeight="true">
      <c r="A39" s="416" t="s"/>
      <c r="B39" s="425" t="s">
        <v>793</v>
      </c>
      <c r="C39" s="426">
        <f>=AVERAGE(D37:Y37)</f>
        <v>1.07517964771349</v>
      </c>
      <c r="D39" s="423" t="s"/>
      <c r="E39" s="423" t="s"/>
      <c r="F39" s="423" t="s"/>
      <c r="G39" s="423" t="s"/>
      <c r="H39" s="423" t="s"/>
      <c r="I39" s="423" t="s"/>
      <c r="J39" s="423" t="s"/>
      <c r="K39" s="423" t="s"/>
      <c r="L39" s="423" t="s"/>
      <c r="M39" s="423" t="s"/>
      <c r="N39" s="423" t="s"/>
      <c r="O39" s="423" t="s"/>
      <c r="P39" s="423" t="s"/>
      <c r="Q39" s="423" t="s"/>
      <c r="R39" s="423" t="s"/>
      <c r="S39" s="423" t="s"/>
      <c r="T39" s="423" t="s"/>
      <c r="U39" s="423" t="s"/>
      <c r="V39" s="423" t="s"/>
      <c r="W39" s="423" t="s"/>
      <c r="X39" s="423" t="s"/>
      <c r="Y39" s="423" t="s"/>
      <c r="Z39" s="399" t="s">
        <v>794</v>
      </c>
      <c r="AA39" s="427" t="s">
        <v>795</v>
      </c>
    </row>
    <row r="40" spans="1:27" s="699" customFormat="true" ht="12" customHeight="true"/>
    <row r="41" spans="1:27" s="699" customFormat="true" ht="12" customHeight="true"/>
    <row r="42" spans="1:27" s="699" customFormat="true" ht="12" customHeight="true"/>
    <row r="43" spans="1:27" s="699" customFormat="true" ht="12" customHeight="true"/>
    <row r="44" spans="1:27" s="699" customFormat="true" ht="12" customHeight="true"/>
  </sheetData>
  <sheetProtection/>
  <mergeCells count="3">
    <mergeCell ref="A3:A4"/>
    <mergeCell ref="B3:B4"/>
    <mergeCell ref="C3:C4"/>
  </mergeCells>
  <pageMargins left="0.75" right="0.75" top="1" bottom="1" header="0.5" footer="0.5"/>
  <pageSetup paperSize="9" orientation="landscape" blackAndWhite="true"/>
  <headerFooter alignWithMargins="false"/>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dcmitype="http://purl.org/dc/dcmitype/" xmlns:dcterms="http://purl.org/dc/terms/" xmlns:cp="http://schemas.openxmlformats.org/package/2006/metadata/core-properties" xmlns:dc="http://purl.org/dc/elements/1.1/">
  <dcterms:created xsi:type="dcterms:W3CDTF">2025-06-09T17:09:06Z</dcterms:created>
  <dcterms:modified xsi:type="dcterms:W3CDTF">2025-06-09T17:09:06Z</dcterms:modified>
</cp:coreProperties>
</file>