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docProps/core.xml" ContentType="application/vnd.openxmlformats-package.core-properties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总投资" sheetId="1" r:id="rId3"/>
    <sheet name="固定资产折旧" sheetId="2" r:id="rId4"/>
    <sheet name="营业收入及税金表" sheetId="3" r:id="rId5"/>
    <sheet name="总成本费用表" sheetId="4" r:id="rId6"/>
    <sheet name="利润及利润分配表" sheetId="5" r:id="rId7"/>
    <sheet name="项目投资现金流量表" sheetId="6" r:id="rId8"/>
    <sheet name="还本付息表" sheetId="7" r:id="rId9"/>
    <sheet name="项目财务现金流量表" sheetId="8" r:id="rId10"/>
  </sheets>
  <calcPr calcId="144525"/>
</workbook>
</file>

<file path=xl/sharedStrings.xml><?xml version="1.0" encoding="utf-8"?>
<sst xmlns="http://schemas.openxmlformats.org/spreadsheetml/2006/main" count="235" uniqueCount="235">
  <si>
    <t/>
  </si>
  <si>
    <t xml:space="preserve"> 项目财务现金流量表   </t>
  </si>
  <si>
    <t>序号</t>
  </si>
  <si>
    <t>项目</t>
  </si>
  <si>
    <t xml:space="preserve">建设期/运营期
</t>
  </si>
  <si>
    <t>经营活动净现金流量</t>
  </si>
  <si>
    <t>现金流入</t>
  </si>
  <si>
    <t>1.1.1</t>
  </si>
  <si>
    <t>营业收入</t>
  </si>
  <si>
    <t>1.1.2</t>
  </si>
  <si>
    <t>补贴收入</t>
  </si>
  <si>
    <t>1.1.3</t>
  </si>
  <si>
    <t>其他流入</t>
  </si>
  <si>
    <t>现金流出</t>
  </si>
  <si>
    <t>1.2.1</t>
  </si>
  <si>
    <t>经营成本</t>
  </si>
  <si>
    <t>1.2.2</t>
  </si>
  <si>
    <t>税金及附加</t>
  </si>
  <si>
    <t>1.2.3</t>
  </si>
  <si>
    <t>所得税</t>
  </si>
  <si>
    <t>1.2.4</t>
  </si>
  <si>
    <t>其他流出</t>
  </si>
  <si>
    <t>投资活动净现金流量</t>
  </si>
  <si>
    <t>2.2.1</t>
  </si>
  <si>
    <t>建设投资</t>
  </si>
  <si>
    <t>2.2.2</t>
  </si>
  <si>
    <t>维持运营投资</t>
  </si>
  <si>
    <t>2.2.3</t>
  </si>
  <si>
    <t>流动资金</t>
  </si>
  <si>
    <t>2.2.4</t>
  </si>
  <si>
    <t>筹资活动净现金流量</t>
  </si>
  <si>
    <t>3.1.1</t>
  </si>
  <si>
    <t>项目资本金投入</t>
  </si>
  <si>
    <t>3.1.2</t>
  </si>
  <si>
    <t>建设投资借款</t>
  </si>
  <si>
    <t>3.1.3</t>
  </si>
  <si>
    <t>3.2.1</t>
  </si>
  <si>
    <t>利息支出</t>
  </si>
  <si>
    <t>3.2.2</t>
  </si>
  <si>
    <t>偿还债务本金</t>
  </si>
  <si>
    <t>3.2.3</t>
  </si>
  <si>
    <t>应付利润(股利分配)</t>
  </si>
  <si>
    <t>3.2.4</t>
  </si>
  <si>
    <t>四</t>
  </si>
  <si>
    <t>净现金流量</t>
  </si>
  <si>
    <t>五</t>
  </si>
  <si>
    <t>累计盈余资金</t>
  </si>
  <si>
    <t>总成本费用表</t>
  </si>
  <si>
    <t>单位：万元</t>
  </si>
  <si>
    <t>合计</t>
  </si>
  <si>
    <t>运营期</t>
  </si>
  <si>
    <t>外购燃料及动力费</t>
  </si>
  <si>
    <t>工资及福利费</t>
  </si>
  <si>
    <t>保洁维护费</t>
  </si>
  <si>
    <t>管理费及其他</t>
  </si>
  <si>
    <t>经营成本（1+2+3+4+5+6）</t>
  </si>
  <si>
    <t>折旧费</t>
  </si>
  <si>
    <t>摊销费</t>
  </si>
  <si>
    <t>总成本费用合计（6+7+8+9）</t>
  </si>
  <si>
    <t>其中：固定成本</t>
  </si>
  <si>
    <t>可变成本</t>
  </si>
  <si>
    <t>利润及利润分配表</t>
  </si>
  <si>
    <t>项	目</t>
  </si>
  <si>
    <t>营业税金及附加</t>
  </si>
  <si>
    <t>增值税</t>
  </si>
  <si>
    <t>总成本费用</t>
  </si>
  <si>
    <t>利润总额（1-2-3+4）</t>
  </si>
  <si>
    <t>弥补以前年度亏损</t>
  </si>
  <si>
    <t>应纳税所得额（5-6）</t>
  </si>
  <si>
    <t>净利润（5-8）</t>
  </si>
  <si>
    <t>期初未分配利润</t>
  </si>
  <si>
    <t>可供分配的利润（9+10）</t>
  </si>
  <si>
    <t>提取法定盈余公积金</t>
  </si>
  <si>
    <t>可供投资者分配的利润（11-12）</t>
  </si>
  <si>
    <t>应付优先股股利</t>
  </si>
  <si>
    <t>提取任意盈余公积金</t>
  </si>
  <si>
    <t>应付普通股股利（13-14-15）</t>
  </si>
  <si>
    <t>各投资方利润分配</t>
  </si>
  <si>
    <t>其中：</t>
  </si>
  <si>
    <t>未分配利润（13-14-15-17）</t>
  </si>
  <si>
    <t>息税前利润（利润总额+利息支出）</t>
  </si>
  <si>
    <t>息税折旧摊销前利润（息税前利润+折旧+摊销）</t>
  </si>
  <si>
    <t>项目投资现金流量表</t>
  </si>
  <si>
    <t>计算期</t>
  </si>
  <si>
    <t>留抵退税</t>
  </si>
  <si>
    <t>回收固定资产余值</t>
  </si>
  <si>
    <t>回收流动资金</t>
  </si>
  <si>
    <t>所得税前净现金流量（1-2）</t>
  </si>
  <si>
    <t>累计所得税前净现金流量</t>
  </si>
  <si>
    <t>所得税前净现金流量现值</t>
  </si>
  <si>
    <t>累计所得税前净现金流量现值</t>
  </si>
  <si>
    <t>调整所得税</t>
  </si>
  <si>
    <t>所得税后净现金流量（3-5）</t>
  </si>
  <si>
    <t>累计所得税后净现金流量</t>
  </si>
  <si>
    <t>所得税后净现金流量现值</t>
  </si>
  <si>
    <t>累计所得税后净现金流量现值</t>
  </si>
  <si>
    <t>计算指标：</t>
  </si>
  <si>
    <t>项目投资回收期（年）（所得税前）</t>
  </si>
  <si>
    <t>项目投资回收期（年）（所得税后）</t>
  </si>
  <si>
    <t>还本付息表</t>
  </si>
  <si>
    <t>0.5建设期</t>
  </si>
  <si>
    <t>期初借款余额</t>
  </si>
  <si>
    <t>当期还本付息</t>
  </si>
  <si>
    <t>其中：还本</t>
  </si>
  <si>
    <t>付息</t>
  </si>
  <si>
    <t>期末借款余额</t>
  </si>
  <si>
    <t>可用于还本付息的资金</t>
  </si>
  <si>
    <t>指标</t>
  </si>
  <si>
    <t>利息备付率</t>
  </si>
  <si>
    <t>偿债备付率</t>
  </si>
  <si>
    <t>营业收入及税金表</t>
  </si>
  <si>
    <t>光伏收入</t>
  </si>
  <si>
    <t>装机容量</t>
  </si>
  <si>
    <t>衰减值</t>
  </si>
  <si>
    <t>1KW 光伏装机容量平均日发电量</t>
  </si>
  <si>
    <t>1.1.4</t>
  </si>
  <si>
    <t>年发电天数</t>
  </si>
  <si>
    <t>1.1.5</t>
  </si>
  <si>
    <t>工商业用电平均电价</t>
  </si>
  <si>
    <t>储能收入</t>
  </si>
  <si>
    <t>峰谷价差加</t>
  </si>
  <si>
    <t>360天一充一放扣能耗（万kwh/n)</t>
  </si>
  <si>
    <t>600kw充电桩收入</t>
  </si>
  <si>
    <t>1.4.1</t>
  </si>
  <si>
    <t>充电桩数量</t>
  </si>
  <si>
    <t>1.4.2</t>
  </si>
  <si>
    <t>充电使用率</t>
  </si>
  <si>
    <t>1.4.3</t>
  </si>
  <si>
    <t>收费标准</t>
  </si>
  <si>
    <t>1.4.4</t>
  </si>
  <si>
    <t>充电桩每小时充电量</t>
  </si>
  <si>
    <t>1.4.5</t>
  </si>
  <si>
    <t>充电小时数</t>
  </si>
  <si>
    <t>1.4.6</t>
  </si>
  <si>
    <t>年运营时间</t>
  </si>
  <si>
    <t>营业税金与附加</t>
  </si>
  <si>
    <t>营业税</t>
  </si>
  <si>
    <t>消费税</t>
  </si>
  <si>
    <t>城市建设维护税</t>
  </si>
  <si>
    <t>教育费附加</t>
  </si>
  <si>
    <t>销项税额</t>
  </si>
  <si>
    <t>进项税额</t>
  </si>
  <si>
    <t>固定资产折旧表</t>
  </si>
  <si>
    <t>残值率</t>
  </si>
  <si>
    <t>折旧年限</t>
  </si>
  <si>
    <t>附属物及设备折旧</t>
  </si>
  <si>
    <t>原值</t>
  </si>
  <si>
    <t>当期折旧额</t>
  </si>
  <si>
    <t>净值</t>
  </si>
  <si>
    <t>无形资产摊销</t>
  </si>
  <si>
    <t>建设投资估算表</t>
  </si>
  <si>
    <t>工程或费用名称</t>
  </si>
  <si>
    <t>建筑工程费</t>
  </si>
  <si>
    <t>安装工程费</t>
  </si>
  <si>
    <t>设备购置费</t>
  </si>
  <si>
    <t>其他费用</t>
  </si>
  <si>
    <t>单位</t>
  </si>
  <si>
    <t>数量</t>
  </si>
  <si>
    <t>综合单价（万元）</t>
  </si>
  <si>
    <t>一</t>
  </si>
  <si>
    <t>工程费用</t>
  </si>
  <si>
    <t>光伏组件</t>
  </si>
  <si>
    <t>　</t>
  </si>
  <si>
    <t>KW</t>
  </si>
  <si>
    <t>640Wp单晶N型</t>
  </si>
  <si>
    <t>块</t>
  </si>
  <si>
    <t>逆变器</t>
  </si>
  <si>
    <t>台</t>
  </si>
  <si>
    <t>交流汇流箱</t>
  </si>
  <si>
    <t>光伏支架及配件</t>
  </si>
  <si>
    <t>km</t>
  </si>
  <si>
    <t>光伏直流电缆</t>
  </si>
  <si>
    <t>MC4连接器</t>
  </si>
  <si>
    <t>套</t>
  </si>
  <si>
    <t>交流电缆</t>
  </si>
  <si>
    <t>干式变压器（箱变)</t>
  </si>
  <si>
    <t>光伏接入柜</t>
  </si>
  <si>
    <t>并网柜</t>
  </si>
  <si>
    <t>站用变电柜</t>
  </si>
  <si>
    <t>10kV动态无功补偿装置</t>
  </si>
  <si>
    <t>高压电缆</t>
  </si>
  <si>
    <t>土建基础</t>
  </si>
  <si>
    <t>项</t>
  </si>
  <si>
    <t>组件、电气安装、辅材等</t>
  </si>
  <si>
    <t>电池储能
集装箱</t>
  </si>
  <si>
    <t>KWH</t>
  </si>
  <si>
    <t>电池系统 5000KWH</t>
  </si>
  <si>
    <t>个</t>
  </si>
  <si>
    <t>储能变流器</t>
  </si>
  <si>
    <t>集装箱柜体</t>
  </si>
  <si>
    <t>温控系统</t>
  </si>
  <si>
    <t>消防系统</t>
  </si>
  <si>
    <t>储能EMS</t>
  </si>
  <si>
    <t>附件</t>
  </si>
  <si>
    <t>储能箱基础及连接电缆</t>
  </si>
  <si>
    <t>15KWH换电系统(3000KWH)</t>
  </si>
  <si>
    <t>园区配套工程</t>
  </si>
  <si>
    <t>㎡</t>
  </si>
  <si>
    <t>升压/降压变压器</t>
  </si>
  <si>
    <t>中压输电电缆</t>
  </si>
  <si>
    <t>m</t>
  </si>
  <si>
    <t>绿化等相关配套工程</t>
  </si>
  <si>
    <t>10kv储能变电站</t>
  </si>
  <si>
    <t>中心配电室变压器2000KVA</t>
  </si>
  <si>
    <t>光伏充电桩（600kw液冷）</t>
  </si>
  <si>
    <t>二</t>
  </si>
  <si>
    <t>工程建设其他费用</t>
  </si>
  <si>
    <t>建设管理费</t>
  </si>
  <si>
    <t>建设工程监理费</t>
  </si>
  <si>
    <t>建设项目前期工作咨询费</t>
  </si>
  <si>
    <t>工程勘察费</t>
  </si>
  <si>
    <t>屋顶荷载检测费</t>
  </si>
  <si>
    <t>工程设计费</t>
  </si>
  <si>
    <t>环境影响咨询服务费</t>
  </si>
  <si>
    <t>场地准备费及临时设施费</t>
  </si>
  <si>
    <t>工程保险费</t>
  </si>
  <si>
    <t>招标代理服务费</t>
  </si>
  <si>
    <t>造价咨询费</t>
  </si>
  <si>
    <t>三</t>
  </si>
  <si>
    <t>预备费</t>
  </si>
  <si>
    <t>基本预备费</t>
  </si>
  <si>
    <t>涨价预备费</t>
  </si>
  <si>
    <t>建设投资合计</t>
  </si>
  <si>
    <t>比例（%）</t>
  </si>
  <si>
    <t>建设期利息</t>
  </si>
  <si>
    <t>六</t>
  </si>
  <si>
    <t>固定资产投资</t>
  </si>
  <si>
    <t>八</t>
  </si>
  <si>
    <t>项目总投资</t>
  </si>
  <si>
    <r>
      <rPr>
        <rFont val="宋体"/>
        <charset val="134"/>
        <b val="true"/>
        <color rgb="FF000000"/>
        <sz val="8"/>
      </rPr>
      <t>项</t>
    </r>
    <r>
      <rPr>
        <rFont val="宋体"/>
        <charset val="134"/>
        <b val="true"/>
        <color rgb="FF000000"/>
        <sz val="8"/>
      </rPr>
      <t>目</t>
    </r>
  </si>
  <si>
    <r>
      <rPr>
        <rFont val="宋体"/>
        <charset val="134"/>
        <sz val="8"/>
      </rPr>
      <t>项目投资财务内部收益率（</t>
    </r>
    <r>
      <rPr>
        <rFont val="Times New Roman"/>
        <charset val="134"/>
        <color rgb="FF000000"/>
        <sz val="8"/>
      </rPr>
      <t>%</t>
    </r>
    <r>
      <rPr>
        <rFont val="宋体"/>
        <charset val="134"/>
        <color rgb="FF000000"/>
        <sz val="8"/>
      </rPr>
      <t>）（所得税前）</t>
    </r>
  </si>
  <si>
    <r>
      <rPr>
        <rFont val="宋体"/>
        <charset val="134"/>
        <color rgb="FF000000"/>
        <sz val="8"/>
      </rPr>
      <t>项目投资财务内部收益率（</t>
    </r>
    <r>
      <rPr>
        <rFont val="Times New Roman"/>
        <charset val="134"/>
        <color rgb="FF000000"/>
        <sz val="8"/>
      </rPr>
      <t>%</t>
    </r>
    <r>
      <rPr>
        <rFont val="宋体"/>
        <charset val="134"/>
        <color rgb="FF000000"/>
        <sz val="8"/>
      </rPr>
      <t>）（所得税后）</t>
    </r>
  </si>
  <si>
    <r>
      <rPr>
        <rFont val="宋体"/>
        <charset val="134"/>
        <sz val="8"/>
      </rPr>
      <t>项目投资财务净现值（所得税前）（</t>
    </r>
    <r>
      <rPr>
        <rFont val="Times New Roman"/>
        <charset val="134"/>
        <color rgb="FF000000"/>
        <sz val="8"/>
      </rPr>
      <t>ic=</t>
    </r>
    <r>
      <rPr>
        <rFont val="Arial"/>
        <charset val="134"/>
        <color rgb="FF000000"/>
        <sz val="8"/>
      </rPr>
      <t>4.2</t>
    </r>
    <r>
      <rPr>
        <rFont val="Times New Roman"/>
        <charset val="134"/>
        <color rgb="FF000000"/>
        <sz val="8"/>
      </rPr>
      <t>%</t>
    </r>
    <r>
      <rPr>
        <rFont val="宋体"/>
        <charset val="134"/>
        <color rgb="FF000000"/>
        <sz val="8"/>
      </rPr>
      <t>）</t>
    </r>
  </si>
  <si>
    <r>
      <rPr>
        <rFont val="宋体"/>
        <charset val="134"/>
        <color rgb="FF000000"/>
        <sz val="8"/>
      </rPr>
      <t>项目投资财务净现值（所得税后）（</t>
    </r>
    <r>
      <rPr>
        <rFont val="Times New Roman"/>
        <charset val="134"/>
        <color rgb="FF000000"/>
        <sz val="8"/>
      </rPr>
      <t>ic=</t>
    </r>
    <r>
      <rPr>
        <rFont val="Times New Roman"/>
        <charset val="134"/>
        <color rgb="FF000000"/>
        <sz val="8"/>
      </rPr>
      <t>4.2%</t>
    </r>
    <r>
      <rPr>
        <rFont val="宋体"/>
        <charset val="134"/>
        <color rgb="FF000000"/>
        <sz val="8"/>
      </rPr>
      <t>）</t>
    </r>
  </si>
  <si>
    <r>
      <t>（一</t>
    </r>
    <r>
      <rPr>
        <rFont val="Times New Roman"/>
        <charset val="134"/>
        <color rgb="FF000000"/>
        <sz val="7"/>
      </rPr>
      <t>+</t>
    </r>
    <r>
      <rPr>
        <rFont val="宋体"/>
        <charset val="134"/>
        <color rgb="FF000000"/>
        <sz val="7"/>
      </rPr>
      <t>二）</t>
    </r>
    <r>
      <rPr>
        <rFont val="Times New Roman"/>
        <charset val="134"/>
        <color rgb="FF000000"/>
        <sz val="7"/>
      </rPr>
      <t>*5%</t>
    </r>
  </si>
</sst>
</file>

<file path=xl/styles.xml><?xml version="1.0" encoding="utf-8"?>
<styleSheet xmlns="http://schemas.openxmlformats.org/spreadsheetml/2006/main">
  <numFmts count="12">
    <numFmt numFmtId="300" formatCode="0.00_ "/>
    <numFmt numFmtId="301" formatCode="0.0_ "/>
    <numFmt numFmtId="302" formatCode="0_ "/>
    <numFmt numFmtId="303" formatCode="0.000_ "/>
    <numFmt numFmtId="304" formatCode="0.0000_ "/>
    <numFmt numFmtId="305" formatCode="General"/>
    <numFmt numFmtId="306" formatCode="0.00%"/>
    <numFmt numFmtId="307" formatCode="0%"/>
    <numFmt numFmtId="308" formatCode="_ * #,##0_ ;_ * \-#,##0_ ;_ * &quot;-&quot;_ ;_ @_ "/>
    <numFmt numFmtId="309" formatCode="_ &quot;￥&quot;* #,##0_ ;_ &quot;￥&quot;* \-#,##0_ ;_ &quot;￥&quot;* &quot;-&quot;_ ;_ @_ "/>
    <numFmt numFmtId="310" formatCode="_ * #,##0.00_ ;_ * \-#,##0.00_ ;_ * &quot;-&quot;??_ ;_ @_ "/>
    <numFmt numFmtId="311" formatCode="_ &quot;￥&quot;* #,##0.00_ ;_ &quot;￥&quot;* \-#,##0.00_ ;_ &quot;￥&quot;* &quot;-&quot;??_ ;_ @_ "/>
  </numFmts>
  <fonts count="61">
    <font>
      <name val="宋体"/>
      <charset val="134"/>
      <sz val="11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b val="true"/>
      <sz val="14"/>
    </font>
    <font>
      <name val="宋体"/>
      <charset val="134"/>
      <color rgb="FF000000"/>
      <sz val="8"/>
    </font>
    <font>
      <name val="宋体"/>
      <charset val="134"/>
      <color rgb="FF000000"/>
      <sz val="10"/>
    </font>
    <font>
      <name val="宋体"/>
      <charset val="134"/>
      <color rgb="FF000000"/>
      <sz val="7"/>
    </font>
    <font>
      <name val="宋体"/>
      <charset val="134"/>
      <b val="true"/>
      <color rgb="FF000000"/>
      <sz val="7"/>
    </font>
    <font>
      <name val="宋体"/>
      <charset val="134"/>
      <b val="true"/>
      <sz val="11"/>
    </font>
    <font>
      <name val="宋体"/>
      <charset val="134"/>
      <b val="true"/>
      <color rgb="FF000000"/>
      <sz val="8"/>
    </font>
    <font>
      <name val="Times New Roman"/>
      <charset val="134"/>
      <b val="true"/>
      <color rgb="FF000000"/>
      <sz val="8"/>
    </font>
    <font>
      <name val="Times New Roman"/>
      <charset val="134"/>
      <sz val="8"/>
    </font>
    <font>
      <name val="宋体"/>
      <charset val="134"/>
      <sz val="8"/>
    </font>
    <font>
      <name val="Times New Roman"/>
      <charset val="134"/>
      <color rgb="FF000000"/>
      <sz val="8"/>
    </font>
    <font>
      <name val="宋体"/>
      <charset val="134"/>
      <b val="true"/>
      <color rgb="FF000000"/>
      <sz val="14"/>
    </font>
    <font>
      <name val="宋体"/>
      <charset val="134"/>
      <color rgb="FF000000"/>
      <sz val="9"/>
    </font>
    <font>
      <name val="宋体"/>
      <charset val="134"/>
      <sz val="8"/>
      <scheme val="minor"/>
    </font>
    <font>
      <name val="宋体"/>
      <charset val="134"/>
      <color rgb="FF000000"/>
      <sz val="11"/>
    </font>
    <font>
      <name val="宋体"/>
      <charset val="134"/>
      <color rgb="FFFF0000"/>
      <sz val="8"/>
    </font>
    <font>
      <name val="宋体"/>
      <charset val="134"/>
      <b val="true"/>
      <color rgb="FFFF0000"/>
      <sz val="14"/>
    </font>
    <font>
      <name val="宋体"/>
      <charset val="134"/>
      <b val="true"/>
      <color rgb="FF000000"/>
      <sz val="9"/>
    </font>
    <font>
      <name val="宋体"/>
      <charset val="134"/>
      <b val="true"/>
      <sz val="8"/>
    </font>
    <font>
      <name val="Arial"/>
      <charset val="134"/>
      <b val="true"/>
      <color rgb="FF000000"/>
      <sz val="8"/>
    </font>
    <font>
      <name val="Arial"/>
      <charset val="134"/>
      <sz val="8"/>
    </font>
    <font>
      <name val="宋体"/>
      <charset val="134"/>
      <b val="true"/>
      <sz val="8"/>
      <scheme val="minor"/>
    </font>
    <font>
      <name val="宋体"/>
      <charset val="134"/>
      <color rgb="FF000000"/>
      <sz val="8"/>
      <scheme val="minor"/>
    </font>
    <font>
      <name val="Arial"/>
      <charset val="134"/>
      <b val="true"/>
      <sz val="8"/>
    </font>
    <font>
      <name val="Arial"/>
      <charset val="134"/>
      <color rgb="FF000000"/>
      <sz val="8"/>
    </font>
    <font>
      <name val="宋体"/>
      <charset val="134"/>
      <color rgb="FFFF0000"/>
      <sz val="11"/>
    </font>
    <font>
      <name val="黑体"/>
      <charset val="134"/>
      <b val="true"/>
      <sz val="16"/>
    </font>
    <font>
      <name val="黑体"/>
      <charset val="134"/>
      <b val="true"/>
      <color rgb="FFFF0000"/>
      <sz val="16"/>
    </font>
    <font>
      <name val="宋体"/>
      <charset val="134"/>
      <sz val="9"/>
    </font>
    <font>
      <name val="宋体"/>
      <charset val="134"/>
      <color rgb="FFFF0000"/>
      <sz val="9"/>
    </font>
    <font>
      <name val="宋体"/>
      <charset val="134"/>
      <b val="true"/>
      <color rgb="FFFF0000"/>
      <sz val="11"/>
    </font>
    <font>
      <name val="Times New Roman"/>
      <charset val="134"/>
      <b val="true"/>
      <sz val="8"/>
    </font>
    <font>
      <name val="Times New Roman"/>
      <charset val="134"/>
      <b val="true"/>
      <sz val="7"/>
    </font>
    <font>
      <name val="宋体"/>
      <charset val="134"/>
      <b val="true"/>
      <color rgb="FFFF0000"/>
      <sz val="8"/>
    </font>
    <font>
      <name val="宋体"/>
      <charset val="134"/>
      <sz val="7"/>
    </font>
    <font>
      <name val="Times New Roman"/>
      <charset val="134"/>
      <sz val="7"/>
    </font>
    <font>
      <name val="Times New Roman"/>
      <charset val="134"/>
      <color rgb="FFFF0000"/>
      <sz val="8"/>
    </font>
    <font>
      <name val="宋体"/>
      <charset val="134"/>
      <sz val="11"/>
    </font>
    <font>
      <name val="宋体"/>
      <charset val="0"/>
      <color rgb="FFFF00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rgb="FF0000FF"/>
      <sz val="11"/>
      <u/>
      <scheme val="minor"/>
    </font>
    <font>
      <name val="宋体"/>
      <charset val="134"/>
      <b val="true"/>
      <color theme="3"/>
      <sz val="18"/>
      <scheme val="minor"/>
    </font>
    <font>
      <name val="宋体"/>
      <charset val="134"/>
      <color theme="1"/>
      <sz val="11"/>
      <scheme val="minor"/>
    </font>
    <font>
      <name val="宋体"/>
      <charset val="0"/>
      <color rgb="FF9C0006"/>
      <sz val="11"/>
      <scheme val="minor"/>
    </font>
    <font>
      <name val="宋体"/>
      <charset val="134"/>
      <b val="true"/>
      <color theme="3"/>
      <sz val="15"/>
      <scheme val="minor"/>
    </font>
    <font>
      <name val="宋体"/>
      <charset val="0"/>
      <i val="true"/>
      <color rgb="FF7F7F7F"/>
      <sz val="11"/>
      <scheme val="minor"/>
    </font>
    <font>
      <name val="宋体"/>
      <charset val="134"/>
      <b val="true"/>
      <color theme="3"/>
      <sz val="13"/>
      <scheme val="minor"/>
    </font>
    <font>
      <name val="宋体"/>
      <charset val="134"/>
      <b val="true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true"/>
      <color rgb="FF3F3F3F"/>
      <sz val="11"/>
      <scheme val="minor"/>
    </font>
    <font>
      <name val="宋体"/>
      <charset val="0"/>
      <b val="true"/>
      <color rgb="FFFA7D00"/>
      <sz val="11"/>
      <scheme val="minor"/>
    </font>
    <font>
      <name val="宋体"/>
      <charset val="0"/>
      <b val="true"/>
      <color rgb="FFFFFFFF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b val="true"/>
      <color theme="1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color rgb="FF800080"/>
      <sz val="11"/>
      <u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none"/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>
    <xf numFmtId="305" fontId="40" fillId="0" borderId="14" xfId="0" applyNumberFormat="false" applyFont="false" applyFill="false" applyBorder="false" applyAlignment="false">
      <alignment vertical="center"/>
    </xf>
    <xf numFmtId="305" fontId="41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44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45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8" fontId="46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5" fontId="46" fillId="4" borderId="15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9" fontId="46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47" fillId="4" borderId="14" xfId="0" applyNumberFormat="false" applyFont="false" applyFill="false" applyBorder="false" applyAlignment="false">
      <alignment vertical="center"/>
    </xf>
    <xf numFmtId="305" fontId="48" fillId="4" borderId="16" xfId="0" applyNumberFormat="false" applyFont="false" applyFill="false" applyBorder="false" applyAlignment="false">
      <alignment vertical="center"/>
    </xf>
    <xf numFmtId="305" fontId="49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50" fillId="4" borderId="16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5" fontId="51" fillId="4" borderId="14" xfId="0" applyNumberFormat="false" applyFont="false" applyFill="false" applyBorder="false" applyAlignment="false">
      <alignment vertical="center"/>
    </xf>
    <xf numFmtId="310" fontId="46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52" fillId="4" borderId="17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51" fillId="4" borderId="18" xfId="0" applyNumberFormat="false" applyFont="false" applyFill="false" applyBorder="false" applyAlignment="false">
      <alignment vertical="center"/>
    </xf>
    <xf numFmtId="305" fontId="53" fillId="4" borderId="19" xfId="0" applyNumberFormat="false" applyFont="false" applyFill="false" applyBorder="false" applyAlignment="false">
      <alignment vertical="center"/>
    </xf>
    <xf numFmtId="305" fontId="54" fillId="4" borderId="17" xfId="0" applyNumberFormat="false" applyFont="false" applyFill="false" applyBorder="false" applyAlignment="false">
      <alignment vertical="center"/>
    </xf>
    <xf numFmtId="305" fontId="55" fillId="4" borderId="20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5" fontId="56" fillId="4" borderId="14" xfId="0" applyNumberFormat="false" applyFont="false" applyFill="false" applyBorder="false" applyAlignment="false">
      <alignment vertical="center"/>
    </xf>
    <xf numFmtId="305" fontId="57" fillId="4" borderId="14" xfId="0" applyNumberFormat="false" applyFont="false" applyFill="false" applyBorder="false" applyAlignment="false">
      <alignment vertical="center"/>
    </xf>
    <xf numFmtId="305" fontId="58" fillId="4" borderId="21" xfId="0" applyNumberFormat="false" applyFont="false" applyFill="false" applyBorder="false" applyAlignment="false">
      <alignment vertical="center"/>
    </xf>
    <xf numFmtId="305" fontId="59" fillId="4" borderId="22" xfId="0" applyNumberFormat="false" applyFont="false" applyFill="false" applyBorder="false" applyAlignment="false">
      <alignment vertical="center"/>
    </xf>
    <xf numFmtId="305" fontId="42" fillId="4" borderId="14" xfId="0" applyNumberFormat="false" applyFont="false" applyFill="false" applyBorder="false" applyAlignment="false">
      <alignment vertical="center"/>
    </xf>
    <xf numFmtId="311" fontId="46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  <xf numFmtId="307" fontId="46" fillId="4" borderId="14" xfId="0" applyNumberFormat="false" applyFont="false" applyFill="false" applyBorder="false" applyAlignment="false">
      <alignment vertical="center"/>
    </xf>
    <xf numFmtId="305" fontId="60" fillId="4" borderId="14" xfId="0" applyNumberFormat="false" applyFont="false" applyFill="false" applyBorder="false" applyAlignment="false">
      <alignment vertical="center"/>
    </xf>
    <xf numFmtId="305" fontId="43" fillId="4" borderId="14" xfId="0" applyNumberFormat="false" applyFont="false" applyFill="false" applyBorder="false" applyAlignment="false">
      <alignment vertical="center"/>
    </xf>
  </cellStyleXfs>
  <cellXfs count="177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5" fontId="3" fillId="0" borderId="14" xfId="0" applyFont="true" applyAlignment="true">
      <alignment horizontal="center" vertical="center"/>
    </xf>
    <xf numFmtId="305" fontId="4" fillId="0" borderId="1" xfId="0" applyFont="true" applyBorder="true" applyAlignment="true">
      <alignment horizontal="center" vertical="center" wrapText="true"/>
    </xf>
    <xf numFmtId="305" fontId="4" fillId="0" borderId="2" xfId="0" applyFont="true" applyBorder="true" applyAlignment="true">
      <alignment horizontal="center" vertical="center" wrapText="true"/>
    </xf>
    <xf numFmtId="305" fontId="5" fillId="0" borderId="3" xfId="0" applyFont="true" applyBorder="true" applyAlignment="true">
      <alignment horizontal="center" vertical="center" wrapText="true"/>
    </xf>
    <xf numFmtId="305" fontId="40" fillId="0" borderId="3" xfId="0" applyBorder="true">
      <alignment vertical="center"/>
    </xf>
    <xf numFmtId="305" fontId="5" fillId="0" borderId="14" xfId="0" applyFont="true" applyAlignment="true">
      <alignment vertical="center" wrapText="true"/>
    </xf>
    <xf numFmtId="305" fontId="6" fillId="0" borderId="4" xfId="0" applyFont="true" applyBorder="true" applyAlignment="true">
      <alignment horizontal="center" vertical="center" wrapText="true"/>
    </xf>
    <xf numFmtId="305" fontId="6" fillId="0" borderId="14" xfId="0" applyFont="true" applyAlignment="true">
      <alignment horizontal="center" vertical="center" wrapText="true"/>
    </xf>
    <xf numFmtId="305" fontId="6" fillId="0" borderId="2" xfId="0" applyFont="true" applyBorder="true" applyAlignment="true">
      <alignment horizontal="left" vertical="center" wrapText="true"/>
    </xf>
    <xf numFmtId="300" fontId="6" fillId="0" borderId="1" xfId="0" applyNumberFormat="true" applyFont="true" applyBorder="true" applyAlignment="true">
      <alignment horizontal="center" vertical="center" wrapText="true"/>
    </xf>
    <xf numFmtId="305" fontId="7" fillId="0" borderId="14" xfId="0" applyFont="true" applyAlignment="true">
      <alignment horizontal="center" vertical="center" wrapText="true"/>
    </xf>
    <xf numFmtId="305" fontId="8" fillId="0" borderId="14" xfId="0" applyFont="true" applyAlignment="true">
      <alignment horizontal="center" vertical="center"/>
    </xf>
    <xf numFmtId="305" fontId="40" fillId="0" borderId="14" xfId="0">
      <alignment vertical="center"/>
    </xf>
    <xf numFmtId="305" fontId="9" fillId="0" borderId="5" xfId="0" applyFont="true" applyBorder="true" applyAlignment="true">
      <alignment horizontal="center" vertical="center" wrapText="true"/>
    </xf>
    <xf numFmtId="305" fontId="9" fillId="0" borderId="6" xfId="0" applyFont="true" applyBorder="true" applyAlignment="true">
      <alignment horizontal="center" vertical="center" wrapText="true"/>
    </xf>
    <xf numFmtId="305" fontId="9" fillId="0" borderId="3" xfId="0" applyFont="true" applyBorder="true" applyAlignment="true">
      <alignment horizontal="center" vertical="top" wrapText="true"/>
    </xf>
    <xf numFmtId="305" fontId="9" fillId="0" borderId="4" xfId="0" applyFont="true" applyBorder="true" applyAlignment="true">
      <alignment horizontal="center" vertical="center" wrapText="true"/>
    </xf>
    <xf numFmtId="305" fontId="10" fillId="0" borderId="4" xfId="0" applyFont="true" applyBorder="true" applyAlignment="true">
      <alignment horizontal="center" vertical="top" wrapText="true"/>
    </xf>
    <xf numFmtId="305" fontId="11" fillId="0" borderId="1" xfId="0" applyFont="true" applyBorder="true" applyAlignment="true">
      <alignment horizontal="center" vertical="top" wrapText="true"/>
    </xf>
    <xf numFmtId="305" fontId="12" fillId="0" borderId="1" xfId="0" applyFont="true" applyBorder="true" applyAlignment="true">
      <alignment horizontal="center" vertical="top" wrapText="true"/>
    </xf>
    <xf numFmtId="300" fontId="11" fillId="0" borderId="1" xfId="0" applyNumberFormat="true" applyFont="true" applyBorder="true" applyAlignment="true">
      <alignment horizontal="center" vertical="top" wrapText="true"/>
    </xf>
    <xf numFmtId="305" fontId="13" fillId="0" borderId="1" xfId="0" applyFont="true" applyBorder="true" applyAlignment="true">
      <alignment horizontal="center" vertical="top" wrapText="true"/>
    </xf>
    <xf numFmtId="305" fontId="4" fillId="0" borderId="1" xfId="0" applyFont="true" applyBorder="true" applyAlignment="true">
      <alignment horizontal="center" vertical="top" wrapText="true"/>
    </xf>
    <xf numFmtId="300" fontId="13" fillId="0" borderId="1" xfId="0" applyNumberFormat="true" applyFont="true" applyBorder="true" applyAlignment="true">
      <alignment horizontal="center" vertical="top" wrapText="true"/>
    </xf>
    <xf numFmtId="300" fontId="13" fillId="0" borderId="1" xfId="0" applyNumberFormat="true" applyFont="true" applyBorder="true" applyAlignment="true">
      <alignment horizontal="center" vertical="center" wrapText="true"/>
    </xf>
    <xf numFmtId="301" fontId="13" fillId="0" borderId="1" xfId="0" applyNumberFormat="true" applyFont="true" applyBorder="true" applyAlignment="true">
      <alignment horizontal="center" vertical="top" wrapText="true"/>
    </xf>
    <xf numFmtId="305" fontId="14" fillId="0" borderId="14" xfId="0" applyFont="true" applyAlignment="true">
      <alignment horizontal="center" vertical="center"/>
    </xf>
    <xf numFmtId="305" fontId="4" fillId="0" borderId="1" xfId="0" applyFont="true" applyBorder="true" applyAlignment="true">
      <alignment horizontal="left" vertical="top" wrapText="true"/>
    </xf>
    <xf numFmtId="305" fontId="15" fillId="0" borderId="1" xfId="0" applyFont="true" applyBorder="true" applyAlignment="true">
      <alignment horizontal="left" vertical="top" wrapText="true"/>
    </xf>
    <xf numFmtId="305" fontId="15" fillId="0" borderId="2" xfId="0" applyFont="true" applyBorder="true" applyAlignment="true">
      <alignment horizontal="center" vertical="top" wrapText="true"/>
    </xf>
    <xf numFmtId="305" fontId="15" fillId="0" borderId="3" xfId="0" applyFont="true" applyBorder="true" applyAlignment="true">
      <alignment horizontal="center" vertical="top" wrapText="true"/>
    </xf>
    <xf numFmtId="305" fontId="4" fillId="0" borderId="4" xfId="0" applyFont="true" applyBorder="true" applyAlignment="true">
      <alignment horizontal="center" vertical="top" wrapText="true"/>
    </xf>
    <xf numFmtId="305" fontId="13" fillId="0" borderId="4" xfId="0" applyFont="true" applyBorder="true" applyAlignment="true">
      <alignment horizontal="center" vertical="top" wrapText="true"/>
    </xf>
    <xf numFmtId="305" fontId="13" fillId="0" borderId="1" xfId="0" applyFont="true" applyBorder="true" applyAlignment="true">
      <alignment horizontal="left" vertical="top" wrapText="true"/>
    </xf>
    <xf numFmtId="300" fontId="13" fillId="0" borderId="4" xfId="0" applyNumberFormat="true" applyFont="true" applyBorder="true" applyAlignment="true">
      <alignment horizontal="center" vertical="top" wrapText="true"/>
    </xf>
    <xf numFmtId="300" fontId="16" fillId="0" borderId="1" xfId="0" applyNumberFormat="true" applyFont="true" applyBorder="true" applyAlignment="true">
      <alignment horizontal="center" vertical="top" wrapText="true"/>
    </xf>
    <xf numFmtId="305" fontId="17" fillId="0" borderId="14" xfId="0" applyFont="true" applyAlignment="true">
      <alignment horizontal="center" vertical="center"/>
    </xf>
    <xf numFmtId="305" fontId="9" fillId="0" borderId="1" xfId="0" applyFont="true" applyBorder="true" applyAlignment="true">
      <alignment horizontal="left" vertical="top" wrapText="true"/>
    </xf>
    <xf numFmtId="305" fontId="9" fillId="0" borderId="5" xfId="0" applyFont="true" applyBorder="true" applyAlignment="true">
      <alignment horizontal="center" vertical="top" wrapText="true"/>
    </xf>
    <xf numFmtId="305" fontId="9" fillId="0" borderId="6" xfId="0" applyFont="true" applyBorder="true" applyAlignment="true">
      <alignment horizontal="center" vertical="top" wrapText="true"/>
    </xf>
    <xf numFmtId="305" fontId="9" fillId="0" borderId="4" xfId="0" applyFont="true" applyBorder="true" applyAlignment="true">
      <alignment horizontal="center" vertical="top" wrapText="true"/>
    </xf>
    <xf numFmtId="305" fontId="9" fillId="0" borderId="4" xfId="0" applyFont="true" applyBorder="true" applyAlignment="true">
      <alignment horizontal="left" vertical="top" wrapText="true"/>
    </xf>
    <xf numFmtId="300" fontId="4" fillId="0" borderId="1" xfId="0" applyNumberFormat="true" applyFont="true" applyBorder="true">
      <alignment vertical="center"/>
    </xf>
    <xf numFmtId="300" fontId="4" fillId="0" borderId="1" xfId="0" applyNumberFormat="true" applyFont="true" applyBorder="true" applyAlignment="true">
      <alignment horizontal="center" vertical="center"/>
    </xf>
    <xf numFmtId="300" fontId="12" fillId="0" borderId="1" xfId="0" applyNumberFormat="true" applyFont="true" applyBorder="true" applyAlignment="true">
      <alignment horizontal="center" vertical="center"/>
    </xf>
    <xf numFmtId="300" fontId="18" fillId="0" borderId="1" xfId="0" applyNumberFormat="true" applyFont="true" applyBorder="true" applyAlignment="true">
      <alignment horizontal="center" vertical="center"/>
    </xf>
    <xf numFmtId="305" fontId="4" fillId="0" borderId="14" xfId="0" applyFont="true" applyAlignment="true">
      <alignment horizontal="left" vertical="center"/>
    </xf>
    <xf numFmtId="305" fontId="12" fillId="0" borderId="14" xfId="0" applyFont="true">
      <alignment vertical="center"/>
    </xf>
    <xf numFmtId="10" fontId="4" fillId="0" borderId="14" xfId="0" applyNumberFormat="true" applyFont="true">
      <alignment vertical="center"/>
    </xf>
    <xf numFmtId="300" fontId="4" fillId="0" borderId="14" xfId="0" applyNumberFormat="true" applyFont="true">
      <alignment vertical="center"/>
    </xf>
    <xf numFmtId="300" fontId="14" fillId="0" borderId="14" xfId="0" applyNumberFormat="true" applyFont="true" applyAlignment="true">
      <alignment horizontal="center" vertical="center"/>
    </xf>
    <xf numFmtId="300" fontId="19" fillId="0" borderId="14" xfId="0" applyNumberFormat="true" applyFont="true" applyAlignment="true">
      <alignment horizontal="center" vertical="center"/>
    </xf>
    <xf numFmtId="300" fontId="17" fillId="0" borderId="14" xfId="0" applyNumberFormat="true" applyFont="true">
      <alignment vertical="center"/>
    </xf>
    <xf numFmtId="300" fontId="9" fillId="0" borderId="1" xfId="0" applyNumberFormat="true" applyFont="true" applyBorder="true" applyAlignment="true">
      <alignment horizontal="left" vertical="top" wrapText="true"/>
    </xf>
    <xf numFmtId="300" fontId="20" fillId="0" borderId="1" xfId="0" applyNumberFormat="true" applyFont="true" applyBorder="true" applyAlignment="true">
      <alignment horizontal="left" vertical="top" wrapText="true"/>
    </xf>
    <xf numFmtId="300" fontId="20" fillId="0" borderId="2" xfId="0" applyNumberFormat="true" applyFont="true" applyBorder="true" applyAlignment="true">
      <alignment horizontal="left" vertical="top" wrapText="true"/>
    </xf>
    <xf numFmtId="300" fontId="21" fillId="0" borderId="3" xfId="0" applyNumberFormat="true" applyFont="true" applyBorder="true" applyAlignment="true">
      <alignment horizontal="center" vertical="top" wrapText="true"/>
    </xf>
    <xf numFmtId="302" fontId="21" fillId="0" borderId="4" xfId="0" applyNumberFormat="true" applyFont="true" applyBorder="true" applyAlignment="true">
      <alignment horizontal="center" vertical="top" wrapText="true"/>
    </xf>
    <xf numFmtId="301" fontId="21" fillId="0" borderId="4" xfId="0" applyNumberFormat="true" applyFont="true" applyBorder="true" applyAlignment="true">
      <alignment horizontal="center" vertical="top" wrapText="true"/>
    </xf>
    <xf numFmtId="302" fontId="4" fillId="0" borderId="1" xfId="0" applyNumberFormat="true" applyFont="true" applyBorder="true" applyAlignment="true">
      <alignment horizontal="left" vertical="top" wrapText="true"/>
    </xf>
    <xf numFmtId="300" fontId="4" fillId="0" borderId="1" xfId="0" applyNumberFormat="true" applyFont="true" applyBorder="true" applyAlignment="true">
      <alignment horizontal="center" vertical="top" wrapText="true"/>
    </xf>
    <xf numFmtId="300" fontId="4" fillId="0" borderId="1" xfId="0" applyNumberFormat="true" applyFont="true" applyBorder="true" applyAlignment="true">
      <alignment horizontal="left" vertical="top" wrapText="true"/>
    </xf>
    <xf numFmtId="300" fontId="12" fillId="0" borderId="1" xfId="0" applyNumberFormat="true" applyFont="true" applyBorder="true" applyAlignment="true">
      <alignment horizontal="center" vertical="top" wrapText="true"/>
    </xf>
    <xf numFmtId="301" fontId="4" fillId="0" borderId="1" xfId="0" applyNumberFormat="true" applyFont="true" applyBorder="true" applyAlignment="true">
      <alignment horizontal="left" vertical="top" wrapText="true"/>
    </xf>
    <xf numFmtId="300" fontId="4" fillId="0" borderId="1" xfId="0" applyNumberFormat="true" applyFont="true" applyBorder="true" applyAlignment="true">
      <alignment horizontal="justify" vertical="top" wrapText="true"/>
    </xf>
    <xf numFmtId="300" fontId="4" fillId="0" borderId="1" xfId="0" applyNumberFormat="true" applyFont="true" applyBorder="true" applyAlignment="true">
      <alignment horizontal="left" vertical="center" wrapText="true"/>
    </xf>
    <xf numFmtId="305" fontId="9" fillId="0" borderId="1" xfId="0" applyFont="true" applyBorder="true" applyAlignment="true">
      <alignment horizontal="center" vertical="top" wrapText="true"/>
    </xf>
    <xf numFmtId="305" fontId="22" fillId="0" borderId="4" xfId="0" applyFont="true" applyBorder="true" applyAlignment="true">
      <alignment horizontal="center" vertical="top" wrapText="true"/>
    </xf>
    <xf numFmtId="305" fontId="22" fillId="0" borderId="7" xfId="0" applyFont="true" applyBorder="true" applyAlignment="true">
      <alignment horizontal="center" vertical="top" wrapText="true"/>
    </xf>
    <xf numFmtId="305" fontId="22" fillId="0" borderId="8" xfId="0" applyFont="true" applyBorder="true" applyAlignment="true">
      <alignment horizontal="center" vertical="top" wrapText="true"/>
    </xf>
    <xf numFmtId="305" fontId="22" fillId="0" borderId="1" xfId="0" applyFont="true" applyBorder="true" applyAlignment="true">
      <alignment horizontal="center" vertical="top" wrapText="true"/>
    </xf>
    <xf numFmtId="300" fontId="10" fillId="0" borderId="1" xfId="0" applyNumberFormat="true" applyFont="true" applyBorder="true" applyAlignment="true">
      <alignment horizontal="center" vertical="top" wrapText="true"/>
    </xf>
    <xf numFmtId="300" fontId="9" fillId="0" borderId="1" xfId="0" applyNumberFormat="true" applyFont="true" applyBorder="true" applyAlignment="true">
      <alignment horizontal="center" vertical="top" wrapText="true"/>
    </xf>
    <xf numFmtId="305" fontId="23" fillId="0" borderId="1" xfId="0" applyFont="true" applyBorder="true" applyAlignment="true">
      <alignment horizontal="center" vertical="top" wrapText="true"/>
    </xf>
    <xf numFmtId="300" fontId="24" fillId="0" borderId="1" xfId="0" applyNumberFormat="true" applyFont="true" applyBorder="true" applyAlignment="true">
      <alignment horizontal="center" vertical="top" wrapText="true"/>
    </xf>
    <xf numFmtId="300" fontId="25" fillId="0" borderId="1" xfId="0" applyNumberFormat="true" applyFont="true" applyBorder="true" applyAlignment="true">
      <alignment horizontal="center" vertical="top" wrapText="true"/>
    </xf>
    <xf numFmtId="10" fontId="16" fillId="0" borderId="1" xfId="0" applyNumberFormat="true" applyFont="true" applyBorder="true" applyAlignment="true">
      <alignment horizontal="center" vertical="top" wrapText="true"/>
    </xf>
    <xf numFmtId="10" fontId="13" fillId="0" borderId="1" xfId="0" applyNumberFormat="true" applyFont="true" applyBorder="true" applyAlignment="true">
      <alignment horizontal="center" vertical="top" wrapText="true"/>
    </xf>
    <xf numFmtId="10" fontId="4" fillId="0" borderId="1" xfId="0" applyNumberFormat="true" applyFont="true" applyBorder="true" applyAlignment="true">
      <alignment horizontal="center" vertical="top" wrapText="true"/>
    </xf>
    <xf numFmtId="10" fontId="25" fillId="0" borderId="1" xfId="0" applyNumberFormat="true" applyFont="true" applyBorder="true" applyAlignment="true">
      <alignment horizontal="center" vertical="top" wrapText="true"/>
    </xf>
    <xf numFmtId="305" fontId="26" fillId="0" borderId="1" xfId="0" applyFont="true" applyBorder="true" applyAlignment="true">
      <alignment horizontal="center" vertical="top" wrapText="true"/>
    </xf>
    <xf numFmtId="302" fontId="10" fillId="0" borderId="1" xfId="0" applyNumberFormat="true" applyFont="true" applyBorder="true" applyAlignment="true">
      <alignment horizontal="center" vertical="top" wrapText="true"/>
    </xf>
    <xf numFmtId="302" fontId="4" fillId="0" borderId="1" xfId="0" applyNumberFormat="true" applyFont="true" applyBorder="true" applyAlignment="true">
      <alignment horizontal="center" vertical="top" wrapText="true"/>
    </xf>
    <xf numFmtId="302" fontId="13" fillId="0" borderId="1" xfId="0" applyNumberFormat="true" applyFont="true" applyBorder="true" applyAlignment="true">
      <alignment horizontal="center" vertical="top" wrapText="true"/>
    </xf>
    <xf numFmtId="302" fontId="12" fillId="0" borderId="1" xfId="0" applyNumberFormat="true" applyFont="true" applyBorder="true" applyAlignment="true">
      <alignment horizontal="center" vertical="top" wrapText="true"/>
    </xf>
    <xf numFmtId="305" fontId="27" fillId="0" borderId="1" xfId="0" applyFont="true" applyBorder="true" applyAlignment="true">
      <alignment horizontal="center" vertical="top" wrapText="true"/>
    </xf>
    <xf numFmtId="9" fontId="27" fillId="0" borderId="1" xfId="0" applyNumberFormat="true" applyFont="true" applyBorder="true" applyAlignment="true">
      <alignment horizontal="center" vertical="top" wrapText="true"/>
    </xf>
    <xf numFmtId="9" fontId="4" fillId="0" borderId="1" xfId="0" applyNumberFormat="true" applyFont="true" applyBorder="true" applyAlignment="true">
      <alignment horizontal="center" vertical="top" wrapText="true"/>
    </xf>
    <xf numFmtId="9" fontId="13" fillId="0" borderId="1" xfId="0" applyNumberFormat="true" applyFont="true" applyBorder="true" applyAlignment="true">
      <alignment horizontal="center" vertical="top" wrapText="true"/>
    </xf>
    <xf numFmtId="300" fontId="21" fillId="0" borderId="1" xfId="0" applyNumberFormat="true" applyFont="true" applyBorder="true" applyAlignment="true">
      <alignment horizontal="center" vertical="top" wrapText="true"/>
    </xf>
    <xf numFmtId="300" fontId="12" fillId="0" borderId="1" xfId="0" applyNumberFormat="true" applyFont="true" applyBorder="true" applyAlignment="true">
      <alignment horizontal="left" vertical="top" wrapText="true"/>
    </xf>
    <xf numFmtId="305" fontId="4" fillId="0" borderId="1" xfId="0" applyFont="true" applyBorder="true" applyAlignment="true">
      <alignment horizontal="center" vertical="center"/>
    </xf>
    <xf numFmtId="305" fontId="28" fillId="0" borderId="14" xfId="0" applyFont="true" applyAlignment="true">
      <alignment horizontal="center" vertical="center"/>
    </xf>
    <xf numFmtId="305" fontId="4" fillId="0" borderId="5" xfId="0" applyFont="true" applyBorder="true" applyAlignment="true">
      <alignment horizontal="center" vertical="center" wrapText="true"/>
    </xf>
    <xf numFmtId="305" fontId="4" fillId="0" borderId="6" xfId="0" applyFont="true" applyBorder="true" applyAlignment="true">
      <alignment horizontal="center" vertical="center" wrapText="true"/>
    </xf>
    <xf numFmtId="305" fontId="12" fillId="0" borderId="9" xfId="0" applyFont="true" applyBorder="true" applyAlignment="true">
      <alignment horizontal="center" vertical="center"/>
    </xf>
    <xf numFmtId="305" fontId="40" fillId="0" borderId="10" xfId="0" applyBorder="true">
      <alignment vertical="center"/>
    </xf>
    <xf numFmtId="305" fontId="40" fillId="0" borderId="11" xfId="0" applyBorder="true">
      <alignment vertical="center"/>
    </xf>
    <xf numFmtId="305" fontId="4" fillId="0" borderId="4" xfId="0" applyFont="true" applyBorder="true" applyAlignment="true">
      <alignment horizontal="center" vertical="center" wrapText="true"/>
    </xf>
    <xf numFmtId="305" fontId="4" fillId="0" borderId="7" xfId="0" applyFont="true" applyBorder="true" applyAlignment="true">
      <alignment horizontal="center" vertical="center" wrapText="true"/>
    </xf>
    <xf numFmtId="301" fontId="13" fillId="0" borderId="3" xfId="0" applyNumberFormat="true" applyFont="true" applyBorder="true" applyAlignment="true">
      <alignment horizontal="center" vertical="top" wrapText="true"/>
    </xf>
    <xf numFmtId="302" fontId="12" fillId="0" borderId="3" xfId="0" applyNumberFormat="true" applyFont="true" applyBorder="true" applyAlignment="true">
      <alignment horizontal="center" vertical="top" wrapText="true"/>
    </xf>
    <xf numFmtId="300" fontId="13" fillId="0" borderId="1" xfId="0" applyNumberFormat="true" applyFont="true" applyBorder="true" applyAlignment="true">
      <alignment horizontal="left" vertical="top" wrapText="true"/>
    </xf>
    <xf numFmtId="302" fontId="13" fillId="0" borderId="4" xfId="0" applyNumberFormat="true" applyFont="true" applyBorder="true" applyAlignment="true">
      <alignment horizontal="center" vertical="top" wrapText="true"/>
    </xf>
    <xf numFmtId="300" fontId="12" fillId="0" borderId="4" xfId="0" applyNumberFormat="true" applyFont="true" applyBorder="true" applyAlignment="true">
      <alignment horizontal="left" vertical="top" wrapText="true"/>
    </xf>
    <xf numFmtId="300" fontId="11" fillId="0" borderId="4" xfId="0" applyNumberFormat="true" applyFont="true" applyBorder="true" applyAlignment="true">
      <alignment horizontal="left" vertical="top" wrapText="true"/>
    </xf>
    <xf numFmtId="300" fontId="11" fillId="0" borderId="1" xfId="0" applyNumberFormat="true" applyFont="true" applyBorder="true" applyAlignment="true">
      <alignment horizontal="left" vertical="top" wrapText="true"/>
    </xf>
    <xf numFmtId="305" fontId="29" fillId="0" borderId="14" xfId="0" applyFont="true" applyAlignment="true">
      <alignment horizontal="center" vertical="top" wrapText="true"/>
    </xf>
    <xf numFmtId="305" fontId="30" fillId="0" borderId="14" xfId="0" applyFont="true" applyAlignment="true">
      <alignment horizontal="center" vertical="top" wrapText="true"/>
    </xf>
    <xf numFmtId="300" fontId="29" fillId="0" borderId="14" xfId="0" applyNumberFormat="true" applyFont="true" applyAlignment="true">
      <alignment horizontal="center" vertical="top" wrapText="true"/>
    </xf>
    <xf numFmtId="305" fontId="31" fillId="0" borderId="14" xfId="0" applyFont="true" applyAlignment="true">
      <alignment horizontal="right" vertical="top" wrapText="true"/>
    </xf>
    <xf numFmtId="305" fontId="32" fillId="0" borderId="14" xfId="0" applyFont="true" applyAlignment="true">
      <alignment horizontal="right" vertical="top" wrapText="true"/>
    </xf>
    <xf numFmtId="300" fontId="31" fillId="0" borderId="14" xfId="0" applyNumberFormat="true" applyFont="true" applyAlignment="true">
      <alignment horizontal="right" vertical="top" wrapText="true"/>
    </xf>
    <xf numFmtId="305" fontId="21" fillId="0" borderId="1" xfId="0" applyFont="true" applyBorder="true" applyAlignment="true">
      <alignment horizontal="center" vertical="center" wrapText="true"/>
    </xf>
    <xf numFmtId="300" fontId="21" fillId="0" borderId="1" xfId="0" applyNumberFormat="true" applyFont="true" applyBorder="true" applyAlignment="true">
      <alignment horizontal="center" vertical="center" wrapText="true"/>
    </xf>
    <xf numFmtId="305" fontId="33" fillId="0" borderId="14" xfId="0" applyFont="true" applyAlignment="true">
      <alignment horizontal="center" vertical="center"/>
    </xf>
    <xf numFmtId="305" fontId="21" fillId="0" borderId="1" xfId="0" applyFont="true" applyBorder="true" applyAlignment="true">
      <alignment horizontal="center" vertical="top" wrapText="true"/>
    </xf>
    <xf numFmtId="300" fontId="34" fillId="0" borderId="1" xfId="0" applyNumberFormat="true" applyFont="true" applyBorder="true" applyAlignment="true">
      <alignment horizontal="center" vertical="top" wrapText="true"/>
    </xf>
    <xf numFmtId="10" fontId="35" fillId="0" borderId="2" xfId="0" applyNumberFormat="true" applyFont="true" applyBorder="true" applyAlignment="true">
      <alignment horizontal="center" vertical="top" wrapText="true"/>
    </xf>
    <xf numFmtId="10" fontId="35" fillId="0" borderId="12" xfId="0" applyNumberFormat="true" applyFont="true" applyBorder="true" applyAlignment="true">
      <alignment horizontal="center" vertical="top" wrapText="true"/>
    </xf>
    <xf numFmtId="300" fontId="35" fillId="0" borderId="13" xfId="0" applyNumberFormat="true" applyFont="true" applyBorder="true" applyAlignment="true">
      <alignment horizontal="center" vertical="top" wrapText="true"/>
    </xf>
    <xf numFmtId="305" fontId="24" fillId="0" borderId="1" xfId="0" applyFont="true" applyBorder="true" applyAlignment="true">
      <alignment horizontal="center" vertical="top" wrapText="true"/>
    </xf>
    <xf numFmtId="305" fontId="9" fillId="0" borderId="1" xfId="0" applyFont="true" applyBorder="true" applyAlignment="true">
      <alignment horizontal="center" vertical="center"/>
    </xf>
    <xf numFmtId="305" fontId="9" fillId="2" borderId="1" xfId="0" applyFont="true" applyFill="true" applyBorder="true" applyAlignment="true">
      <alignment horizontal="center" vertical="center"/>
    </xf>
    <xf numFmtId="303" fontId="9" fillId="2" borderId="1" xfId="0" applyNumberFormat="true" applyFont="true" applyFill="true" applyBorder="true" applyAlignment="true">
      <alignment horizontal="center" vertical="center"/>
    </xf>
    <xf numFmtId="305" fontId="33" fillId="0" borderId="14" xfId="0" applyFont="true">
      <alignment vertical="center"/>
    </xf>
    <xf numFmtId="305" fontId="16" fillId="0" borderId="1" xfId="0" applyFont="true" applyBorder="true" applyAlignment="true">
      <alignment horizontal="center" vertical="top" wrapText="true"/>
    </xf>
    <xf numFmtId="300" fontId="4" fillId="2" borderId="1" xfId="0" applyNumberFormat="true" applyFont="true" applyFill="true" applyBorder="true" applyAlignment="true">
      <alignment horizontal="center" vertical="center"/>
    </xf>
    <xf numFmtId="303" fontId="4" fillId="2" borderId="1" xfId="0" applyNumberFormat="true" applyFont="true" applyFill="true" applyBorder="true" applyAlignment="true">
      <alignment horizontal="center" vertical="center"/>
    </xf>
    <xf numFmtId="305" fontId="28" fillId="0" borderId="14" xfId="0" applyFont="true">
      <alignment vertical="center"/>
    </xf>
    <xf numFmtId="305" fontId="9" fillId="3" borderId="3" xfId="0" applyFont="true" applyFill="true" applyBorder="true" applyAlignment="true">
      <alignment horizontal="center" vertical="center"/>
    </xf>
    <xf numFmtId="305" fontId="8" fillId="0" borderId="14" xfId="0" applyFont="true">
      <alignment vertical="center"/>
    </xf>
    <xf numFmtId="304" fontId="33" fillId="0" borderId="14" xfId="0" applyNumberFormat="true" applyFont="true">
      <alignment vertical="center"/>
    </xf>
    <xf numFmtId="305" fontId="4" fillId="3" borderId="3" xfId="0" applyFont="true" applyFill="true" applyBorder="true" applyAlignment="true">
      <alignment horizontal="center" vertical="center"/>
    </xf>
    <xf numFmtId="305" fontId="4" fillId="3" borderId="1" xfId="0" applyFont="true" applyFill="true" applyBorder="true" applyAlignment="true">
      <alignment horizontal="center" vertical="center"/>
    </xf>
    <xf numFmtId="305" fontId="4" fillId="2" borderId="1" xfId="0" applyFont="true" applyFill="true" applyBorder="true" applyAlignment="true">
      <alignment horizontal="center" vertical="center"/>
    </xf>
    <xf numFmtId="303" fontId="21" fillId="0" borderId="14" xfId="0" applyNumberFormat="true" applyFont="true">
      <alignment vertical="center"/>
    </xf>
    <xf numFmtId="303" fontId="36" fillId="0" borderId="14" xfId="0" applyNumberFormat="true" applyFont="true">
      <alignment vertical="center"/>
    </xf>
    <xf numFmtId="300" fontId="37" fillId="0" borderId="2" xfId="0" applyNumberFormat="true" applyFont="true" applyBorder="true" applyAlignment="true">
      <alignment horizontal="center" vertical="top" wrapText="true"/>
    </xf>
    <xf numFmtId="300" fontId="38" fillId="0" borderId="12" xfId="0" applyNumberFormat="true" applyFont="true" applyBorder="true" applyAlignment="true">
      <alignment horizontal="center" vertical="top" wrapText="true"/>
    </xf>
    <xf numFmtId="300" fontId="38" fillId="0" borderId="13" xfId="0" applyNumberFormat="true" applyFont="true" applyBorder="true" applyAlignment="true">
      <alignment horizontal="center" vertical="top" wrapText="true"/>
    </xf>
    <xf numFmtId="303" fontId="12" fillId="0" borderId="14" xfId="0" applyNumberFormat="true" applyFont="true">
      <alignment vertical="center"/>
    </xf>
    <xf numFmtId="303" fontId="18" fillId="0" borderId="14" xfId="0" applyNumberFormat="true" applyFont="true">
      <alignment vertical="center"/>
    </xf>
    <xf numFmtId="300" fontId="37" fillId="0" borderId="2" xfId="0" applyNumberFormat="true" applyFont="true" applyBorder="true" applyAlignment="true">
      <alignment horizontal="center" vertical="center" wrapText="true"/>
    </xf>
    <xf numFmtId="300" fontId="37" fillId="0" borderId="12" xfId="0" applyNumberFormat="true" applyFont="true" applyBorder="true" applyAlignment="true">
      <alignment horizontal="center" vertical="center" wrapText="true"/>
    </xf>
    <xf numFmtId="300" fontId="37" fillId="0" borderId="13" xfId="0" applyNumberFormat="true" applyFont="true" applyBorder="true" applyAlignment="true">
      <alignment horizontal="left" vertical="center" wrapText="true"/>
    </xf>
    <xf numFmtId="300" fontId="37" fillId="0" borderId="13" xfId="0" applyNumberFormat="true" applyFont="true" applyBorder="true" applyAlignment="true">
      <alignment horizontal="center" vertical="center" wrapText="true"/>
    </xf>
    <xf numFmtId="300" fontId="37" fillId="0" borderId="12" xfId="0" applyNumberFormat="true" applyFont="true" applyBorder="true" applyAlignment="true">
      <alignment horizontal="center" vertical="top" wrapText="true"/>
    </xf>
    <xf numFmtId="300" fontId="37" fillId="0" borderId="13" xfId="0" applyNumberFormat="true" applyFont="true" applyBorder="true" applyAlignment="true">
      <alignment horizontal="left" vertical="top" wrapText="true"/>
    </xf>
    <xf numFmtId="300" fontId="6" fillId="0" borderId="2" xfId="0" applyNumberFormat="true" applyFont="true" applyBorder="true" applyAlignment="true">
      <alignment horizontal="center" vertical="top" wrapText="true"/>
    </xf>
    <xf numFmtId="300" fontId="37" fillId="0" borderId="13" xfId="0" applyNumberFormat="true" applyFont="true" applyBorder="true" applyAlignment="true">
      <alignment horizontal="center" vertical="top" wrapText="true"/>
    </xf>
    <xf numFmtId="9" fontId="11" fillId="0" borderId="1" xfId="0" applyNumberFormat="true" applyFont="true" applyBorder="true" applyAlignment="true">
      <alignment horizontal="center" vertical="top" wrapText="true"/>
    </xf>
    <xf numFmtId="300" fontId="38" fillId="0" borderId="2" xfId="0" applyNumberFormat="true" applyFont="true" applyBorder="true" applyAlignment="true">
      <alignment horizontal="center" vertical="top" wrapText="true"/>
    </xf>
    <xf numFmtId="305" fontId="40" fillId="0" borderId="14" xfId="0" applyAlignment="true">
      <alignment horizontal="center" vertical="center"/>
    </xf>
    <xf numFmtId="300" fontId="39" fillId="0" borderId="14" xfId="0" applyNumberFormat="true" applyFont="true" applyAlignment="true">
      <alignment horizontal="center" vertical="top" wrapText="true"/>
    </xf>
    <xf numFmtId="300" fontId="40" fillId="0" borderId="14" xfId="0" applyNumberFormat="true">
      <alignment vertical="center"/>
    </xf>
    <xf numFmtId="300" fontId="40" fillId="0" borderId="14" xfId="0" applyNumberFormat="true" applyAlignment="true">
      <alignment horizontal="center" vertical="center"/>
    </xf>
    <xf numFmtId="304" fontId="40" fillId="0" borderId="14" xfId="0" applyNumberFormat="true">
      <alignment vertical="center"/>
    </xf>
    <xf numFmtId="305" fontId="8" fillId="4" borderId="14" xfId="0" applyNumberFormat="true" applyFont="true" applyFill="true" applyBorder="true" applyAlignment="true">
      <alignment horizontal="center" vertical="center"/>
    </xf>
    <xf numFmtId="305" fontId="8" fillId="4" borderId="14" xfId="0" applyNumberFormat="true" applyFont="true" applyFill="true" applyBorder="true" applyAlignment="true">
      <alignment vertical="center"/>
    </xf>
    <xf numFmtId="305" fontId="40" fillId="4" borderId="14" xfId="0" applyNumberFormat="true" applyFill="true" applyBorder="true" applyAlignment="true">
      <alignment vertical="center"/>
    </xf>
    <xf numFmtId="305" fontId="40" fillId="4" borderId="14" xfId="0" applyNumberFormat="true" applyFill="true" applyBorder="true" applyAlignment="true">
      <alignment horizontal="center" vertical="center"/>
    </xf>
    <xf numFmtId="305" fontId="28" fillId="4" borderId="14" xfId="0" applyNumberFormat="true" applyFont="true" applyFill="true" applyBorder="true" applyAlignment="true">
      <alignment horizontal="center" vertical="center"/>
    </xf>
    <xf numFmtId="300" fontId="40" fillId="4" borderId="14" xfId="0" applyNumberFormat="true" applyFill="true" applyBorder="true" applyAlignment="true">
      <alignment vertical="center"/>
    </xf>
    <xf numFmtId="305" fontId="28" fillId="4" borderId="14" xfId="0" applyNumberFormat="true" applyFont="true" applyFill="true" applyBorder="true" applyAlignment="true">
      <alignment vertical="center"/>
    </xf>
    <xf numFmtId="306" fontId="40" fillId="4" borderId="14" xfId="0" applyNumberFormat="true" applyFill="true" applyBorder="true" applyAlignment="true">
      <alignment vertical="center"/>
    </xf>
    <xf numFmtId="302" fontId="40" fillId="4" borderId="14" xfId="0" applyNumberFormat="true" applyFill="true" applyBorder="true" applyAlignment="true">
      <alignment vertical="center"/>
    </xf>
    <xf numFmtId="307" fontId="40" fillId="4" borderId="14" xfId="0" applyNumberFormat="true" applyFill="true" applyBorder="true" applyAlignment="true">
      <alignment vertical="center"/>
    </xf>
    <xf numFmtId="300" fontId="40" fillId="4" borderId="14" xfId="0" applyNumberFormat="true" applyFill="true" applyBorder="true" applyAlignment="true">
      <alignment horizontal="center" vertical="center"/>
    </xf>
    <xf numFmtId="305" fontId="4" fillId="4" borderId="14" xfId="0" applyNumberFormat="true" applyFont="true" applyFill="true" applyBorder="true" applyAlignment="true">
      <alignment vertical="center"/>
    </xf>
    <xf numFmtId="305" fontId="12" fillId="4" borderId="14" xfId="0" applyNumberFormat="true" applyFont="true" applyFill="true" applyBorder="true" applyAlignment="true">
      <alignment vertical="center"/>
    </xf>
    <xf numFmtId="300" fontId="17" fillId="4" borderId="14" xfId="0" applyNumberFormat="true" applyFont="true" applyFill="true" applyBorder="true" applyAlignment="true">
      <alignment vertical="center"/>
    </xf>
    <xf numFmtId="300" fontId="28" fillId="4" borderId="14" xfId="0" applyNumberFormat="true" applyFont="true" applyFill="true" applyBorder="true" applyAlignment="true">
      <alignment vertical="center"/>
    </xf>
  </cellXfs>
  <cellStyles>
    <cellStyle name="常规" xfId="0" builtinId="0"/>
    <cellStyle name="警告文本" xfId="1" builtinId="11"/>
    <cellStyle name="60% - 强调文字颜色 5" xfId="2" builtinId="48"/>
    <cellStyle name="40% - 强调文字颜色 1" xfId="3" builtinId="31"/>
    <cellStyle name="强调文字颜色 6" xfId="4" builtinId="49"/>
    <cellStyle name="超链接" xfId="5" builtinId="8"/>
    <cellStyle name="强调文字颜色 5" xfId="6" builtinId="45"/>
    <cellStyle name="标题" xfId="7" builtinId="15"/>
    <cellStyle name="60% - 强调文字颜色 6" xfId="8" builtinId="52"/>
    <cellStyle name="40% - 强调文字颜色 2" xfId="9" builtinId="35"/>
    <cellStyle name="40% - 强调文字颜色 6" xfId="10" builtinId="51"/>
    <cellStyle name="20% - 强调文字颜色 2" xfId="11" builtinId="34"/>
    <cellStyle name="千位分隔[0]" xfId="12" builtinId="6"/>
    <cellStyle name="40% - 强调文字颜色 4" xfId="13" builtinId="43"/>
    <cellStyle name="40% - 强调文字颜色 5" xfId="14" builtinId="47"/>
    <cellStyle name="注释" xfId="15" builtinId="10"/>
    <cellStyle name="40% - 强调文字颜色 3" xfId="16" builtinId="39"/>
    <cellStyle name="货币[0]" xfId="17" builtinId="7"/>
    <cellStyle name="60% - 强调文字颜色 4" xfId="18" builtinId="44"/>
    <cellStyle name="差" xfId="19" builtinId="27"/>
    <cellStyle name="标题 1" xfId="20" builtinId="16"/>
    <cellStyle name="解释性文本" xfId="21" builtinId="53"/>
    <cellStyle name="强调文字颜色 3" xfId="22" builtinId="37"/>
    <cellStyle name="标题 2" xfId="23" builtinId="17"/>
    <cellStyle name="20% - 强调文字颜色 3" xfId="24" builtinId="38"/>
    <cellStyle name="标题 4" xfId="25" builtinId="19"/>
    <cellStyle name="千位分隔" xfId="26" builtinId="3"/>
    <cellStyle name="60% - 强调文字颜色 3" xfId="27" builtinId="40"/>
    <cellStyle name="输入" xfId="28" builtinId="20"/>
    <cellStyle name="60% - 强调文字颜色 2" xfId="29" builtinId="36"/>
    <cellStyle name="60% - 强调文字颜色 1" xfId="30" builtinId="32"/>
    <cellStyle name="标题 3" xfId="31" builtinId="18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强调文字颜色 1" xfId="37" builtinId="29"/>
    <cellStyle name="20% - 强调文字颜色 1" xfId="38" builtinId="30"/>
    <cellStyle name="适中" xfId="39" builtinId="28"/>
    <cellStyle name="好" xfId="40" builtinId="26"/>
    <cellStyle name="汇总" xfId="41" builtinId="25"/>
    <cellStyle name="链接单元格" xfId="42" builtinId="24"/>
    <cellStyle name="强调文字颜色 4" xfId="43" builtinId="41"/>
    <cellStyle name="货币" xfId="44" builtinId="4"/>
    <cellStyle name="20% - 强调文字颜色 4" xfId="45" builtinId="42"/>
    <cellStyle name="百分比" xfId="46" builtinId="5"/>
    <cellStyle name="已访问的超链接" xfId="47" builtinId="9"/>
    <cellStyle name="20% - 强调文字颜色 5" xfId="48" builtinId="46"/>
  </cellStyles>
</styleSheet>
</file>

<file path=xl/_rels/workbook.xml.rels><?xml version="1.0" encoding="UTF-8" standalone="yes"?><Relationships xmlns="http://schemas.openxmlformats.org/package/2006/relationships"><Relationship Id="rId9" Type="http://schemas.openxmlformats.org/officeDocument/2006/relationships/worksheet" Target="worksheets/sheet7.xml" /><Relationship Id="rId7" Type="http://schemas.openxmlformats.org/officeDocument/2006/relationships/worksheet" Target="worksheets/sheet5.xml" /><Relationship Id="rId6" Type="http://schemas.openxmlformats.org/officeDocument/2006/relationships/worksheet" Target="worksheets/sheet4.xml" /><Relationship Id="rId5" Type="http://schemas.openxmlformats.org/officeDocument/2006/relationships/worksheet" Target="worksheets/sheet3.xml" /><Relationship Id="rId1" Type="http://schemas.openxmlformats.org/officeDocument/2006/relationships/theme" Target="theme/theme1.xml" /><Relationship Id="rId0" Type="http://schemas.openxmlformats.org/officeDocument/2006/relationships/sharedStrings" Target="sharedStrings.xml" /><Relationship Id="rId8" Type="http://schemas.openxmlformats.org/officeDocument/2006/relationships/worksheet" Target="worksheets/sheet6.xml" /><Relationship Id="rId3" Type="http://schemas.openxmlformats.org/officeDocument/2006/relationships/worksheet" Target="worksheets/sheet1.xml" /><Relationship Id="rId10" Type="http://schemas.openxmlformats.org/officeDocument/2006/relationships/worksheet" Target="worksheets/sheet8.xml" /><Relationship Id="rId2" Type="http://schemas.openxmlformats.org/officeDocument/2006/relationships/styles" Target="styles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AA60"/>
  <sheetViews>
    <sheetView showGridLines="true" zoomScale="120" zoomScaleNormal="120" workbookViewId="0">
      <pane xSplit="1" ySplit="3" topLeftCell="B4" activePane="bottomRight" state="frozen"/>
    </sheetView>
  </sheetViews>
  <sheetFormatPr defaultColWidth="8.62963" defaultRowHeight="14.4"/>
  <cols>
    <col min="1" max="1" width="4.37037" style="165" customWidth="true"/>
    <col min="2" max="2" width="18.75" style="165" customWidth="true"/>
    <col min="3" max="3" width="10.5" style="165" customWidth="true"/>
    <col min="4" max="6" width="9.25" style="165" customWidth="true"/>
    <col min="7" max="7" width="10.5" style="165" customWidth="true"/>
    <col min="8" max="8" width="5.5" style="166" customWidth="true"/>
    <col min="9" max="9" width="9.87037" style="165" customWidth="true"/>
    <col min="10" max="10" width="10.3704" style="167" customWidth="true"/>
    <col min="11" max="11" width="13.6296" style="164" customWidth="true"/>
    <col min="12" max="12" width="10.1852" style="168" customWidth="true"/>
    <col min="13" max="13" width="8.62963" style="168"/>
    <col min="14" max="26" width="8.62963" style="164"/>
  </cols>
  <sheetData>
    <row r="1" spans="1:10" ht="23.25" customHeight="true">
      <c r="A1" s="111" t="s">
        <v>150</v>
      </c>
      <c r="B1" s="111" t="s"/>
      <c r="C1" s="111" t="s"/>
      <c r="D1" s="111" t="s"/>
      <c r="E1" s="111" t="s"/>
      <c r="F1" s="111" t="s"/>
      <c r="G1" s="111" t="s"/>
      <c r="H1" s="112" t="s"/>
      <c r="I1" s="111" t="s"/>
      <c r="J1" s="113" t="s"/>
    </row>
    <row r="2" spans="1:10" ht="20.1" customHeight="true">
      <c r="A2" s="114" t="s">
        <v>48</v>
      </c>
      <c r="B2" s="114" t="s"/>
      <c r="C2" s="114" t="s"/>
      <c r="D2" s="114" t="s"/>
      <c r="E2" s="114" t="s"/>
      <c r="F2" s="114" t="s"/>
      <c r="G2" s="114" t="s"/>
      <c r="H2" s="115" t="s"/>
      <c r="I2" s="114" t="s"/>
      <c r="J2" s="116" t="s"/>
    </row>
    <row r="3" spans="1:13" s="162" customFormat="true" ht="27.4" customHeight="true">
      <c r="A3" s="117" t="s">
        <v>2</v>
      </c>
      <c r="B3" s="117" t="s">
        <v>151</v>
      </c>
      <c r="C3" s="117" t="s">
        <v>152</v>
      </c>
      <c r="D3" s="117" t="s">
        <v>153</v>
      </c>
      <c r="E3" s="117" t="s">
        <v>154</v>
      </c>
      <c r="F3" s="117" t="s">
        <v>155</v>
      </c>
      <c r="G3" s="117" t="s">
        <v>49</v>
      </c>
      <c r="H3" s="117" t="s">
        <v>156</v>
      </c>
      <c r="I3" s="117" t="s">
        <v>157</v>
      </c>
      <c r="J3" s="118" t="s">
        <v>158</v>
      </c>
      <c r="L3" s="119" t="s"/>
      <c r="M3" s="119" t="s"/>
    </row>
    <row r="4" spans="1:10" ht="12" customHeight="true">
      <c r="A4" s="23" t="s">
        <v>159</v>
      </c>
      <c r="B4" s="120" t="s">
        <v>160</v>
      </c>
      <c r="C4" s="121">
        <f>=C5+C21+C31</f>
        <v>163.3318</v>
      </c>
      <c r="D4" s="121">
        <f>=D5+D21+D31</f>
        <v>362.2567</v>
      </c>
      <c r="E4" s="121">
        <f>=E5+E21+E31</f>
        <v>7376.98021</v>
      </c>
      <c r="F4" s="121" t="s"/>
      <c r="G4" s="121">
        <f>=C4+D4+E4+F4</f>
        <v>7902.56871</v>
      </c>
      <c r="H4" s="122">
        <f>=G4/G57</f>
        <v>0.901338348430815</v>
      </c>
      <c r="I4" s="123" t="s"/>
      <c r="J4" s="124" t="s"/>
    </row>
    <row r="5" spans="1:13" s="163" customFormat="true">
      <c r="A5" s="125">
        <v>1</v>
      </c>
      <c r="B5" s="125" t="s">
        <v>161</v>
      </c>
      <c r="C5" s="125">
        <f>=SUM(C6:C20)</f>
        <v>96.75</v>
      </c>
      <c r="D5" s="78">
        <f>=SUM(D6:D20)</f>
        <v>160.65</v>
      </c>
      <c r="E5" s="78">
        <f>=SUM(E6:E20)</f>
        <v>1451.24671</v>
      </c>
      <c r="F5" s="125" t="s">
        <v>162</v>
      </c>
      <c r="G5" s="78">
        <f>=SUM(C5:F5)</f>
        <v>1708.64671</v>
      </c>
      <c r="H5" s="126" t="s">
        <v>163</v>
      </c>
      <c r="I5" s="127">
        <v>5956</v>
      </c>
      <c r="J5" s="128">
        <f>=G5/I5</f>
        <v>0.286878225319006</v>
      </c>
      <c r="L5" s="129" t="s"/>
      <c r="M5" s="129" t="s"/>
    </row>
    <row r="6" spans="1:13" s="163" customFormat="true">
      <c r="A6" s="130">
        <f>=A5+0.1</f>
        <v>1.1</v>
      </c>
      <c r="B6" s="130" t="s">
        <v>164</v>
      </c>
      <c r="C6" s="130" t="s">
        <v>162</v>
      </c>
      <c r="D6" s="130" t="s">
        <v>162</v>
      </c>
      <c r="E6" s="130">
        <f>=I6*J6</f>
        <v>882.272</v>
      </c>
      <c r="F6" s="130" t="s">
        <v>162</v>
      </c>
      <c r="G6" s="130">
        <f>=SUM(C6:F6)</f>
        <v>882.272</v>
      </c>
      <c r="H6" s="95" t="s">
        <v>165</v>
      </c>
      <c r="I6" s="131">
        <v>11168</v>
      </c>
      <c r="J6" s="132">
        <v>0.079</v>
      </c>
      <c r="L6" s="133" t="s"/>
      <c r="M6" s="129" t="s"/>
    </row>
    <row r="7" spans="1:13" s="163" customFormat="true">
      <c r="A7" s="130">
        <f>=A6+0.1</f>
        <v>1.2</v>
      </c>
      <c r="B7" s="130" t="s">
        <v>166</v>
      </c>
      <c r="C7" s="130" t="s">
        <v>162</v>
      </c>
      <c r="D7" s="130" t="s">
        <v>162</v>
      </c>
      <c r="E7" s="130">
        <v>81</v>
      </c>
      <c r="F7" s="130" t="s">
        <v>162</v>
      </c>
      <c r="G7" s="130">
        <f>=SUM(C7:F7)</f>
        <v>81</v>
      </c>
      <c r="H7" s="95" t="s">
        <v>167</v>
      </c>
      <c r="I7" s="131">
        <v>57</v>
      </c>
      <c r="J7" s="132">
        <v>1.42</v>
      </c>
      <c r="L7" s="133" t="s"/>
      <c r="M7" s="129" t="s"/>
    </row>
    <row r="8" spans="1:13" s="163" customFormat="true">
      <c r="A8" s="130">
        <f>=A7+0.1</f>
        <v>1.3</v>
      </c>
      <c r="B8" s="130" t="s">
        <v>168</v>
      </c>
      <c r="C8" s="130" t="s">
        <v>162</v>
      </c>
      <c r="D8" s="130" t="s">
        <v>162</v>
      </c>
      <c r="E8" s="39">
        <v>9.32</v>
      </c>
      <c r="F8" s="130" t="s">
        <v>162</v>
      </c>
      <c r="G8" s="130">
        <f>=SUM(C8:F8)</f>
        <v>9.32</v>
      </c>
      <c r="H8" s="95" t="s">
        <v>167</v>
      </c>
      <c r="I8" s="131">
        <v>9</v>
      </c>
      <c r="J8" s="132">
        <v>1.036</v>
      </c>
      <c r="L8" s="133" t="s"/>
      <c r="M8" s="129" t="s"/>
    </row>
    <row r="9" spans="1:13" s="163" customFormat="true">
      <c r="A9" s="130">
        <f>=A8+0.1</f>
        <v>1.4</v>
      </c>
      <c r="B9" s="130" t="s">
        <v>169</v>
      </c>
      <c r="C9" s="130" t="s">
        <v>162</v>
      </c>
      <c r="D9" s="130" t="s">
        <v>162</v>
      </c>
      <c r="E9" s="39">
        <f>=I9*J9</f>
        <v>157.03471</v>
      </c>
      <c r="F9" s="130" t="s">
        <v>162</v>
      </c>
      <c r="G9" s="39">
        <f>=SUM(C9:F9)</f>
        <v>157.03471</v>
      </c>
      <c r="H9" s="95" t="s">
        <v>170</v>
      </c>
      <c r="I9" s="131">
        <v>87.29</v>
      </c>
      <c r="J9" s="132">
        <v>1.799</v>
      </c>
      <c r="L9" s="133" t="s"/>
      <c r="M9" s="129" t="s"/>
    </row>
    <row r="10" spans="1:13" s="163" customFormat="true">
      <c r="A10" s="130">
        <f>=A9+0.1</f>
        <v>1.5</v>
      </c>
      <c r="B10" s="130" t="s">
        <v>171</v>
      </c>
      <c r="C10" s="130" t="s">
        <v>162</v>
      </c>
      <c r="D10" s="130" t="s">
        <v>162</v>
      </c>
      <c r="E10" s="39">
        <v>11</v>
      </c>
      <c r="F10" s="130" t="s">
        <v>162</v>
      </c>
      <c r="G10" s="130">
        <f>=SUM(C10:F10)</f>
        <v>11</v>
      </c>
      <c r="H10" s="95" t="s">
        <v>170</v>
      </c>
      <c r="I10" s="131">
        <v>2</v>
      </c>
      <c r="J10" s="132">
        <v>5.5</v>
      </c>
      <c r="L10" s="133" t="s"/>
      <c r="M10" s="129" t="s"/>
    </row>
    <row r="11" spans="1:13" s="163" customFormat="true">
      <c r="A11" s="130">
        <f>=A10+0.1</f>
        <v>1.6</v>
      </c>
      <c r="B11" s="130" t="s">
        <v>172</v>
      </c>
      <c r="C11" s="130" t="s">
        <v>162</v>
      </c>
      <c r="D11" s="130" t="s">
        <v>162</v>
      </c>
      <c r="E11" s="39">
        <v>1.32</v>
      </c>
      <c r="F11" s="130" t="s">
        <v>162</v>
      </c>
      <c r="G11" s="130">
        <f>=SUM(C11:F11)</f>
        <v>1.32</v>
      </c>
      <c r="H11" s="95" t="s">
        <v>173</v>
      </c>
      <c r="I11" s="131">
        <v>610</v>
      </c>
      <c r="J11" s="132">
        <v>0.022</v>
      </c>
      <c r="L11" s="133" t="s"/>
      <c r="M11" s="129" t="s"/>
    </row>
    <row r="12" spans="1:13" s="163" customFormat="true">
      <c r="A12" s="130">
        <f>=A11+0.1</f>
        <v>1.7</v>
      </c>
      <c r="B12" s="130" t="s">
        <v>174</v>
      </c>
      <c r="C12" s="130" t="s">
        <v>162</v>
      </c>
      <c r="D12" s="130" t="s">
        <v>162</v>
      </c>
      <c r="E12" s="39">
        <v>147.62</v>
      </c>
      <c r="F12" s="130" t="s">
        <v>162</v>
      </c>
      <c r="G12" s="130">
        <f>=SUM(C12:F12)</f>
        <v>147.62</v>
      </c>
      <c r="H12" s="95" t="s">
        <v>170</v>
      </c>
      <c r="I12" s="131">
        <v>8.1</v>
      </c>
      <c r="J12" s="132">
        <v>18.225</v>
      </c>
      <c r="L12" s="133" t="s"/>
      <c r="M12" s="129" t="s"/>
    </row>
    <row r="13" spans="1:13" s="163" customFormat="true">
      <c r="A13" s="130">
        <f>=A12+0.1</f>
        <v>1.8</v>
      </c>
      <c r="B13" s="130" t="s">
        <v>175</v>
      </c>
      <c r="C13" s="130" t="s">
        <v>162</v>
      </c>
      <c r="D13" s="130" t="s">
        <v>162</v>
      </c>
      <c r="E13" s="39">
        <v>25.26</v>
      </c>
      <c r="F13" s="130" t="s">
        <v>162</v>
      </c>
      <c r="G13" s="130">
        <f>=SUM(C13:F13)</f>
        <v>25.26</v>
      </c>
      <c r="H13" s="95" t="s">
        <v>167</v>
      </c>
      <c r="I13" s="131">
        <v>1</v>
      </c>
      <c r="J13" s="132">
        <v>20.26</v>
      </c>
      <c r="L13" s="133" t="s"/>
      <c r="M13" s="129" t="s"/>
    </row>
    <row r="14" spans="1:13" s="163" customFormat="true">
      <c r="A14" s="130">
        <f>=A13+0.1</f>
        <v>1.9</v>
      </c>
      <c r="B14" s="130" t="s">
        <v>176</v>
      </c>
      <c r="C14" s="130" t="s">
        <v>162</v>
      </c>
      <c r="D14" s="130" t="s">
        <v>162</v>
      </c>
      <c r="E14" s="39">
        <v>5.13</v>
      </c>
      <c r="F14" s="130" t="s">
        <v>162</v>
      </c>
      <c r="G14" s="130">
        <f>=SUM(C14:F14)</f>
        <v>5.13</v>
      </c>
      <c r="H14" s="95" t="s">
        <v>167</v>
      </c>
      <c r="I14" s="131">
        <v>1</v>
      </c>
      <c r="J14" s="132">
        <v>5.132</v>
      </c>
      <c r="L14" s="133" t="s"/>
      <c r="M14" s="129" t="s"/>
    </row>
    <row r="15" spans="1:13" s="163" customFormat="true">
      <c r="A15" s="130">
        <f>=A14+0.1</f>
        <v>2</v>
      </c>
      <c r="B15" s="130" t="s">
        <v>177</v>
      </c>
      <c r="C15" s="130" t="s">
        <v>162</v>
      </c>
      <c r="D15" s="130" t="s">
        <v>162</v>
      </c>
      <c r="E15" s="39">
        <v>5</v>
      </c>
      <c r="F15" s="130" t="s">
        <v>162</v>
      </c>
      <c r="G15" s="130">
        <f>=SUM(C15:F15)</f>
        <v>5</v>
      </c>
      <c r="H15" s="95" t="s">
        <v>167</v>
      </c>
      <c r="I15" s="131">
        <v>1</v>
      </c>
      <c r="J15" s="132">
        <v>5</v>
      </c>
      <c r="L15" s="133" t="s"/>
      <c r="M15" s="129" t="s"/>
    </row>
    <row r="16" spans="1:13" s="163" customFormat="true">
      <c r="A16" s="130">
        <f>=A15+0.1</f>
        <v>2.1</v>
      </c>
      <c r="B16" s="130" t="s">
        <v>178</v>
      </c>
      <c r="C16" s="130" t="s">
        <v>162</v>
      </c>
      <c r="D16" s="130" t="s">
        <v>162</v>
      </c>
      <c r="E16" s="39">
        <v>4.71</v>
      </c>
      <c r="F16" s="130" t="s">
        <v>162</v>
      </c>
      <c r="G16" s="130">
        <f>=SUM(C16:F16)</f>
        <v>4.71</v>
      </c>
      <c r="H16" s="95" t="s">
        <v>167</v>
      </c>
      <c r="I16" s="131">
        <v>1</v>
      </c>
      <c r="J16" s="132">
        <v>4.711</v>
      </c>
      <c r="L16" s="133" t="s"/>
      <c r="M16" s="129" t="s"/>
    </row>
    <row r="17" spans="1:13" s="163" customFormat="true">
      <c r="A17" s="130">
        <f>=A16+0.1</f>
        <v>2.2</v>
      </c>
      <c r="B17" s="130" t="s">
        <v>179</v>
      </c>
      <c r="C17" s="130" t="s">
        <v>162</v>
      </c>
      <c r="D17" s="130" t="s">
        <v>162</v>
      </c>
      <c r="E17" s="39">
        <v>39.07</v>
      </c>
      <c r="F17" s="130" t="s">
        <v>162</v>
      </c>
      <c r="G17" s="130">
        <f>=SUM(C17:F17)</f>
        <v>39.07</v>
      </c>
      <c r="H17" s="95" t="s">
        <v>167</v>
      </c>
      <c r="I17" s="131">
        <v>1</v>
      </c>
      <c r="J17" s="132">
        <v>35</v>
      </c>
      <c r="L17" s="133" t="s"/>
      <c r="M17" s="129" t="s"/>
    </row>
    <row r="18" spans="1:13" s="163" customFormat="true">
      <c r="A18" s="130">
        <f>=A17+0.1</f>
        <v>2.3</v>
      </c>
      <c r="B18" s="130" t="s">
        <v>180</v>
      </c>
      <c r="C18" s="130" t="s">
        <v>162</v>
      </c>
      <c r="D18" s="130" t="s">
        <v>162</v>
      </c>
      <c r="E18" s="130">
        <v>82.51</v>
      </c>
      <c r="F18" s="130" t="s">
        <v>162</v>
      </c>
      <c r="G18" s="130">
        <f>=SUM(C18:F18)</f>
        <v>82.51</v>
      </c>
      <c r="H18" s="95" t="s">
        <v>170</v>
      </c>
      <c r="I18" s="131">
        <v>2</v>
      </c>
      <c r="J18" s="132">
        <v>41.3</v>
      </c>
      <c r="L18" s="133" t="s"/>
      <c r="M18" s="129" t="s"/>
    </row>
    <row r="19" spans="1:13" s="163" customFormat="true">
      <c r="A19" s="130">
        <f>=A18+0.1</f>
        <v>2.4</v>
      </c>
      <c r="B19" s="130" t="s">
        <v>181</v>
      </c>
      <c r="C19" s="130">
        <v>96.75</v>
      </c>
      <c r="D19" s="130" t="s">
        <v>162</v>
      </c>
      <c r="E19" s="39" t="s">
        <v>162</v>
      </c>
      <c r="F19" s="130" t="s">
        <v>162</v>
      </c>
      <c r="G19" s="130">
        <f>=SUM(C19:F19)</f>
        <v>96.75</v>
      </c>
      <c r="H19" s="95" t="s">
        <v>182</v>
      </c>
      <c r="I19" s="131">
        <v>1</v>
      </c>
      <c r="J19" s="132">
        <v>80.25</v>
      </c>
      <c r="L19" s="133" t="s"/>
      <c r="M19" s="129" t="s"/>
    </row>
    <row r="20" spans="1:13" s="163" customFormat="true">
      <c r="A20" s="130">
        <f>=A19+0.1</f>
        <v>2.5</v>
      </c>
      <c r="B20" s="130" t="s">
        <v>183</v>
      </c>
      <c r="C20" s="130" t="s">
        <v>162</v>
      </c>
      <c r="D20" s="39">
        <f>=I20*J20</f>
        <v>160.65</v>
      </c>
      <c r="E20" s="130" t="s">
        <v>162</v>
      </c>
      <c r="F20" s="130" t="s">
        <v>162</v>
      </c>
      <c r="G20" s="39">
        <f>=SUM(C20:F20)</f>
        <v>160.65</v>
      </c>
      <c r="H20" s="95" t="s">
        <v>163</v>
      </c>
      <c r="I20" s="131">
        <v>5950</v>
      </c>
      <c r="J20" s="132">
        <v>0.027</v>
      </c>
      <c r="L20" s="133" t="s"/>
      <c r="M20" s="129" t="s"/>
    </row>
    <row r="21" spans="1:13" s="163" customFormat="true" ht="19.2">
      <c r="A21" s="125">
        <v>2</v>
      </c>
      <c r="B21" s="125" t="s">
        <v>184</v>
      </c>
      <c r="C21" s="125" t="s"/>
      <c r="D21" s="125">
        <f>=SUM(D22:D29)</f>
        <v>130</v>
      </c>
      <c r="E21" s="125">
        <f>=SUM(E22:E30)</f>
        <v>4969.7</v>
      </c>
      <c r="F21" s="125" t="s"/>
      <c r="G21" s="125">
        <f>=SUM(C21:F21)</f>
        <v>5099.7</v>
      </c>
      <c r="H21" s="126" t="s">
        <v>185</v>
      </c>
      <c r="I21" s="134">
        <v>40000</v>
      </c>
      <c r="J21" s="128">
        <f>=G21/I21</f>
        <v>0.1274925</v>
      </c>
      <c r="K21" s="135">
        <f>=SUM(G22:G29)</f>
        <v>4499.7</v>
      </c>
      <c r="L21" s="136">
        <f>=K21/37000</f>
        <v>0.121613513513514</v>
      </c>
      <c r="M21" s="129" t="s"/>
    </row>
    <row r="22" spans="1:13" s="163" customFormat="true">
      <c r="A22" s="130">
        <f>=A21+0.1</f>
        <v>2.1</v>
      </c>
      <c r="B22" s="130" t="s">
        <v>186</v>
      </c>
      <c r="C22" s="130" t="s">
        <v>162</v>
      </c>
      <c r="D22" s="130" t="s">
        <v>162</v>
      </c>
      <c r="E22" s="130">
        <f>=I22*J22</f>
        <v>3200.5</v>
      </c>
      <c r="F22" s="130" t="s">
        <v>162</v>
      </c>
      <c r="G22" s="130">
        <f>=SUM(C22:F22)</f>
        <v>3200.5</v>
      </c>
      <c r="H22" s="95" t="s">
        <v>187</v>
      </c>
      <c r="I22" s="137">
        <v>7.4</v>
      </c>
      <c r="J22" s="131">
        <v>432.5</v>
      </c>
      <c r="L22" s="133" t="s"/>
      <c r="M22" s="129" t="s"/>
    </row>
    <row r="23" spans="1:13" s="163" customFormat="true">
      <c r="A23" s="130">
        <f>=A22+0.1</f>
        <v>2.2</v>
      </c>
      <c r="B23" s="130" t="s">
        <v>188</v>
      </c>
      <c r="C23" s="130" t="s">
        <v>162</v>
      </c>
      <c r="D23" s="130" t="s">
        <v>162</v>
      </c>
      <c r="E23" s="130">
        <f>=I23*J23</f>
        <v>370</v>
      </c>
      <c r="F23" s="130" t="s">
        <v>162</v>
      </c>
      <c r="G23" s="130">
        <f>=SUM(C23:F23)</f>
        <v>370</v>
      </c>
      <c r="H23" s="95" t="s">
        <v>187</v>
      </c>
      <c r="I23" s="137">
        <f>=I22</f>
        <v>7.4</v>
      </c>
      <c r="J23" s="131">
        <v>50</v>
      </c>
      <c r="L23" s="133" t="s"/>
      <c r="M23" s="129" t="s"/>
    </row>
    <row r="24" spans="1:13" s="163" customFormat="true">
      <c r="A24" s="130">
        <f>=A23+0.1</f>
        <v>2.3</v>
      </c>
      <c r="B24" s="130" t="s">
        <v>189</v>
      </c>
      <c r="C24" s="130" t="s">
        <v>162</v>
      </c>
      <c r="D24" s="130" t="s">
        <v>162</v>
      </c>
      <c r="E24" s="130">
        <f>=I24*J24</f>
        <v>111</v>
      </c>
      <c r="F24" s="130" t="s">
        <v>162</v>
      </c>
      <c r="G24" s="130">
        <f>=SUM(C24:F24)</f>
        <v>111</v>
      </c>
      <c r="H24" s="95" t="s">
        <v>187</v>
      </c>
      <c r="I24" s="137">
        <f>=I23</f>
        <v>7.4</v>
      </c>
      <c r="J24" s="131">
        <v>15</v>
      </c>
      <c r="L24" s="133" t="s"/>
      <c r="M24" s="129" t="s"/>
    </row>
    <row r="25" spans="1:13" s="163" customFormat="true">
      <c r="A25" s="130">
        <f>=A24+0.1</f>
        <v>2.4</v>
      </c>
      <c r="B25" s="130" t="s">
        <v>190</v>
      </c>
      <c r="C25" s="130" t="s">
        <v>162</v>
      </c>
      <c r="D25" s="130" t="s">
        <v>162</v>
      </c>
      <c r="E25" s="130">
        <f>=I25*J25</f>
        <v>148</v>
      </c>
      <c r="F25" s="130" t="s">
        <v>162</v>
      </c>
      <c r="G25" s="130">
        <f>=SUM(C25:F25)</f>
        <v>148</v>
      </c>
      <c r="H25" s="95" t="s">
        <v>187</v>
      </c>
      <c r="I25" s="137">
        <f>=I24</f>
        <v>7.4</v>
      </c>
      <c r="J25" s="131">
        <v>20</v>
      </c>
      <c r="L25" s="133" t="s"/>
      <c r="M25" s="129" t="s"/>
    </row>
    <row r="26" spans="1:13" s="163" customFormat="true">
      <c r="A26" s="130">
        <f>=A25+0.1</f>
        <v>2.5</v>
      </c>
      <c r="B26" s="130" t="s">
        <v>191</v>
      </c>
      <c r="C26" s="130" t="s">
        <v>162</v>
      </c>
      <c r="D26" s="130" t="s">
        <v>162</v>
      </c>
      <c r="E26" s="130">
        <f>=I26*J26</f>
        <v>111</v>
      </c>
      <c r="F26" s="130" t="s">
        <v>162</v>
      </c>
      <c r="G26" s="130">
        <f>=SUM(C26:F26)</f>
        <v>111</v>
      </c>
      <c r="H26" s="95" t="s">
        <v>187</v>
      </c>
      <c r="I26" s="137">
        <f>=I25</f>
        <v>7.4</v>
      </c>
      <c r="J26" s="131">
        <v>15</v>
      </c>
      <c r="L26" s="133" t="s"/>
      <c r="M26" s="129" t="s"/>
    </row>
    <row r="27" spans="1:13" s="163" customFormat="true">
      <c r="A27" s="130">
        <f>=A26+0.1</f>
        <v>2.6</v>
      </c>
      <c r="B27" s="130" t="s">
        <v>192</v>
      </c>
      <c r="C27" s="130" t="s">
        <v>162</v>
      </c>
      <c r="D27" s="130" t="s">
        <v>162</v>
      </c>
      <c r="E27" s="130">
        <f>=I27*J27</f>
        <v>370</v>
      </c>
      <c r="F27" s="130" t="s">
        <v>162</v>
      </c>
      <c r="G27" s="130">
        <f>=SUM(C27:F27)</f>
        <v>370</v>
      </c>
      <c r="H27" s="95" t="s">
        <v>187</v>
      </c>
      <c r="I27" s="137">
        <f>=I26</f>
        <v>7.4</v>
      </c>
      <c r="J27" s="131">
        <v>50</v>
      </c>
      <c r="L27" s="133" t="s"/>
      <c r="M27" s="129" t="s"/>
    </row>
    <row r="28" spans="1:13" s="163" customFormat="true">
      <c r="A28" s="130">
        <f>=A27+0.1</f>
        <v>2.7</v>
      </c>
      <c r="B28" s="130" t="s">
        <v>193</v>
      </c>
      <c r="C28" s="130" t="s">
        <v>162</v>
      </c>
      <c r="D28" s="130" t="s">
        <v>162</v>
      </c>
      <c r="E28" s="130">
        <f>=I28*J28</f>
        <v>59.2</v>
      </c>
      <c r="F28" s="130" t="s">
        <v>162</v>
      </c>
      <c r="G28" s="130">
        <f>=SUM(C28:F28)</f>
        <v>59.2</v>
      </c>
      <c r="H28" s="95" t="s">
        <v>187</v>
      </c>
      <c r="I28" s="137">
        <f>=I27</f>
        <v>7.4</v>
      </c>
      <c r="J28" s="131">
        <v>8</v>
      </c>
      <c r="L28" s="133" t="s"/>
      <c r="M28" s="129" t="s"/>
    </row>
    <row r="29" spans="1:13" s="163" customFormat="true">
      <c r="A29" s="130">
        <f>=A28+0.1</f>
        <v>2.8</v>
      </c>
      <c r="B29" s="130" t="s">
        <v>194</v>
      </c>
      <c r="C29" s="130" t="s">
        <v>162</v>
      </c>
      <c r="D29" s="130">
        <v>130</v>
      </c>
      <c r="E29" s="130" t="s">
        <v>162</v>
      </c>
      <c r="F29" s="130" t="s">
        <v>162</v>
      </c>
      <c r="G29" s="130">
        <f>=SUM(C29:F29)</f>
        <v>130</v>
      </c>
      <c r="H29" s="95" t="s">
        <v>187</v>
      </c>
      <c r="I29" s="137">
        <f>=I28</f>
        <v>7.4</v>
      </c>
      <c r="J29" s="131">
        <v>25</v>
      </c>
      <c r="L29" s="133" t="s"/>
      <c r="M29" s="129" t="s"/>
    </row>
    <row r="30" spans="1:13" s="163" customFormat="true">
      <c r="A30" s="130">
        <f>=A29+0.1</f>
        <v>2.9</v>
      </c>
      <c r="B30" s="130" t="s">
        <v>195</v>
      </c>
      <c r="C30" s="130" t="s"/>
      <c r="D30" s="130" t="s"/>
      <c r="E30" s="130">
        <f>=I30*J30</f>
        <v>600</v>
      </c>
      <c r="F30" s="130" t="s"/>
      <c r="G30" s="130">
        <f>=SUM(C30:F30)</f>
        <v>600</v>
      </c>
      <c r="H30" s="95" t="s">
        <v>187</v>
      </c>
      <c r="I30" s="138">
        <v>200</v>
      </c>
      <c r="J30" s="131">
        <v>3</v>
      </c>
      <c r="L30" s="129" t="s"/>
      <c r="M30" s="129" t="s"/>
    </row>
    <row r="31" spans="1:13" s="163" customFormat="true">
      <c r="A31" s="125">
        <v>3</v>
      </c>
      <c r="B31" s="125" t="s">
        <v>196</v>
      </c>
      <c r="C31" s="78">
        <f>=SUM(C32:C37)</f>
        <v>66.5818</v>
      </c>
      <c r="D31" s="78">
        <f>=SUM(D32:D37)</f>
        <v>71.6067</v>
      </c>
      <c r="E31" s="78">
        <f>=SUM(E32:E37)</f>
        <v>956.0335</v>
      </c>
      <c r="F31" s="125">
        <f>=SUM(F34:F37)</f>
        <v>0</v>
      </c>
      <c r="G31" s="78">
        <f>=SUM(C31:F31)</f>
        <v>1094.222</v>
      </c>
      <c r="H31" s="95" t="s">
        <v>197</v>
      </c>
      <c r="I31" s="139">
        <v>5551.3</v>
      </c>
      <c r="J31" s="139">
        <v>0.227</v>
      </c>
      <c r="L31" s="129" t="s"/>
      <c r="M31" s="129" t="s"/>
    </row>
    <row r="32" spans="1:13" s="163" customFormat="true">
      <c r="A32" s="130">
        <f>=A31+0.1</f>
        <v>3.1</v>
      </c>
      <c r="B32" s="130" t="s">
        <v>198</v>
      </c>
      <c r="C32" s="130" t="s"/>
      <c r="D32" s="130">
        <f>=I32*J32*0.15</f>
        <v>12</v>
      </c>
      <c r="E32" s="130">
        <f>=J32*I32*0.85</f>
        <v>68</v>
      </c>
      <c r="F32" s="130" t="s"/>
      <c r="G32" s="130">
        <f>=SUM(C32:F32)</f>
        <v>80</v>
      </c>
      <c r="H32" s="95" t="s">
        <v>167</v>
      </c>
      <c r="I32" s="139">
        <v>2</v>
      </c>
      <c r="J32" s="139">
        <v>40</v>
      </c>
      <c r="L32" s="129" t="s"/>
      <c r="M32" s="129" t="s"/>
    </row>
    <row r="33" spans="1:13" s="163" customFormat="true">
      <c r="A33" s="130">
        <f>=A32+0.1</f>
        <v>3.2</v>
      </c>
      <c r="B33" s="130" t="s">
        <v>199</v>
      </c>
      <c r="C33" s="39" t="s"/>
      <c r="D33" s="130">
        <f>=I33*J33*0.15</f>
        <v>22.5</v>
      </c>
      <c r="E33" s="130">
        <f>=J33*I33*0.85</f>
        <v>127.5</v>
      </c>
      <c r="F33" s="130" t="s"/>
      <c r="G33" s="130">
        <f>=SUM(C33:F33)</f>
        <v>150</v>
      </c>
      <c r="H33" s="95" t="s">
        <v>200</v>
      </c>
      <c r="I33" s="139">
        <v>3000</v>
      </c>
      <c r="J33" s="139">
        <v>0.05</v>
      </c>
      <c r="L33" s="129" t="s"/>
      <c r="M33" s="129" t="s"/>
    </row>
    <row r="34" spans="1:13" s="163" customFormat="true">
      <c r="A34" s="130">
        <f>=A33+0.1</f>
        <v>3.3</v>
      </c>
      <c r="B34" s="130" t="s">
        <v>201</v>
      </c>
      <c r="C34" s="39">
        <f>=I34*J34</f>
        <v>41.844</v>
      </c>
      <c r="D34" s="130" t="s"/>
      <c r="E34" s="130" t="s"/>
      <c r="F34" s="130" t="s"/>
      <c r="G34" s="39">
        <f>=SUM(C34:F34)</f>
        <v>41.844</v>
      </c>
      <c r="H34" s="95" t="s">
        <v>197</v>
      </c>
      <c r="I34" s="139">
        <v>132</v>
      </c>
      <c r="J34" s="139">
        <v>0.317</v>
      </c>
      <c r="L34" s="133" t="s"/>
      <c r="M34" s="129" t="s"/>
    </row>
    <row r="35" spans="1:13" s="163" customFormat="true">
      <c r="A35" s="130">
        <f>=A34+0.1</f>
        <v>3.4</v>
      </c>
      <c r="B35" s="130" t="s">
        <v>202</v>
      </c>
      <c r="C35" s="39">
        <f>=I35*J35*0.1</f>
        <v>24.7378</v>
      </c>
      <c r="D35" s="39">
        <f>=I35*J35*0.15</f>
        <v>37.1067</v>
      </c>
      <c r="E35" s="39">
        <f>=I35*J35*0.75</f>
        <v>185.5335</v>
      </c>
      <c r="F35" s="130" t="s"/>
      <c r="G35" s="39">
        <f>=SUM(C35:F35)</f>
        <v>247.378</v>
      </c>
      <c r="H35" s="139" t="s">
        <v>197</v>
      </c>
      <c r="I35" s="139">
        <v>179</v>
      </c>
      <c r="J35" s="139">
        <v>1.382</v>
      </c>
      <c r="L35" s="133" t="s"/>
      <c r="M35" s="129" t="s"/>
    </row>
    <row r="36" spans="1:13" s="163" customFormat="true" ht="14.1" customHeight="true">
      <c r="A36" s="130">
        <f>=A35+0.1</f>
        <v>3.5</v>
      </c>
      <c r="B36" s="130" t="s">
        <v>203</v>
      </c>
      <c r="C36" s="130" t="s">
        <v>162</v>
      </c>
      <c r="D36" s="130" t="s">
        <v>162</v>
      </c>
      <c r="E36" s="130">
        <v>25</v>
      </c>
      <c r="F36" s="130" t="s">
        <v>162</v>
      </c>
      <c r="G36" s="130">
        <f>=SUM(C36:F36)</f>
        <v>25</v>
      </c>
      <c r="H36" s="139" t="s">
        <v>167</v>
      </c>
      <c r="I36" s="139">
        <v>1</v>
      </c>
      <c r="J36" s="139">
        <v>25</v>
      </c>
      <c r="K36" s="140" t="s"/>
      <c r="L36" s="141" t="s"/>
      <c r="M36" s="129" t="s"/>
    </row>
    <row r="37" spans="1:13" s="163" customFormat="true" ht="14.1" customHeight="true">
      <c r="A37" s="130">
        <f>=A36+0.1</f>
        <v>3.6</v>
      </c>
      <c r="B37" s="130" t="s">
        <v>204</v>
      </c>
      <c r="C37" s="130" t="s">
        <v>162</v>
      </c>
      <c r="D37" s="130" t="s">
        <v>162</v>
      </c>
      <c r="E37" s="130">
        <f>=I37*J37</f>
        <v>550</v>
      </c>
      <c r="F37" s="130" t="s">
        <v>162</v>
      </c>
      <c r="G37" s="130">
        <f>=SUM(C37:F37)</f>
        <v>550</v>
      </c>
      <c r="H37" s="139" t="s">
        <v>187</v>
      </c>
      <c r="I37" s="139">
        <v>5</v>
      </c>
      <c r="J37" s="139">
        <v>110</v>
      </c>
      <c r="K37" s="140" t="s"/>
      <c r="L37" s="141" t="s"/>
      <c r="M37" s="129" t="s"/>
    </row>
    <row r="38" spans="1:13" s="163" customFormat="true" ht="14.1" customHeight="true">
      <c r="A38" s="120" t="s">
        <v>205</v>
      </c>
      <c r="B38" s="120" t="s">
        <v>206</v>
      </c>
      <c r="C38" s="121" t="s"/>
      <c r="D38" s="121" t="s"/>
      <c r="E38" s="121" t="s"/>
      <c r="F38" s="121">
        <f>=SUM(F39:F49)</f>
        <v>372.520828949</v>
      </c>
      <c r="G38" s="121">
        <f>=C38+D38+E38+F38</f>
        <v>372.520828949</v>
      </c>
      <c r="H38" s="122">
        <f>=G38/G57</f>
        <v>0.042488375747507</v>
      </c>
      <c r="I38" s="123" t="s"/>
      <c r="J38" s="124" t="s"/>
      <c r="K38" s="140" t="s"/>
      <c r="L38" s="141" t="s"/>
      <c r="M38" s="129" t="s"/>
    </row>
    <row r="39" spans="1:12" ht="14.1" customHeight="true">
      <c r="A39" s="23">
        <v>1</v>
      </c>
      <c r="B39" s="130" t="s">
        <v>207</v>
      </c>
      <c r="C39" s="24" t="s"/>
      <c r="D39" s="24" t="s"/>
      <c r="E39" s="24" t="s"/>
      <c r="F39" s="39">
        <f>=G4*0.005</f>
        <v>39.51284355</v>
      </c>
      <c r="G39" s="24">
        <f>=C39+D39+E39+F39</f>
        <v>39.51284355</v>
      </c>
      <c r="H39" s="142" t="s"/>
      <c r="I39" s="143" t="s"/>
      <c r="J39" s="144" t="s"/>
      <c r="K39" s="145" t="s"/>
      <c r="L39" s="146" t="s"/>
    </row>
    <row r="40" spans="1:10" ht="14.1" customHeight="true">
      <c r="A40" s="23">
        <v>2</v>
      </c>
      <c r="B40" s="130" t="s">
        <v>208</v>
      </c>
      <c r="C40" s="24" t="s"/>
      <c r="D40" s="24" t="s"/>
      <c r="E40" s="24" t="s"/>
      <c r="F40" s="39">
        <f>=G4*0.006</f>
        <v>47.41541226</v>
      </c>
      <c r="G40" s="24">
        <f>=C40+D40+E40+F40</f>
        <v>47.41541226</v>
      </c>
      <c r="H40" s="147" t="s"/>
      <c r="I40" s="148" t="s"/>
      <c r="J40" s="149" t="s"/>
    </row>
    <row r="41" spans="1:10" ht="14.1" customHeight="true">
      <c r="A41" s="23">
        <v>3</v>
      </c>
      <c r="B41" s="130" t="s">
        <v>209</v>
      </c>
      <c r="C41" s="24" t="s"/>
      <c r="D41" s="24" t="s"/>
      <c r="E41" s="24" t="s"/>
      <c r="F41" s="39">
        <f>=G4*0.005</f>
        <v>39.51284355</v>
      </c>
      <c r="G41" s="24">
        <f>=C41+D41+E41+F41</f>
        <v>39.51284355</v>
      </c>
      <c r="H41" s="147" t="s"/>
      <c r="I41" s="148" t="s"/>
      <c r="J41" s="149" t="s"/>
    </row>
    <row r="42" spans="1:10" ht="14.1" customHeight="true">
      <c r="A42" s="23">
        <v>4</v>
      </c>
      <c r="B42" s="130" t="s">
        <v>210</v>
      </c>
      <c r="C42" s="24" t="s"/>
      <c r="D42" s="24" t="s"/>
      <c r="E42" s="24" t="s"/>
      <c r="F42" s="39">
        <v>26.17</v>
      </c>
      <c r="G42" s="24">
        <f>=C42+D42+E42+F42</f>
        <v>26.17</v>
      </c>
      <c r="H42" s="147" t="s"/>
      <c r="I42" s="148" t="s"/>
      <c r="J42" s="150" t="s"/>
    </row>
    <row r="43" spans="1:10" ht="14.1" customHeight="true">
      <c r="A43" s="23">
        <v>5</v>
      </c>
      <c r="B43" s="130" t="s">
        <v>211</v>
      </c>
      <c r="C43" s="24" t="s"/>
      <c r="D43" s="24" t="s"/>
      <c r="E43" s="24" t="s"/>
      <c r="F43" s="39">
        <f>=15.64</f>
        <v>15.64</v>
      </c>
      <c r="G43" s="24">
        <f>=C43+D43+E43+F43</f>
        <v>15.64</v>
      </c>
      <c r="H43" s="147" t="s"/>
      <c r="I43" s="148" t="s"/>
      <c r="J43" s="150" t="s"/>
    </row>
    <row r="44" spans="1:10" ht="14.1" customHeight="true">
      <c r="A44" s="23">
        <v>6</v>
      </c>
      <c r="B44" s="130" t="s">
        <v>212</v>
      </c>
      <c r="C44" s="24" t="s"/>
      <c r="D44" s="24" t="s"/>
      <c r="E44" s="24" t="s"/>
      <c r="F44" s="39">
        <f>=G4*0.01</f>
        <v>79.0256871</v>
      </c>
      <c r="G44" s="24">
        <f>=C44+D44+E44+F44</f>
        <v>79.0256871</v>
      </c>
      <c r="H44" s="147" t="s"/>
      <c r="I44" s="148" t="s"/>
      <c r="J44" s="149" t="s"/>
    </row>
    <row r="45" spans="1:10" ht="17.1" customHeight="true">
      <c r="A45" s="23">
        <v>7</v>
      </c>
      <c r="B45" s="130" t="s">
        <v>213</v>
      </c>
      <c r="C45" s="24" t="s"/>
      <c r="D45" s="24" t="s"/>
      <c r="E45" s="24" t="s"/>
      <c r="F45" s="39">
        <f>=G4*0.001</f>
        <v>7.90256871</v>
      </c>
      <c r="G45" s="24">
        <f>=C45+D45+E45+F45</f>
        <v>7.90256871</v>
      </c>
      <c r="H45" s="142" t="s"/>
      <c r="I45" s="151" t="s"/>
      <c r="J45" s="152" t="s"/>
    </row>
    <row r="46" spans="1:10" ht="20.1" customHeight="true">
      <c r="A46" s="23">
        <v>8</v>
      </c>
      <c r="B46" s="130" t="s">
        <v>214</v>
      </c>
      <c r="C46" s="24" t="s"/>
      <c r="D46" s="24" t="s"/>
      <c r="E46" s="24" t="s"/>
      <c r="F46" s="39">
        <f>=G4*0.0055</f>
        <v>43.464127905</v>
      </c>
      <c r="G46" s="24">
        <f>=C46+D46+E46+F46</f>
        <v>43.464127905</v>
      </c>
      <c r="H46" s="142" t="s"/>
      <c r="I46" s="151" t="s"/>
      <c r="J46" s="152" t="s"/>
    </row>
    <row r="47" spans="1:10" ht="18.95" customHeight="true">
      <c r="A47" s="23">
        <v>9</v>
      </c>
      <c r="B47" s="130" t="s">
        <v>215</v>
      </c>
      <c r="C47" s="24" t="s"/>
      <c r="D47" s="24" t="s"/>
      <c r="E47" s="24" t="s"/>
      <c r="F47" s="39">
        <f>=G4*0.003-0.4068</f>
        <v>23.30090613</v>
      </c>
      <c r="G47" s="24">
        <f>=C47+D47+E47+F47</f>
        <v>23.30090613</v>
      </c>
      <c r="H47" s="142" t="s"/>
      <c r="I47" s="151" t="s"/>
      <c r="J47" s="152" t="s"/>
    </row>
    <row r="48" spans="1:10" ht="18.95" customHeight="true">
      <c r="A48" s="23">
        <v>10</v>
      </c>
      <c r="B48" s="130" t="s">
        <v>216</v>
      </c>
      <c r="C48" s="24" t="s"/>
      <c r="D48" s="24" t="s"/>
      <c r="E48" s="24" t="s"/>
      <c r="F48" s="39">
        <f>=G4*0.0034</f>
        <v>26.868733614</v>
      </c>
      <c r="G48" s="24">
        <f>=C48+D48+E48+F48</f>
        <v>26.868733614</v>
      </c>
      <c r="H48" s="142" t="s"/>
      <c r="I48" s="151" t="s"/>
      <c r="J48" s="152" t="s"/>
    </row>
    <row r="49" spans="1:13" s="163" customFormat="true" ht="14.1" customHeight="true">
      <c r="A49" s="23">
        <v>11</v>
      </c>
      <c r="B49" s="130" t="s">
        <v>217</v>
      </c>
      <c r="C49" s="121" t="s"/>
      <c r="D49" s="121" t="s"/>
      <c r="E49" s="121" t="s"/>
      <c r="F49" s="24">
        <f>=G4*0.003</f>
        <v>23.70770613</v>
      </c>
      <c r="G49" s="24">
        <f>=C49+D49+E49+F49</f>
        <v>23.70770613</v>
      </c>
      <c r="H49" s="122" t="s"/>
      <c r="I49" s="123" t="s"/>
      <c r="J49" s="124" t="s"/>
      <c r="L49" s="129" t="s"/>
      <c r="M49" s="129" t="s"/>
    </row>
    <row r="50" spans="1:13" s="163" customFormat="true" ht="14.1" customHeight="true">
      <c r="A50" s="120" t="s">
        <v>218</v>
      </c>
      <c r="B50" s="120" t="s">
        <v>219</v>
      </c>
      <c r="C50" s="121" t="s"/>
      <c r="D50" s="121" t="s"/>
      <c r="E50" s="121" t="s"/>
      <c r="F50" s="121">
        <f>=F51+F52</f>
        <v>413.75447694745</v>
      </c>
      <c r="G50" s="121">
        <f>=G51+G52</f>
        <v>413.75447694745</v>
      </c>
      <c r="H50" s="122">
        <f>=G50/G57</f>
        <v>0.047191336208916</v>
      </c>
      <c r="I50" s="123" t="s"/>
      <c r="J50" s="124" t="s"/>
      <c r="L50" s="129" t="s"/>
      <c r="M50" s="129" t="s"/>
    </row>
    <row r="51" spans="1:10" ht="14.1" customHeight="true">
      <c r="A51" s="23">
        <v>3.1</v>
      </c>
      <c r="B51" s="23" t="s">
        <v>220</v>
      </c>
      <c r="C51" s="24" t="s"/>
      <c r="D51" s="24" t="s"/>
      <c r="E51" s="24" t="s"/>
      <c r="F51" s="24">
        <f>=(G4+G38)*0.05</f>
        <v>413.75447694745</v>
      </c>
      <c r="G51" s="24">
        <f>=F51</f>
        <v>413.75447694745</v>
      </c>
      <c r="H51" s="153" t="s">
        <v>234</v>
      </c>
      <c r="I51" s="151" t="s"/>
      <c r="J51" s="154" t="s"/>
    </row>
    <row r="52" spans="1:10" ht="14.1" customHeight="true">
      <c r="A52" s="23">
        <v>3.2</v>
      </c>
      <c r="B52" s="23" t="s">
        <v>221</v>
      </c>
      <c r="C52" s="24" t="s"/>
      <c r="D52" s="24" t="s"/>
      <c r="E52" s="24" t="s"/>
      <c r="F52" s="24" t="s"/>
      <c r="G52" s="24" t="s"/>
      <c r="H52" s="142" t="s"/>
      <c r="I52" s="151" t="s"/>
      <c r="J52" s="154" t="s"/>
    </row>
    <row r="53" spans="1:13" s="163" customFormat="true" ht="14.1" customHeight="true">
      <c r="A53" s="120" t="s">
        <v>43</v>
      </c>
      <c r="B53" s="120" t="s">
        <v>222</v>
      </c>
      <c r="C53" s="121">
        <f>=C50+C38+C4</f>
        <v>163.3318</v>
      </c>
      <c r="D53" s="121">
        <f>=D50+D38+D4</f>
        <v>362.2567</v>
      </c>
      <c r="E53" s="121">
        <f>=E50+E38+E4</f>
        <v>7376.98021</v>
      </c>
      <c r="F53" s="121">
        <f>=F50+F38+F4</f>
        <v>786.27530589645</v>
      </c>
      <c r="G53" s="121">
        <f>=G4+G38+G50</f>
        <v>8688.84401589645</v>
      </c>
      <c r="H53" s="122">
        <f>=G53/G57</f>
        <v>0.991018060387238</v>
      </c>
      <c r="I53" s="123" t="s"/>
      <c r="J53" s="124" t="s"/>
      <c r="L53" s="129" t="s"/>
      <c r="M53" s="129" t="s"/>
    </row>
    <row r="54" spans="1:10" ht="14.1" customHeight="true">
      <c r="A54" s="23" t="s"/>
      <c r="B54" s="23" t="s">
        <v>223</v>
      </c>
      <c r="C54" s="155">
        <f>=C53/G53</f>
        <v>0.018797874573554</v>
      </c>
      <c r="D54" s="155">
        <f>=D53/G53</f>
        <v>0.041692162885793</v>
      </c>
      <c r="E54" s="155">
        <f>=E53/G53</f>
        <v>0.849017452322039</v>
      </c>
      <c r="F54" s="155">
        <f>=F53/G53</f>
        <v>0.090492510218614</v>
      </c>
      <c r="G54" s="155">
        <v>1</v>
      </c>
      <c r="H54" s="156" t="s"/>
      <c r="I54" s="143" t="s"/>
      <c r="J54" s="144" t="s"/>
    </row>
    <row r="55" spans="1:13" s="163" customFormat="true" ht="14.1" customHeight="true">
      <c r="A55" s="120" t="s">
        <v>45</v>
      </c>
      <c r="B55" s="120" t="s">
        <v>224</v>
      </c>
      <c r="C55" s="121" t="s"/>
      <c r="D55" s="121" t="s"/>
      <c r="E55" s="121" t="s"/>
      <c r="F55" s="121" t="s"/>
      <c r="G55" s="121">
        <f>=还本付息表!D7</f>
        <v>78.75</v>
      </c>
      <c r="H55" s="122">
        <f>=G55/G57</f>
        <v>0.008981939612763</v>
      </c>
      <c r="I55" s="123" t="s"/>
      <c r="J55" s="124" t="s"/>
      <c r="L55" s="129" t="s"/>
      <c r="M55" s="129" t="s"/>
    </row>
    <row r="56" spans="1:13" s="163" customFormat="true" ht="14.1" customHeight="true">
      <c r="A56" s="120" t="s">
        <v>225</v>
      </c>
      <c r="B56" s="120" t="s">
        <v>226</v>
      </c>
      <c r="C56" s="121" t="s"/>
      <c r="D56" s="121" t="s"/>
      <c r="E56" s="121" t="s"/>
      <c r="F56" s="121" t="s"/>
      <c r="G56" s="121">
        <f>=G53+G55</f>
        <v>8767.59401589645</v>
      </c>
      <c r="H56" s="122">
        <f>=G56/G57</f>
        <v>1</v>
      </c>
      <c r="I56" s="123" t="s"/>
      <c r="J56" s="124" t="s"/>
      <c r="L56" s="129" t="s"/>
      <c r="M56" s="129" t="s"/>
    </row>
    <row r="57" spans="1:13" s="163" customFormat="true" ht="14.1" customHeight="true">
      <c r="A57" s="120" t="s">
        <v>227</v>
      </c>
      <c r="B57" s="120" t="s">
        <v>228</v>
      </c>
      <c r="C57" s="121" t="s"/>
      <c r="D57" s="121" t="s"/>
      <c r="E57" s="121" t="s"/>
      <c r="F57" s="121" t="s"/>
      <c r="G57" s="121">
        <f>=G56</f>
        <v>8767.59401589645</v>
      </c>
      <c r="H57" s="122">
        <v>1</v>
      </c>
      <c r="I57" s="123" t="s"/>
      <c r="J57" s="124" t="s"/>
      <c r="L57" s="129" t="s"/>
      <c r="M57" s="129" t="s"/>
    </row>
    <row r="58" spans="1:13" s="164" customFormat="true">
      <c r="A58" s="157" t="s"/>
      <c r="B58" s="157" t="s"/>
      <c r="C58" s="157" t="s"/>
      <c r="D58" s="157" t="s"/>
      <c r="E58" s="157" t="s"/>
      <c r="F58" s="157" t="s"/>
      <c r="G58" s="158" t="s"/>
      <c r="H58" s="96" t="s"/>
      <c r="I58" s="157" t="s"/>
      <c r="J58" s="159" t="s"/>
      <c r="L58" s="133" t="s"/>
      <c r="M58" s="133" t="s"/>
    </row>
    <row r="59" spans="7:10">
      <c r="G59" s="157">
        <f>=G57*0.8</f>
        <v>7014.07521271716</v>
      </c>
      <c r="I59" s="160">
        <v>8767.594088484</v>
      </c>
      <c r="J59" s="161" t="s"/>
    </row>
    <row r="60" spans="7:7">
      <c r="G60" s="157">
        <v>12648.36</v>
      </c>
    </row>
  </sheetData>
  <mergeCells count="21">
    <mergeCell ref="A1:J1"/>
    <mergeCell ref="A2:J2"/>
    <mergeCell ref="H4:J4"/>
    <mergeCell ref="H38:J38"/>
    <mergeCell ref="H39:J39"/>
    <mergeCell ref="H40:J40"/>
    <mergeCell ref="H41:J41"/>
    <mergeCell ref="H42:J42"/>
    <mergeCell ref="H44:J44"/>
    <mergeCell ref="H45:J45"/>
    <mergeCell ref="H46:J46"/>
    <mergeCell ref="H47:J47"/>
    <mergeCell ref="H48:J48"/>
    <mergeCell ref="H50:J50"/>
    <mergeCell ref="H51:J51"/>
    <mergeCell ref="H52:J52"/>
    <mergeCell ref="H53:J53"/>
    <mergeCell ref="H54:J54"/>
    <mergeCell ref="H55:J55"/>
    <mergeCell ref="H56:J56"/>
    <mergeCell ref="H57:J5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>
  <sheetPr/>
  <dimension ref="Q13"/>
  <sheetViews>
    <sheetView showGridLines="true" zoomScale="120" zoomScaleNormal="120" workbookViewId="0"/>
  </sheetViews>
  <sheetFormatPr defaultColWidth="9" defaultRowHeight="14.4"/>
  <cols>
    <col min="1" max="1" width="4.5" customWidth="true"/>
    <col min="2" max="2" width="11.8519" customWidth="true"/>
    <col min="3" max="3" width="6.5" customWidth="true"/>
    <col min="4" max="5" width="6.59259" customWidth="true"/>
    <col min="6" max="6" width="8.7037" customWidth="true"/>
    <col min="7" max="15" width="8.12037" style="168" customWidth="true"/>
  </cols>
  <sheetData>
    <row r="1" spans="1:15" ht="17.4">
      <c r="A1" s="30" t="s">
        <v>142</v>
      </c>
      <c r="B1" s="40" t="s"/>
      <c r="C1" s="40" t="s"/>
      <c r="D1" s="40" t="s"/>
      <c r="E1" s="40" t="s"/>
      <c r="F1" s="40" t="s"/>
      <c r="G1" s="96" t="s"/>
      <c r="H1" s="96" t="s"/>
      <c r="I1" s="96" t="s"/>
      <c r="J1" s="96" t="s"/>
      <c r="K1" s="96" t="s"/>
      <c r="L1" s="96" t="s"/>
      <c r="M1" s="96" t="s"/>
      <c r="N1" s="96" t="s"/>
      <c r="O1" s="96" t="s"/>
    </row>
    <row r="2" spans="14:14">
      <c r="N2" s="16" t="s">
        <v>48</v>
      </c>
    </row>
    <row r="3" spans="1:17">
      <c r="A3" s="97" t="s">
        <v>2</v>
      </c>
      <c r="B3" s="97" t="s">
        <v>3</v>
      </c>
      <c r="C3" s="97" t="s">
        <v>49</v>
      </c>
      <c r="D3" s="97" t="s">
        <v>143</v>
      </c>
      <c r="E3" s="98" t="s">
        <v>144</v>
      </c>
      <c r="F3" s="99" t="s">
        <v>50</v>
      </c>
      <c r="G3" s="100" t="s"/>
      <c r="H3" s="100" t="s"/>
      <c r="I3" s="100" t="s"/>
      <c r="J3" s="100" t="s"/>
      <c r="K3" s="100" t="s"/>
      <c r="L3" s="100" t="s"/>
      <c r="M3" s="100" t="s"/>
      <c r="N3" s="100" t="s"/>
      <c r="O3" s="100" t="s"/>
      <c r="P3" s="100" t="s"/>
      <c r="Q3" s="101" t="s"/>
    </row>
    <row r="4" spans="1:17">
      <c r="A4" s="102" t="s"/>
      <c r="B4" s="102" t="s"/>
      <c r="C4" s="102" t="s"/>
      <c r="D4" s="102" t="s"/>
      <c r="E4" s="103" t="s"/>
      <c r="F4" s="104">
        <v>0.5</v>
      </c>
      <c r="G4" s="105">
        <v>2</v>
      </c>
      <c r="H4" s="105">
        <v>3</v>
      </c>
      <c r="I4" s="105">
        <v>4</v>
      </c>
      <c r="J4" s="105">
        <v>5</v>
      </c>
      <c r="K4" s="105">
        <v>6</v>
      </c>
      <c r="L4" s="105">
        <v>7</v>
      </c>
      <c r="M4" s="105">
        <v>8</v>
      </c>
      <c r="N4" s="105">
        <v>9</v>
      </c>
      <c r="O4" s="105">
        <v>10</v>
      </c>
      <c r="P4" s="105">
        <v>11</v>
      </c>
      <c r="Q4" s="105">
        <v>12</v>
      </c>
    </row>
    <row r="5" spans="1:17" ht="19.2">
      <c r="A5" s="31">
        <v>1</v>
      </c>
      <c r="B5" s="31" t="s">
        <v>145</v>
      </c>
      <c r="C5" s="106" t="s"/>
      <c r="D5" s="27">
        <v>0.05</v>
      </c>
      <c r="E5" s="87">
        <v>20</v>
      </c>
      <c r="F5" s="107" t="s"/>
      <c r="G5" s="108" t="s"/>
      <c r="H5" s="108" t="s"/>
      <c r="I5" s="108" t="s"/>
      <c r="J5" s="108" t="s"/>
      <c r="K5" s="108" t="s"/>
      <c r="L5" s="108" t="s"/>
      <c r="M5" s="108" t="s"/>
      <c r="N5" s="108" t="s"/>
      <c r="O5" s="109" t="s"/>
      <c r="P5" s="109" t="s"/>
      <c r="Q5" s="109" t="s"/>
    </row>
    <row r="6" spans="1:17">
      <c r="A6" s="31">
        <v>1.1</v>
      </c>
      <c r="B6" s="31" t="s">
        <v>146</v>
      </c>
      <c r="C6" s="106" t="s"/>
      <c r="D6" s="106" t="s"/>
      <c r="E6" s="106" t="s"/>
      <c r="F6" s="94">
        <f>=总投资!G53*0.91</f>
        <v>7906.84805446577</v>
      </c>
      <c r="G6" s="94">
        <f>=F8</f>
        <v>7719.06041317221</v>
      </c>
      <c r="H6" s="94">
        <f>=G8</f>
        <v>7343.48513058508</v>
      </c>
      <c r="I6" s="94">
        <f>=H8</f>
        <v>6967.90984799796</v>
      </c>
      <c r="J6" s="94">
        <f>=I8</f>
        <v>6592.33456541084</v>
      </c>
      <c r="K6" s="94">
        <f>=J8</f>
        <v>6216.75928282371</v>
      </c>
      <c r="L6" s="94">
        <f>=K8</f>
        <v>5841.18400023659</v>
      </c>
      <c r="M6" s="94">
        <f>=L8</f>
        <v>5465.60871764946</v>
      </c>
      <c r="N6" s="94">
        <f>=M8</f>
        <v>5090.03343506234</v>
      </c>
      <c r="O6" s="94">
        <f>=N8</f>
        <v>4714.45815247522</v>
      </c>
      <c r="P6" s="94">
        <f>=O8</f>
        <v>4338.88286988809</v>
      </c>
      <c r="Q6" s="94">
        <f>=P8</f>
        <v>3963.30758730097</v>
      </c>
    </row>
    <row r="7" spans="1:17" ht="16.9" customHeight="true">
      <c r="A7" s="31">
        <v>1.2</v>
      </c>
      <c r="B7" s="31" t="s">
        <v>147</v>
      </c>
      <c r="C7" s="106">
        <f>=SUM(F7:Q7)</f>
        <v>4319.11574975193</v>
      </c>
      <c r="D7" s="106" t="s"/>
      <c r="E7" s="106" t="s"/>
      <c r="F7" s="94">
        <f>=F6*0.95*0.5/20</f>
        <v>187.787641293562</v>
      </c>
      <c r="G7" s="94">
        <f>=F6*0.95/20</f>
        <v>375.575282587124</v>
      </c>
      <c r="H7" s="94">
        <f>=G7</f>
        <v>375.575282587124</v>
      </c>
      <c r="I7" s="94">
        <f>=H7</f>
        <v>375.575282587124</v>
      </c>
      <c r="J7" s="94">
        <f>=I7</f>
        <v>375.575282587124</v>
      </c>
      <c r="K7" s="94">
        <f>=J7</f>
        <v>375.575282587124</v>
      </c>
      <c r="L7" s="94">
        <f>=K7</f>
        <v>375.575282587124</v>
      </c>
      <c r="M7" s="94">
        <f>=L7</f>
        <v>375.575282587124</v>
      </c>
      <c r="N7" s="94">
        <f>=M7</f>
        <v>375.575282587124</v>
      </c>
      <c r="O7" s="94">
        <f>=N7</f>
        <v>375.575282587124</v>
      </c>
      <c r="P7" s="94">
        <f>=O7</f>
        <v>375.575282587124</v>
      </c>
      <c r="Q7" s="94">
        <f>=P7</f>
        <v>375.575282587124</v>
      </c>
    </row>
    <row r="8" spans="1:17">
      <c r="A8" s="31">
        <v>1.3</v>
      </c>
      <c r="B8" s="31" t="s">
        <v>148</v>
      </c>
      <c r="C8" s="106" t="s"/>
      <c r="D8" s="106" t="s"/>
      <c r="E8" s="106" t="s"/>
      <c r="F8" s="94">
        <f>=F6-F7</f>
        <v>7719.06041317221</v>
      </c>
      <c r="G8" s="94">
        <f>=G6-G7</f>
        <v>7343.48513058508</v>
      </c>
      <c r="H8" s="94">
        <f>=H6-H7</f>
        <v>6967.90984799796</v>
      </c>
      <c r="I8" s="94">
        <f>=I6-I7</f>
        <v>6592.33456541084</v>
      </c>
      <c r="J8" s="94">
        <f>=J6-J7</f>
        <v>6216.75928282371</v>
      </c>
      <c r="K8" s="94">
        <f>=K6-K7</f>
        <v>5841.18400023659</v>
      </c>
      <c r="L8" s="94">
        <f>=L6-L7</f>
        <v>5465.60871764946</v>
      </c>
      <c r="M8" s="94">
        <f>=M6-M7</f>
        <v>5090.03343506234</v>
      </c>
      <c r="N8" s="94">
        <f>=N6-N7</f>
        <v>4714.45815247522</v>
      </c>
      <c r="O8" s="94">
        <f>=O6-O7</f>
        <v>4338.88286988809</v>
      </c>
      <c r="P8" s="94">
        <f>=P6-P7</f>
        <v>3963.30758730097</v>
      </c>
      <c r="Q8" s="94">
        <f>=Q6-Q7</f>
        <v>3587.73230471385</v>
      </c>
    </row>
    <row r="9" spans="1:17">
      <c r="A9" s="31">
        <v>2</v>
      </c>
      <c r="B9" s="31" t="s">
        <v>56</v>
      </c>
      <c r="C9" s="106">
        <f>=SUM(F9:Q9)</f>
        <v>4319.11574975193</v>
      </c>
      <c r="D9" s="106" t="s"/>
      <c r="E9" s="106" t="s"/>
      <c r="F9" s="94">
        <f>=F7</f>
        <v>187.787641293562</v>
      </c>
      <c r="G9" s="94">
        <f>=G7</f>
        <v>375.575282587124</v>
      </c>
      <c r="H9" s="94">
        <f>=H7</f>
        <v>375.575282587124</v>
      </c>
      <c r="I9" s="94">
        <f>=I7</f>
        <v>375.575282587124</v>
      </c>
      <c r="J9" s="94">
        <f>=J7</f>
        <v>375.575282587124</v>
      </c>
      <c r="K9" s="94">
        <f>=K7</f>
        <v>375.575282587124</v>
      </c>
      <c r="L9" s="94">
        <f>=L7</f>
        <v>375.575282587124</v>
      </c>
      <c r="M9" s="94">
        <f>=M7</f>
        <v>375.575282587124</v>
      </c>
      <c r="N9" s="94">
        <f>=N7</f>
        <v>375.575282587124</v>
      </c>
      <c r="O9" s="94">
        <f>=O7</f>
        <v>375.575282587124</v>
      </c>
      <c r="P9" s="94">
        <f>=P7</f>
        <v>375.575282587124</v>
      </c>
      <c r="Q9" s="94">
        <f>=Q7</f>
        <v>375.575282587124</v>
      </c>
    </row>
    <row r="10" spans="1:17">
      <c r="A10" s="31">
        <v>3</v>
      </c>
      <c r="B10" s="31" t="s">
        <v>149</v>
      </c>
      <c r="C10" s="106" t="s"/>
      <c r="D10" s="106" t="s"/>
      <c r="E10" s="106" t="s"/>
      <c r="F10" s="106" t="s"/>
      <c r="G10" s="94" t="s"/>
      <c r="H10" s="94" t="s"/>
      <c r="I10" s="94" t="s"/>
      <c r="J10" s="94" t="s"/>
      <c r="K10" s="94" t="s"/>
      <c r="L10" s="94" t="s"/>
      <c r="M10" s="94" t="s"/>
      <c r="N10" s="94" t="s"/>
      <c r="O10" s="110" t="s"/>
      <c r="P10" s="110" t="s"/>
      <c r="Q10" s="110" t="s"/>
    </row>
    <row r="11" spans="1:17">
      <c r="A11" s="31">
        <v>3.1</v>
      </c>
      <c r="B11" s="31" t="s">
        <v>146</v>
      </c>
      <c r="C11" s="106" t="s"/>
      <c r="D11" s="106" t="s"/>
      <c r="E11" s="106" t="s"/>
      <c r="F11" s="106" t="s"/>
      <c r="G11" s="94" t="s"/>
      <c r="H11" s="94" t="s"/>
      <c r="I11" s="94" t="s"/>
      <c r="J11" s="94" t="s"/>
      <c r="K11" s="94" t="s"/>
      <c r="L11" s="94" t="s"/>
      <c r="M11" s="94" t="s"/>
      <c r="N11" s="94" t="s"/>
      <c r="O11" s="110" t="s"/>
      <c r="P11" s="110" t="s"/>
      <c r="Q11" s="110" t="s"/>
    </row>
    <row r="12" spans="1:17">
      <c r="A12" s="31">
        <v>3.2</v>
      </c>
      <c r="B12" s="31" t="s">
        <v>147</v>
      </c>
      <c r="C12" s="106" t="s"/>
      <c r="D12" s="106" t="s"/>
      <c r="E12" s="106" t="s"/>
      <c r="F12" s="106" t="s"/>
      <c r="G12" s="94" t="s"/>
      <c r="H12" s="94" t="s"/>
      <c r="I12" s="94" t="s"/>
      <c r="J12" s="94" t="s"/>
      <c r="K12" s="94" t="s"/>
      <c r="L12" s="94" t="s"/>
      <c r="M12" s="94" t="s"/>
      <c r="N12" s="94" t="s"/>
      <c r="O12" s="110" t="s"/>
      <c r="P12" s="110" t="s"/>
      <c r="Q12" s="110" t="s"/>
    </row>
    <row r="13" spans="1:17">
      <c r="A13" s="31">
        <v>3.3</v>
      </c>
      <c r="B13" s="31" t="s">
        <v>148</v>
      </c>
      <c r="C13" s="106" t="s"/>
      <c r="D13" s="106" t="s"/>
      <c r="E13" s="106" t="s"/>
      <c r="F13" s="106" t="s"/>
      <c r="G13" s="94" t="s"/>
      <c r="H13" s="94" t="s"/>
      <c r="I13" s="94" t="s"/>
      <c r="J13" s="94" t="s"/>
      <c r="K13" s="94" t="s"/>
      <c r="L13" s="94" t="s"/>
      <c r="M13" s="94" t="s"/>
      <c r="N13" s="94" t="s"/>
      <c r="O13" s="110" t="s"/>
      <c r="P13" s="110" t="s"/>
      <c r="Q13" s="110" t="s"/>
    </row>
  </sheetData>
  <mergeCells count="7">
    <mergeCell ref="A1:O1"/>
    <mergeCell ref="F3:Q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>
  <sheetPr/>
  <dimension ref="O29"/>
  <sheetViews>
    <sheetView showGridLines="true" tabSelected="false" zoomScale="120" zoomScaleNormal="120" workbookViewId="0"/>
  </sheetViews>
  <sheetFormatPr defaultColWidth="9" defaultRowHeight="14.4"/>
  <cols>
    <col min="1" max="1" width="5.25" style="165" customWidth="true"/>
    <col min="2" max="2" width="16.1296" style="165" customWidth="true"/>
    <col min="3" max="4" width="8.25" style="172" customWidth="true"/>
    <col min="5" max="9" width="9.85185" customWidth="true"/>
    <col min="10" max="10" width="9.85185" style="164" customWidth="true"/>
    <col min="11" max="12" width="9.85185" customWidth="true"/>
    <col min="13" max="13" width="8.12037" customWidth="true"/>
  </cols>
  <sheetData>
    <row r="1" spans="1:12" ht="17.45" customHeight="true">
      <c r="A1" s="30" t="s">
        <v>110</v>
      </c>
      <c r="B1" s="30" t="s"/>
      <c r="C1" s="54" t="s"/>
      <c r="D1" s="54" t="s"/>
      <c r="E1" s="30" t="s"/>
      <c r="F1" s="30" t="s"/>
      <c r="G1" s="30" t="s"/>
      <c r="H1" s="30" t="s"/>
      <c r="I1" s="30" t="s"/>
      <c r="J1" s="4" t="s"/>
      <c r="K1" s="30" t="s"/>
      <c r="L1" s="30" t="s"/>
    </row>
    <row r="2" spans="12:12">
      <c r="L2" s="16" t="s">
        <v>48</v>
      </c>
    </row>
    <row r="3" spans="1:15" ht="16.15" customHeight="true">
      <c r="A3" s="70" t="s">
        <v>2</v>
      </c>
      <c r="B3" s="42" t="s">
        <v>3</v>
      </c>
      <c r="C3" s="43" t="s">
        <v>49</v>
      </c>
      <c r="D3" s="19" t="s">
        <v>50</v>
      </c>
      <c r="E3" s="8" t="s"/>
      <c r="F3" s="8" t="s"/>
      <c r="G3" s="8" t="s"/>
      <c r="H3" s="8" t="s"/>
      <c r="I3" s="8" t="s"/>
      <c r="J3" s="8" t="s"/>
      <c r="K3" s="8" t="s"/>
      <c r="L3" s="8" t="s"/>
      <c r="M3" s="8" t="s"/>
      <c r="N3" s="8" t="s"/>
      <c r="O3" s="8" t="s"/>
    </row>
    <row r="4" spans="1:15">
      <c r="A4" s="70" t="s"/>
      <c r="B4" s="71" t="s"/>
      <c r="C4" s="72" t="s"/>
      <c r="D4" s="73">
        <v>0.5</v>
      </c>
      <c r="E4" s="71">
        <v>2</v>
      </c>
      <c r="F4" s="71">
        <v>3</v>
      </c>
      <c r="G4" s="71">
        <v>4</v>
      </c>
      <c r="H4" s="71">
        <v>5</v>
      </c>
      <c r="I4" s="71">
        <v>6</v>
      </c>
      <c r="J4" s="71">
        <v>7</v>
      </c>
      <c r="K4" s="71">
        <v>8</v>
      </c>
      <c r="L4" s="71">
        <v>9</v>
      </c>
      <c r="M4" s="71">
        <v>10</v>
      </c>
      <c r="N4" s="71">
        <v>11</v>
      </c>
      <c r="O4" s="71">
        <v>12</v>
      </c>
    </row>
    <row r="5" spans="1:15" s="163" customFormat="true" ht="17" customHeight="true">
      <c r="A5" s="74">
        <v>1</v>
      </c>
      <c r="B5" s="70" t="s">
        <v>8</v>
      </c>
      <c r="C5" s="75">
        <f>=SUM((E5:O5))</f>
        <v>13738.0055199817</v>
      </c>
      <c r="D5" s="76">
        <f>=D6+D12+D15</f>
        <v>615.4450417656</v>
      </c>
      <c r="E5" s="76">
        <f>=E6+E12+E15</f>
        <v>1232.77923519708</v>
      </c>
      <c r="F5" s="76">
        <f>=F6+F12+F15</f>
        <v>1234.67487025629</v>
      </c>
      <c r="G5" s="76">
        <f>=G6+G12+G15</f>
        <v>1236.57696277526</v>
      </c>
      <c r="H5" s="76">
        <f>=H6+H12+H15</f>
        <v>1238.48548692416</v>
      </c>
      <c r="I5" s="76">
        <f>=I6+I12+I15</f>
        <v>1238.64541697646</v>
      </c>
      <c r="J5" s="76">
        <f>=J6+J12+J15</f>
        <v>1263.40872730856</v>
      </c>
      <c r="K5" s="76">
        <f>=K6+K12+K15</f>
        <v>1261.82639239932</v>
      </c>
      <c r="L5" s="76">
        <f>=L6+L12+L15</f>
        <v>1260.25038682973</v>
      </c>
      <c r="M5" s="76">
        <f>=M6+M12+M15</f>
        <v>1258.68068528241</v>
      </c>
      <c r="N5" s="76">
        <f>=N6+N12+N15</f>
        <v>1257.11726254128</v>
      </c>
      <c r="O5" s="76">
        <f>=O6+O12+O15</f>
        <v>1255.56009349111</v>
      </c>
    </row>
    <row r="6" spans="1:15" s="164" customFormat="true" ht="13" customHeight="true">
      <c r="A6" s="77">
        <v>1.1</v>
      </c>
      <c r="B6" s="78" t="s">
        <v>111</v>
      </c>
      <c r="C6" s="75">
        <f>=SUM((E6:O6))</f>
        <v>4351.77051998166</v>
      </c>
      <c r="D6" s="64">
        <f>=D7*D9*D10*D11/10000</f>
        <v>202.6060417656</v>
      </c>
      <c r="E6" s="64">
        <f>=E7*E9*E10*E11/10000</f>
        <v>403.591235197075</v>
      </c>
      <c r="F6" s="64">
        <f>=F7*F9*F10*F11/10000</f>
        <v>401.976870256287</v>
      </c>
      <c r="G6" s="64">
        <f>=G7*G9*G10*G11/10000</f>
        <v>400.368962775262</v>
      </c>
      <c r="H6" s="64">
        <f>=H7*H9*H10*H11/10000</f>
        <v>398.767486924161</v>
      </c>
      <c r="I6" s="64">
        <f>=I7*I9*I10*I11/10000</f>
        <v>397.172416976464</v>
      </c>
      <c r="J6" s="64">
        <f>=J7*J9*J10*J11/10000</f>
        <v>395.583727308558</v>
      </c>
      <c r="K6" s="64">
        <f>=K7*K9*K10*K11/10000</f>
        <v>394.001392399324</v>
      </c>
      <c r="L6" s="64">
        <f>=L7*L9*L10*L11/10000</f>
        <v>392.425386829727</v>
      </c>
      <c r="M6" s="64">
        <f>=M7*M9*M10*M11/10000</f>
        <v>390.855685282408</v>
      </c>
      <c r="N6" s="64">
        <f>=N7*N9*N10*N11/10000</f>
        <v>389.292262541278</v>
      </c>
      <c r="O6" s="64">
        <f>=O7*O9*O10*O11/10000</f>
        <v>387.735093491113</v>
      </c>
    </row>
    <row r="7" spans="1:15" customFormat="true" ht="12" customHeight="true">
      <c r="A7" s="25" t="s">
        <v>7</v>
      </c>
      <c r="B7" s="39" t="s">
        <v>112</v>
      </c>
      <c r="C7" s="27" t="s"/>
      <c r="D7" s="64">
        <f>=5956*(1-D8)</f>
        <v>5896.44</v>
      </c>
      <c r="E7" s="79">
        <f>=D7*(1-E8)</f>
        <v>5872.85424</v>
      </c>
      <c r="F7" s="79">
        <f>=E7*(1-F8)</f>
        <v>5849.36282304</v>
      </c>
      <c r="G7" s="79">
        <f>=F7*(1-G8)</f>
        <v>5825.96537174784</v>
      </c>
      <c r="H7" s="79">
        <f>=G7*(1-H8)</f>
        <v>5802.66151026085</v>
      </c>
      <c r="I7" s="79">
        <f>=H7*(1-I8)</f>
        <v>5779.45086421981</v>
      </c>
      <c r="J7" s="79">
        <f>=I7*(1-J8)</f>
        <v>5756.33306076293</v>
      </c>
      <c r="K7" s="79">
        <f>=J7*(1-K8)</f>
        <v>5733.30772851988</v>
      </c>
      <c r="L7" s="79">
        <f>=K7*(1-L8)</f>
        <v>5710.3744976058</v>
      </c>
      <c r="M7" s="79">
        <f>=L7*(1-M8)</f>
        <v>5687.53299961537</v>
      </c>
      <c r="N7" s="79">
        <f>=M7*(1-N8)</f>
        <v>5664.78286761691</v>
      </c>
      <c r="O7" s="79">
        <f>=N7*(1-O8)</f>
        <v>5642.12373614645</v>
      </c>
    </row>
    <row r="8" spans="1:15" s="169" customFormat="true" ht="12" customHeight="true">
      <c r="A8" s="25" t="s">
        <v>9</v>
      </c>
      <c r="B8" s="80" t="s">
        <v>113</v>
      </c>
      <c r="C8" s="81" t="s"/>
      <c r="D8" s="82">
        <v>0.01</v>
      </c>
      <c r="E8" s="83">
        <v>0.004</v>
      </c>
      <c r="F8" s="82">
        <f>=E8</f>
        <v>0.004</v>
      </c>
      <c r="G8" s="82">
        <f>=F8</f>
        <v>0.004</v>
      </c>
      <c r="H8" s="82">
        <f>=G8</f>
        <v>0.004</v>
      </c>
      <c r="I8" s="82">
        <f>=H8</f>
        <v>0.004</v>
      </c>
      <c r="J8" s="82">
        <f>=I8</f>
        <v>0.004</v>
      </c>
      <c r="K8" s="82">
        <f>=J8</f>
        <v>0.004</v>
      </c>
      <c r="L8" s="82">
        <f>=K8</f>
        <v>0.004</v>
      </c>
      <c r="M8" s="82">
        <f>=L8</f>
        <v>0.004</v>
      </c>
      <c r="N8" s="82">
        <f>=M8</f>
        <v>0.004</v>
      </c>
      <c r="O8" s="82">
        <f>=N8</f>
        <v>0.004</v>
      </c>
    </row>
    <row r="9" spans="1:15" customFormat="true" ht="23" customHeight="true">
      <c r="A9" s="25" t="s">
        <v>11</v>
      </c>
      <c r="B9" s="39" t="s">
        <v>114</v>
      </c>
      <c r="C9" s="27" t="s"/>
      <c r="D9" s="64">
        <v>3.349</v>
      </c>
      <c r="E9" s="79">
        <v>3.349</v>
      </c>
      <c r="F9" s="64">
        <v>3.349</v>
      </c>
      <c r="G9" s="64">
        <v>3.349</v>
      </c>
      <c r="H9" s="64">
        <v>3.349</v>
      </c>
      <c r="I9" s="64">
        <v>3.349</v>
      </c>
      <c r="J9" s="64">
        <v>3.349</v>
      </c>
      <c r="K9" s="64">
        <v>3.349</v>
      </c>
      <c r="L9" s="64">
        <v>3.349</v>
      </c>
      <c r="M9" s="64">
        <v>3.349</v>
      </c>
      <c r="N9" s="64">
        <v>3.349</v>
      </c>
      <c r="O9" s="64">
        <v>3.349</v>
      </c>
    </row>
    <row r="10" spans="1:15" customFormat="true" ht="12" customHeight="true">
      <c r="A10" s="25" t="s">
        <v>115</v>
      </c>
      <c r="B10" s="39" t="s">
        <v>116</v>
      </c>
      <c r="C10" s="27" t="s"/>
      <c r="D10" s="64">
        <v>180</v>
      </c>
      <c r="E10" s="79">
        <v>360</v>
      </c>
      <c r="F10" s="64">
        <f>=E10</f>
        <v>360</v>
      </c>
      <c r="G10" s="64">
        <f>=F10</f>
        <v>360</v>
      </c>
      <c r="H10" s="64">
        <f>=G10</f>
        <v>360</v>
      </c>
      <c r="I10" s="64">
        <f>=H10</f>
        <v>360</v>
      </c>
      <c r="J10" s="64">
        <f>=I10</f>
        <v>360</v>
      </c>
      <c r="K10" s="64">
        <f>=J10</f>
        <v>360</v>
      </c>
      <c r="L10" s="64">
        <f>=K10</f>
        <v>360</v>
      </c>
      <c r="M10" s="64">
        <f>=L10</f>
        <v>360</v>
      </c>
      <c r="N10" s="64">
        <f>=M10</f>
        <v>360</v>
      </c>
      <c r="O10" s="64">
        <f>=N10</f>
        <v>360</v>
      </c>
    </row>
    <row r="11" spans="1:15" customFormat="true" ht="12" customHeight="true">
      <c r="A11" s="25" t="s">
        <v>117</v>
      </c>
      <c r="B11" s="39" t="s">
        <v>118</v>
      </c>
      <c r="C11" s="27" t="s"/>
      <c r="D11" s="64">
        <v>0.57</v>
      </c>
      <c r="E11" s="79">
        <f>=D11</f>
        <v>0.57</v>
      </c>
      <c r="F11" s="79">
        <f>=E11</f>
        <v>0.57</v>
      </c>
      <c r="G11" s="79">
        <f>=F11</f>
        <v>0.57</v>
      </c>
      <c r="H11" s="79">
        <f>=G11</f>
        <v>0.57</v>
      </c>
      <c r="I11" s="79">
        <f>=H11</f>
        <v>0.57</v>
      </c>
      <c r="J11" s="79">
        <f>=I11</f>
        <v>0.57</v>
      </c>
      <c r="K11" s="79">
        <f>=J11</f>
        <v>0.57</v>
      </c>
      <c r="L11" s="79">
        <f>=K11</f>
        <v>0.57</v>
      </c>
      <c r="M11" s="79">
        <f>=L11</f>
        <v>0.57</v>
      </c>
      <c r="N11" s="79">
        <f>=M11</f>
        <v>0.57</v>
      </c>
      <c r="O11" s="79">
        <f>=N11</f>
        <v>0.57</v>
      </c>
    </row>
    <row r="12" spans="1:15" s="163" customFormat="true" ht="12" customHeight="true">
      <c r="A12" s="84">
        <v>1.2</v>
      </c>
      <c r="B12" s="70" t="s">
        <v>119</v>
      </c>
      <c r="C12" s="75">
        <f>=SUM((D12:O12))</f>
        <v>9451.584</v>
      </c>
      <c r="D12" s="76">
        <f>=D13*D14*180/10000</f>
        <v>404.064</v>
      </c>
      <c r="E12" s="76">
        <f>=E13*E14*360/10000</f>
        <v>808.128</v>
      </c>
      <c r="F12" s="76">
        <f>=F13*F14*360/10000</f>
        <v>808.128</v>
      </c>
      <c r="G12" s="76">
        <f>=G13*G14*360/10000</f>
        <v>808.128</v>
      </c>
      <c r="H12" s="76">
        <f>=H13*H14*360/10000</f>
        <v>808.128</v>
      </c>
      <c r="I12" s="76">
        <f>=I13*I14*360/10000</f>
        <v>808.128</v>
      </c>
      <c r="J12" s="76">
        <f>=J13*J14*360/10000</f>
        <v>834.48</v>
      </c>
      <c r="K12" s="76">
        <f>=K13*K14*360/10000</f>
        <v>834.48</v>
      </c>
      <c r="L12" s="76">
        <f>=L13*L14*360/10000</f>
        <v>834.48</v>
      </c>
      <c r="M12" s="76">
        <f>=M13*M14*360/10000</f>
        <v>834.48</v>
      </c>
      <c r="N12" s="76">
        <f>=N13*N14*360/10000</f>
        <v>834.48</v>
      </c>
      <c r="O12" s="76">
        <f>=O13*O14*360/10000</f>
        <v>834.48</v>
      </c>
    </row>
    <row r="13" spans="1:15" ht="12" customHeight="true">
      <c r="A13" s="75" t="s">
        <v>14</v>
      </c>
      <c r="B13" s="26" t="s">
        <v>120</v>
      </c>
      <c r="C13" s="27" t="s"/>
      <c r="D13" s="64">
        <f>=0.61</f>
        <v>0.61</v>
      </c>
      <c r="E13" s="26">
        <f>=D13</f>
        <v>0.61</v>
      </c>
      <c r="F13" s="26">
        <f>=E13</f>
        <v>0.61</v>
      </c>
      <c r="G13" s="26">
        <f>=F13</f>
        <v>0.61</v>
      </c>
      <c r="H13" s="26">
        <f>=G13</f>
        <v>0.61</v>
      </c>
      <c r="I13" s="26">
        <f>=H13</f>
        <v>0.61</v>
      </c>
      <c r="J13" s="23">
        <f>=I13</f>
        <v>0.61</v>
      </c>
      <c r="K13" s="26">
        <f>=J13</f>
        <v>0.61</v>
      </c>
      <c r="L13" s="26">
        <f>=K13</f>
        <v>0.61</v>
      </c>
      <c r="M13" s="26">
        <f>=L13</f>
        <v>0.61</v>
      </c>
      <c r="N13" s="26">
        <f>=M13</f>
        <v>0.61</v>
      </c>
      <c r="O13" s="26">
        <f>=N13</f>
        <v>0.61</v>
      </c>
    </row>
    <row r="14" spans="1:15" s="170" customFormat="true" ht="12" customHeight="true">
      <c r="A14" s="85" t="s">
        <v>16</v>
      </c>
      <c r="B14" s="86" t="s">
        <v>121</v>
      </c>
      <c r="C14" s="87" t="s"/>
      <c r="D14" s="64">
        <f>=40000*0.92</f>
        <v>36800</v>
      </c>
      <c r="E14" s="64">
        <f>=D14</f>
        <v>36800</v>
      </c>
      <c r="F14" s="86">
        <f>=E14</f>
        <v>36800</v>
      </c>
      <c r="G14" s="86">
        <f>=F14</f>
        <v>36800</v>
      </c>
      <c r="H14" s="86">
        <f>=G14</f>
        <v>36800</v>
      </c>
      <c r="I14" s="86">
        <f>=H14</f>
        <v>36800</v>
      </c>
      <c r="J14" s="88">
        <f>=40000*0.95</f>
        <v>38000</v>
      </c>
      <c r="K14" s="88">
        <f>=J14</f>
        <v>38000</v>
      </c>
      <c r="L14" s="88">
        <f>=K14</f>
        <v>38000</v>
      </c>
      <c r="M14" s="88">
        <f>=L14</f>
        <v>38000</v>
      </c>
      <c r="N14" s="88">
        <f>=M14</f>
        <v>38000</v>
      </c>
      <c r="O14" s="88">
        <f>=N14</f>
        <v>38000</v>
      </c>
    </row>
    <row r="15" spans="1:15" s="163" customFormat="true" ht="17" customHeight="true">
      <c r="A15" s="74">
        <v>1.4</v>
      </c>
      <c r="B15" s="70" t="s">
        <v>122</v>
      </c>
      <c r="C15" s="75">
        <f>=SUM(D15:O15)</f>
        <v>347.49</v>
      </c>
      <c r="D15" s="76">
        <f>=D16*D17*D18*D19*D20*D21/10000</f>
        <v>8.775</v>
      </c>
      <c r="E15" s="76">
        <f>=E16*E17*E18*E19*E20*E21/10000</f>
        <v>21.06</v>
      </c>
      <c r="F15" s="76">
        <f>=F16*F17*F18*F19*F20*F21/10000</f>
        <v>24.57</v>
      </c>
      <c r="G15" s="76">
        <f>=G16*G17*G18*G19*G20*G21/10000</f>
        <v>28.08</v>
      </c>
      <c r="H15" s="76">
        <f>=H16*H17*H18*H19*H20*H21/10000</f>
        <v>31.59</v>
      </c>
      <c r="I15" s="76">
        <f>=I16*I17*I18*I19*I20*I21/10000</f>
        <v>33.345</v>
      </c>
      <c r="J15" s="76">
        <f>=J16*J17*J18*J19*J20*J21/10000</f>
        <v>33.345</v>
      </c>
      <c r="K15" s="76">
        <f>=K16*K17*K18*K19*K20*K21/10000</f>
        <v>33.345</v>
      </c>
      <c r="L15" s="76">
        <f>=L16*L17*L18*L19*L20*L21/10000</f>
        <v>33.345</v>
      </c>
      <c r="M15" s="76">
        <f>=M16*M17*M18*M19*M20*M21/10000</f>
        <v>33.345</v>
      </c>
      <c r="N15" s="76">
        <f>=N16*N17*N18*N19*N20*N21/10000</f>
        <v>33.345</v>
      </c>
      <c r="O15" s="76">
        <f>=O16*O17*O18*O19*O20*O21/10000</f>
        <v>33.345</v>
      </c>
    </row>
    <row r="16" spans="1:15" customFormat="true" ht="12" customHeight="true">
      <c r="A16" s="89" t="s">
        <v>123</v>
      </c>
      <c r="B16" s="86" t="s">
        <v>124</v>
      </c>
      <c r="C16" s="27" t="s"/>
      <c r="D16" s="64">
        <v>5</v>
      </c>
      <c r="E16" s="64">
        <f>=D16</f>
        <v>5</v>
      </c>
      <c r="F16" s="64">
        <f>=E16</f>
        <v>5</v>
      </c>
      <c r="G16" s="64">
        <f>=F16</f>
        <v>5</v>
      </c>
      <c r="H16" s="64">
        <f>=G16</f>
        <v>5</v>
      </c>
      <c r="I16" s="64">
        <f>=H16</f>
        <v>5</v>
      </c>
      <c r="J16" s="64">
        <f>=I16</f>
        <v>5</v>
      </c>
      <c r="K16" s="64">
        <f>=J16</f>
        <v>5</v>
      </c>
      <c r="L16" s="64">
        <f>=K16</f>
        <v>5</v>
      </c>
      <c r="M16" s="64">
        <f>=L16</f>
        <v>5</v>
      </c>
      <c r="N16" s="64">
        <f>=M16</f>
        <v>5</v>
      </c>
      <c r="O16" s="64">
        <f>=N16</f>
        <v>5</v>
      </c>
    </row>
    <row r="17" spans="1:15" s="171" customFormat="true" ht="12" customHeight="true">
      <c r="A17" s="90" t="s">
        <v>125</v>
      </c>
      <c r="B17" s="91" t="s">
        <v>126</v>
      </c>
      <c r="C17" s="92" t="s"/>
      <c r="D17" s="91">
        <v>0.5</v>
      </c>
      <c r="E17" s="91">
        <v>0.6</v>
      </c>
      <c r="F17" s="91">
        <v>0.7</v>
      </c>
      <c r="G17" s="91">
        <v>0.8</v>
      </c>
      <c r="H17" s="91">
        <v>0.9</v>
      </c>
      <c r="I17" s="91">
        <v>0.95</v>
      </c>
      <c r="J17" s="91">
        <v>0.95</v>
      </c>
      <c r="K17" s="91">
        <v>0.95</v>
      </c>
      <c r="L17" s="91">
        <v>0.95</v>
      </c>
      <c r="M17" s="91">
        <f>=L17</f>
        <v>0.95</v>
      </c>
      <c r="N17" s="91">
        <f>=M17</f>
        <v>0.95</v>
      </c>
      <c r="O17" s="91">
        <f>=N17</f>
        <v>0.95</v>
      </c>
    </row>
    <row r="18" spans="1:15" customFormat="true" ht="12" customHeight="true">
      <c r="A18" s="89" t="s">
        <v>127</v>
      </c>
      <c r="B18" s="86" t="s">
        <v>128</v>
      </c>
      <c r="C18" s="27" t="s"/>
      <c r="D18" s="64">
        <v>0.65</v>
      </c>
      <c r="E18" s="64">
        <f>=D18</f>
        <v>0.65</v>
      </c>
      <c r="F18" s="64">
        <f>=E18</f>
        <v>0.65</v>
      </c>
      <c r="G18" s="64">
        <f>=F18</f>
        <v>0.65</v>
      </c>
      <c r="H18" s="64">
        <f>=G18</f>
        <v>0.65</v>
      </c>
      <c r="I18" s="64">
        <f>=H18</f>
        <v>0.65</v>
      </c>
      <c r="J18" s="64">
        <f>=I18</f>
        <v>0.65</v>
      </c>
      <c r="K18" s="64">
        <f>=J18</f>
        <v>0.65</v>
      </c>
      <c r="L18" s="64">
        <f>=K18</f>
        <v>0.65</v>
      </c>
      <c r="M18" s="64">
        <f>=L18</f>
        <v>0.65</v>
      </c>
      <c r="N18" s="64">
        <f>=M18</f>
        <v>0.65</v>
      </c>
      <c r="O18" s="64">
        <f>=N18</f>
        <v>0.65</v>
      </c>
    </row>
    <row r="19" spans="1:15" customFormat="true" ht="12" customHeight="true">
      <c r="A19" s="89" t="s">
        <v>129</v>
      </c>
      <c r="B19" s="86" t="s">
        <v>130</v>
      </c>
      <c r="C19" s="27" t="s"/>
      <c r="D19" s="64">
        <v>600</v>
      </c>
      <c r="E19" s="64">
        <f>=D19</f>
        <v>600</v>
      </c>
      <c r="F19" s="64">
        <f>=E19</f>
        <v>600</v>
      </c>
      <c r="G19" s="64">
        <f>=F19</f>
        <v>600</v>
      </c>
      <c r="H19" s="64">
        <f>=G19</f>
        <v>600</v>
      </c>
      <c r="I19" s="64">
        <f>=H19</f>
        <v>600</v>
      </c>
      <c r="J19" s="64">
        <f>=I19</f>
        <v>600</v>
      </c>
      <c r="K19" s="64">
        <f>=J19</f>
        <v>600</v>
      </c>
      <c r="L19" s="64">
        <f>=K19</f>
        <v>600</v>
      </c>
      <c r="M19" s="64">
        <f>=L19</f>
        <v>600</v>
      </c>
      <c r="N19" s="64">
        <f>=M19</f>
        <v>600</v>
      </c>
      <c r="O19" s="64">
        <f>=N19</f>
        <v>600</v>
      </c>
    </row>
    <row r="20" spans="1:15" customFormat="true" ht="12" customHeight="true">
      <c r="A20" s="89" t="s">
        <v>131</v>
      </c>
      <c r="B20" s="86" t="s">
        <v>132</v>
      </c>
      <c r="C20" s="27" t="s"/>
      <c r="D20" s="64">
        <v>0.5</v>
      </c>
      <c r="E20" s="64">
        <f>=D20</f>
        <v>0.5</v>
      </c>
      <c r="F20" s="64">
        <f>=E20</f>
        <v>0.5</v>
      </c>
      <c r="G20" s="64">
        <f>=F20</f>
        <v>0.5</v>
      </c>
      <c r="H20" s="64">
        <f>=G20</f>
        <v>0.5</v>
      </c>
      <c r="I20" s="64">
        <f>=H20</f>
        <v>0.5</v>
      </c>
      <c r="J20" s="64">
        <f>=I20</f>
        <v>0.5</v>
      </c>
      <c r="K20" s="64">
        <f>=J20</f>
        <v>0.5</v>
      </c>
      <c r="L20" s="64">
        <f>=K20</f>
        <v>0.5</v>
      </c>
      <c r="M20" s="64">
        <f>=L20</f>
        <v>0.5</v>
      </c>
      <c r="N20" s="64">
        <f>=M20</f>
        <v>0.5</v>
      </c>
      <c r="O20" s="64">
        <f>=N20</f>
        <v>0.5</v>
      </c>
    </row>
    <row r="21" spans="1:15" customFormat="true" ht="12" customHeight="true">
      <c r="A21" s="89" t="s">
        <v>133</v>
      </c>
      <c r="B21" s="86" t="s">
        <v>134</v>
      </c>
      <c r="C21" s="27" t="s"/>
      <c r="D21" s="64">
        <v>180</v>
      </c>
      <c r="E21" s="64">
        <v>360</v>
      </c>
      <c r="F21" s="64">
        <f>=E21</f>
        <v>360</v>
      </c>
      <c r="G21" s="64">
        <f>=F21</f>
        <v>360</v>
      </c>
      <c r="H21" s="64">
        <f>=G21</f>
        <v>360</v>
      </c>
      <c r="I21" s="64">
        <f>=H21</f>
        <v>360</v>
      </c>
      <c r="J21" s="64">
        <f>=I21</f>
        <v>360</v>
      </c>
      <c r="K21" s="64">
        <f>=J21</f>
        <v>360</v>
      </c>
      <c r="L21" s="64">
        <f>=K21</f>
        <v>360</v>
      </c>
      <c r="M21" s="64">
        <f>=L21</f>
        <v>360</v>
      </c>
      <c r="N21" s="64">
        <f>=M21</f>
        <v>360</v>
      </c>
      <c r="O21" s="64">
        <f>=N21</f>
        <v>360</v>
      </c>
    </row>
    <row r="22" spans="1:15" s="163" customFormat="true" ht="12" customHeight="true">
      <c r="A22" s="74">
        <v>2</v>
      </c>
      <c r="B22" s="70" t="s">
        <v>135</v>
      </c>
      <c r="C22" s="75">
        <f>=SUM((D22:O22))</f>
        <v>176.1990162016</v>
      </c>
      <c r="D22" s="76">
        <f>=D23+D24+D25+D26</f>
        <v>7.57592543543499</v>
      </c>
      <c r="E22" s="76">
        <f>=E23+E24+E25+E26</f>
        <v>15.1615097952265</v>
      </c>
      <c r="F22" s="76">
        <f>=F23+F24+F25+F26</f>
        <v>15.1717718366856</v>
      </c>
      <c r="G22" s="76">
        <f>=G23+G24+G25+G26</f>
        <v>15.1821166627789</v>
      </c>
      <c r="H22" s="76">
        <f>=H23+H24+H25+H26</f>
        <v>15.1925439423677</v>
      </c>
      <c r="I22" s="76">
        <f>=I23+I24+I25+I26</f>
        <v>15.1875742456383</v>
      </c>
      <c r="J22" s="93">
        <f>=J23+J24+J25+J26</f>
        <v>15.5050398840957</v>
      </c>
      <c r="K22" s="76">
        <f>=K23+K24+K25+K26</f>
        <v>15.4847543505593</v>
      </c>
      <c r="L22" s="76">
        <f>=L23+L24+L25+L26</f>
        <v>15.4645499591571</v>
      </c>
      <c r="M22" s="76">
        <f>=M23+M24+M25+M26</f>
        <v>15.4444263853205</v>
      </c>
      <c r="N22" s="76">
        <f>=N23+N24+N25+N26</f>
        <v>15.4243833057792</v>
      </c>
      <c r="O22" s="76">
        <f>=O23+O24+O25+O26</f>
        <v>15.4044203985561</v>
      </c>
    </row>
    <row r="23" spans="1:15" ht="12" customHeight="true">
      <c r="A23" s="89">
        <v>2.1</v>
      </c>
      <c r="B23" s="26" t="s">
        <v>136</v>
      </c>
      <c r="C23" s="27" t="s"/>
      <c r="D23" s="27" t="s"/>
      <c r="E23" s="65" t="s"/>
      <c r="F23" s="65" t="s"/>
      <c r="G23" s="65" t="s"/>
      <c r="H23" s="65" t="s"/>
      <c r="I23" s="65" t="s"/>
      <c r="J23" s="94" t="s"/>
      <c r="K23" s="65" t="s"/>
      <c r="L23" s="65" t="s"/>
      <c r="M23" s="65" t="s"/>
      <c r="N23" s="65" t="s"/>
      <c r="O23" s="65" t="s"/>
    </row>
    <row r="24" spans="1:15" ht="12" customHeight="true">
      <c r="A24" s="89">
        <v>2.2</v>
      </c>
      <c r="B24" s="26" t="s">
        <v>137</v>
      </c>
      <c r="C24" s="27" t="s"/>
      <c r="D24" s="27" t="s"/>
      <c r="E24" s="65" t="s"/>
      <c r="F24" s="65" t="s"/>
      <c r="G24" s="65" t="s"/>
      <c r="H24" s="65" t="s"/>
      <c r="I24" s="65" t="s"/>
      <c r="J24" s="94" t="s"/>
      <c r="K24" s="65" t="s"/>
      <c r="L24" s="65" t="s"/>
      <c r="M24" s="65" t="s"/>
      <c r="N24" s="65" t="s"/>
      <c r="O24" s="65" t="s"/>
    </row>
    <row r="25" spans="1:15" ht="12" customHeight="true">
      <c r="A25" s="89">
        <v>2.3</v>
      </c>
      <c r="B25" s="95" t="s">
        <v>138</v>
      </c>
      <c r="C25" s="27">
        <f>=SUM((D25:O25))</f>
        <v>123.33931134112</v>
      </c>
      <c r="D25" s="64">
        <f>=D27*0.07</f>
        <v>5.3031478048045</v>
      </c>
      <c r="E25" s="64">
        <f>=E27*0.07</f>
        <v>10.6130568566586</v>
      </c>
      <c r="F25" s="64">
        <f>=F27*0.07</f>
        <v>10.6202402856799</v>
      </c>
      <c r="G25" s="64">
        <f>=G27*0.07</f>
        <v>10.6274816639452</v>
      </c>
      <c r="H25" s="64">
        <f>=H27*0.07</f>
        <v>10.6347807596574</v>
      </c>
      <c r="I25" s="64">
        <f>=I27*0.07</f>
        <v>10.6313019719468</v>
      </c>
      <c r="J25" s="66">
        <f>=J27*0.07</f>
        <v>10.853527918867</v>
      </c>
      <c r="K25" s="64">
        <f>=K27*0.07</f>
        <v>10.8393280453915</v>
      </c>
      <c r="L25" s="64">
        <f>=L27*0.07</f>
        <v>10.82518497141</v>
      </c>
      <c r="M25" s="64">
        <f>=M27*0.07</f>
        <v>10.8110984697243</v>
      </c>
      <c r="N25" s="64">
        <f>=N27*0.07</f>
        <v>10.7970683140454</v>
      </c>
      <c r="O25" s="64">
        <f>=O27*0.07</f>
        <v>10.7830942789893</v>
      </c>
    </row>
    <row r="26" spans="1:15" ht="12" customHeight="true">
      <c r="A26" s="89">
        <v>2.4</v>
      </c>
      <c r="B26" s="26" t="s">
        <v>139</v>
      </c>
      <c r="C26" s="27">
        <f>=SUM((D26:O26))</f>
        <v>52.8597048604799</v>
      </c>
      <c r="D26" s="64">
        <f>=D27*0.03</f>
        <v>2.2727776306305</v>
      </c>
      <c r="E26" s="64">
        <f>=E27*0.03</f>
        <v>4.54845293856795</v>
      </c>
      <c r="F26" s="64">
        <f>=F27*0.03</f>
        <v>4.55153155100568</v>
      </c>
      <c r="G26" s="64">
        <f>=G27*0.03</f>
        <v>4.55463499883366</v>
      </c>
      <c r="H26" s="64">
        <f>=H27*0.03</f>
        <v>4.55776318271032</v>
      </c>
      <c r="I26" s="64">
        <f>=I27*0.03</f>
        <v>4.55627227369148</v>
      </c>
      <c r="J26" s="66">
        <f>=J27*0.03</f>
        <v>4.65151196522872</v>
      </c>
      <c r="K26" s="64">
        <f>=K27*0.03</f>
        <v>4.6454263051678</v>
      </c>
      <c r="L26" s="64">
        <f>=L27*0.03</f>
        <v>4.63936498774713</v>
      </c>
      <c r="M26" s="64">
        <f>=M27*0.03</f>
        <v>4.63332791559614</v>
      </c>
      <c r="N26" s="64">
        <f>=N27*0.03</f>
        <v>4.62731499173376</v>
      </c>
      <c r="O26" s="64">
        <f>=O27*0.03</f>
        <v>4.62132611956682</v>
      </c>
    </row>
    <row r="27" spans="1:15" ht="12" customHeight="true">
      <c r="A27" s="89">
        <v>3</v>
      </c>
      <c r="B27" s="26" t="s">
        <v>64</v>
      </c>
      <c r="C27" s="27">
        <f>=SUM((D27:O27))</f>
        <v>1761.990162016</v>
      </c>
      <c r="D27" s="64">
        <f>=D28-D29</f>
        <v>75.7592543543499</v>
      </c>
      <c r="E27" s="64">
        <f>=E28-E29</f>
        <v>151.615097952265</v>
      </c>
      <c r="F27" s="64">
        <f>=F28-F29</f>
        <v>151.717718366856</v>
      </c>
      <c r="G27" s="64">
        <f>=G28-G29</f>
        <v>151.821166627789</v>
      </c>
      <c r="H27" s="64">
        <f>=H28-H29</f>
        <v>151.925439423677</v>
      </c>
      <c r="I27" s="64">
        <f>=I28-I29</f>
        <v>151.875742456383</v>
      </c>
      <c r="J27" s="64">
        <f>=J28-J29</f>
        <v>155.050398840957</v>
      </c>
      <c r="K27" s="64">
        <f>=K28-K29</f>
        <v>154.847543505593</v>
      </c>
      <c r="L27" s="64">
        <f>=L28-L29</f>
        <v>154.645499591571</v>
      </c>
      <c r="M27" s="64">
        <f>=M28-M29</f>
        <v>154.444263853205</v>
      </c>
      <c r="N27" s="64">
        <f>=N28-N29</f>
        <v>154.243833057792</v>
      </c>
      <c r="O27" s="64">
        <f>=O28-O29</f>
        <v>154.044203985561</v>
      </c>
    </row>
    <row r="28" spans="1:15" ht="12" customHeight="true">
      <c r="A28" s="89">
        <v>3.1</v>
      </c>
      <c r="B28" s="26" t="s">
        <v>140</v>
      </c>
      <c r="C28" s="27">
        <f>=SUM((D28:O28))</f>
        <v>1852.04897302714</v>
      </c>
      <c r="D28" s="64">
        <f>=(D6+D12)*0.13+D15*0.09</f>
        <v>79.656855429528</v>
      </c>
      <c r="E28" s="64">
        <f>=(E6+E12)*0.13+E15*0.09</f>
        <v>159.41890057562</v>
      </c>
      <c r="F28" s="64">
        <f>=(F6+F12)*0.13+F15*0.09</f>
        <v>159.524933133317</v>
      </c>
      <c r="G28" s="64">
        <f>=(G6+G12)*0.13+G15*0.09</f>
        <v>159.631805160784</v>
      </c>
      <c r="H28" s="64">
        <f>=(H6+H12)*0.13+H15*0.09</f>
        <v>159.739513300141</v>
      </c>
      <c r="I28" s="64">
        <f>=(I6+I12)*0.13+I15*0.09</f>
        <v>159.69010420694</v>
      </c>
      <c r="J28" s="64">
        <f>=(J6+J12)*0.13+J15*0.09</f>
        <v>162.909334550113</v>
      </c>
      <c r="K28" s="64">
        <f>=(K6+K12)*0.13+K15*0.09</f>
        <v>162.703631011912</v>
      </c>
      <c r="L28" s="64">
        <f>=(L6+L12)*0.13+L15*0.09</f>
        <v>162.498750287865</v>
      </c>
      <c r="M28" s="64">
        <f>=(M6+M12)*0.13+M15*0.09</f>
        <v>162.294689086713</v>
      </c>
      <c r="N28" s="64">
        <f>=(N6+N12)*0.13+N15*0.09</f>
        <v>162.091444130366</v>
      </c>
      <c r="O28" s="64">
        <f>=(O6+O12)*0.13+O15*0.09</f>
        <v>161.889012153845</v>
      </c>
    </row>
    <row r="29" spans="1:15" ht="12" customHeight="true">
      <c r="A29" s="89">
        <v>3.2</v>
      </c>
      <c r="B29" s="26" t="s">
        <v>141</v>
      </c>
      <c r="C29" s="27">
        <f>=SUM((D29:O29))</f>
        <v>90.0588110111451</v>
      </c>
      <c r="D29" s="64">
        <f>=总成本费用表!D5*0.13+总成本费用表!D8*0.09</f>
        <v>3.89760107517808</v>
      </c>
      <c r="E29" s="64">
        <f>=总成本费用表!E5*0.13+总成本费用表!E8*0.09</f>
        <v>7.80380262335474</v>
      </c>
      <c r="F29" s="64">
        <f>=总成本费用表!F5*0.13+总成本费用表!F8*0.09</f>
        <v>7.80721476646132</v>
      </c>
      <c r="G29" s="64">
        <f>=总成本费用表!G5*0.13+总成本费用表!G8*0.09</f>
        <v>7.81063853299547</v>
      </c>
      <c r="H29" s="64">
        <f>=总成本费用表!H5*0.13+总成本费用表!H8*0.09</f>
        <v>7.81407387646349</v>
      </c>
      <c r="I29" s="64">
        <f>=总成本费用表!I5*0.13+总成本费用表!I8*0.09</f>
        <v>7.81436175055764</v>
      </c>
      <c r="J29" s="64">
        <f>=总成本费用表!J5*0.13+总成本费用表!J8*0.09</f>
        <v>7.85893570915541</v>
      </c>
      <c r="K29" s="64">
        <f>=总成本费用表!K5*0.13+总成本费用表!K8*0.09</f>
        <v>7.85608750631878</v>
      </c>
      <c r="L29" s="64">
        <f>=总成本费用表!L5*0.13+总成本费用表!L8*0.09</f>
        <v>7.85325069629351</v>
      </c>
      <c r="M29" s="64">
        <f>=总成本费用表!M5*0.13+总成本费用表!M8*0.09</f>
        <v>7.85042523350834</v>
      </c>
      <c r="N29" s="64">
        <f>=总成本费用表!N5*0.13+总成本费用表!N8*0.09</f>
        <v>7.8476110725743</v>
      </c>
      <c r="O29" s="64">
        <f>=总成本费用表!O5*0.13+总成本费用表!O8*0.09</f>
        <v>7.84480816828401</v>
      </c>
    </row>
  </sheetData>
  <mergeCells count="5">
    <mergeCell ref="A1:L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>
  <sheetPr/>
  <dimension ref="O15"/>
  <sheetViews>
    <sheetView showGridLines="true" zoomScale="120" zoomScaleNormal="120" workbookViewId="0"/>
  </sheetViews>
  <sheetFormatPr defaultColWidth="9" defaultRowHeight="14.4"/>
  <cols>
    <col min="1" max="1" width="3.37037" style="165" customWidth="true"/>
    <col min="2" max="2" width="14.1296" style="165" customWidth="true"/>
    <col min="3" max="3" width="13.3241" customWidth="true"/>
    <col min="4" max="4" width="7.87037" customWidth="true"/>
    <col min="5" max="13" width="8.61111" customWidth="true"/>
    <col min="14" max="14" width="10.5"/>
  </cols>
  <sheetData>
    <row r="1" spans="1:13">
      <c r="A1" s="15" t="s">
        <v>47</v>
      </c>
      <c r="B1" s="15" t="s"/>
      <c r="C1" s="15" t="s"/>
      <c r="D1" s="15" t="s"/>
      <c r="E1" s="15" t="s"/>
      <c r="F1" s="15" t="s"/>
      <c r="G1" s="15" t="s"/>
      <c r="H1" s="15" t="s"/>
      <c r="I1" s="15" t="s"/>
      <c r="J1" s="15" t="s"/>
      <c r="K1" s="15" t="s"/>
      <c r="L1" s="15" t="s"/>
      <c r="M1" s="15" t="s"/>
    </row>
    <row r="2" spans="12:12" ht="15.4" customHeight="true">
      <c r="L2" s="16" t="s">
        <v>48</v>
      </c>
    </row>
    <row r="3" spans="1:15" s="173" customFormat="true" ht="14.1" customHeight="true">
      <c r="A3" s="17" t="s">
        <v>2</v>
      </c>
      <c r="B3" s="17" t="s">
        <v>3</v>
      </c>
      <c r="C3" s="18" t="s">
        <v>49</v>
      </c>
      <c r="D3" s="19" t="s">
        <v>50</v>
      </c>
      <c r="E3" s="8" t="s"/>
      <c r="F3" s="8" t="s"/>
      <c r="G3" s="8" t="s"/>
      <c r="H3" s="8" t="s"/>
      <c r="I3" s="8" t="s"/>
      <c r="J3" s="8" t="s"/>
      <c r="K3" s="8" t="s"/>
      <c r="L3" s="8" t="s"/>
      <c r="M3" s="8" t="s"/>
      <c r="N3" s="8" t="s"/>
      <c r="O3" s="8" t="s"/>
    </row>
    <row r="4" spans="1:15" s="173" customFormat="true" ht="12" customHeight="true">
      <c r="A4" s="20" t="s"/>
      <c r="B4" s="20" t="s"/>
      <c r="C4" s="20" t="s"/>
      <c r="D4" s="20">
        <v>0.5</v>
      </c>
      <c r="E4" s="21">
        <v>2</v>
      </c>
      <c r="F4" s="21">
        <v>3</v>
      </c>
      <c r="G4" s="21">
        <v>4</v>
      </c>
      <c r="H4" s="21">
        <v>5</v>
      </c>
      <c r="I4" s="21">
        <v>6</v>
      </c>
      <c r="J4" s="21">
        <v>7</v>
      </c>
      <c r="K4" s="21">
        <v>8</v>
      </c>
      <c r="L4" s="21">
        <v>9</v>
      </c>
      <c r="M4" s="21">
        <v>10</v>
      </c>
      <c r="N4" s="21">
        <v>11</v>
      </c>
      <c r="O4" s="21">
        <v>12</v>
      </c>
    </row>
    <row r="5" spans="1:15" s="174" customFormat="true" ht="15" customHeight="true">
      <c r="A5" s="22">
        <v>2</v>
      </c>
      <c r="B5" s="23" t="s">
        <v>51</v>
      </c>
      <c r="C5" s="24">
        <f>=SUM(D5:O5)</f>
        <v>494.02</v>
      </c>
      <c r="D5" s="24">
        <f>=2.6*0.5+3200*180*0.35/10000</f>
        <v>21.46</v>
      </c>
      <c r="E5" s="24">
        <f>=2.64+3200*360*0.35/10000</f>
        <v>42.96</v>
      </c>
      <c r="F5" s="24">
        <f>=2.64+3200*360*0.35/10000</f>
        <v>42.96</v>
      </c>
      <c r="G5" s="24">
        <f>=2.64+3200*360*0.35/10000</f>
        <v>42.96</v>
      </c>
      <c r="H5" s="24">
        <f>=2.64+3200*360*0.35/10000</f>
        <v>42.96</v>
      </c>
      <c r="I5" s="24">
        <f>=2.64+3200*360*0.35/10000</f>
        <v>42.96</v>
      </c>
      <c r="J5" s="24">
        <f>=2.64+3200*360*0.35/10000</f>
        <v>42.96</v>
      </c>
      <c r="K5" s="24">
        <f>=2.64+3200*360*0.35/10000</f>
        <v>42.96</v>
      </c>
      <c r="L5" s="24">
        <f>=2.64+3200*360*0.35/10000</f>
        <v>42.96</v>
      </c>
      <c r="M5" s="24">
        <f>=2.64+3200*360*0.35/10000</f>
        <v>42.96</v>
      </c>
      <c r="N5" s="24">
        <f>=2.64+3200*360*0.35/10000</f>
        <v>42.96</v>
      </c>
      <c r="O5" s="24">
        <f>=2.64+3200*360*0.35/10000</f>
        <v>42.96</v>
      </c>
    </row>
    <row r="6" spans="1:15" s="174" customFormat="true" ht="15" customHeight="true">
      <c r="A6" s="25">
        <v>3</v>
      </c>
      <c r="B6" s="23" t="s">
        <v>52</v>
      </c>
      <c r="C6" s="24">
        <f>=SUM(D6:O6)</f>
        <v>745.665</v>
      </c>
      <c r="D6" s="24">
        <f>=6*10*0.5</f>
        <v>30</v>
      </c>
      <c r="E6" s="24">
        <f>=6*10</f>
        <v>60</v>
      </c>
      <c r="F6" s="24">
        <v>60</v>
      </c>
      <c r="G6" s="24">
        <v>63</v>
      </c>
      <c r="H6" s="24">
        <v>63</v>
      </c>
      <c r="I6" s="24">
        <f>=63*1.05</f>
        <v>66.15</v>
      </c>
      <c r="J6" s="24">
        <f>=I6</f>
        <v>66.15</v>
      </c>
      <c r="K6" s="24">
        <f>=J6</f>
        <v>66.15</v>
      </c>
      <c r="L6" s="24">
        <f>=K6</f>
        <v>66.15</v>
      </c>
      <c r="M6" s="24">
        <f>=L6</f>
        <v>66.15</v>
      </c>
      <c r="N6" s="24">
        <f>=M6*1.05</f>
        <v>69.4575</v>
      </c>
      <c r="O6" s="24">
        <f>=N6</f>
        <v>69.4575</v>
      </c>
    </row>
    <row r="7" spans="1:15" s="174" customFormat="true" ht="15" customHeight="true">
      <c r="A7" s="25">
        <v>4</v>
      </c>
      <c r="B7" s="23" t="s">
        <v>53</v>
      </c>
      <c r="C7" s="24">
        <f>=SUM(D7:O7)</f>
        <v>345.529259980154</v>
      </c>
      <c r="D7" s="24">
        <f>=D10*0.08</f>
        <v>15.023011303485</v>
      </c>
      <c r="E7" s="24">
        <f>=E10*0.08</f>
        <v>30.0460226069699</v>
      </c>
      <c r="F7" s="24">
        <f>=F10*0.08</f>
        <v>30.0460226069699</v>
      </c>
      <c r="G7" s="24">
        <f>=G10*0.08</f>
        <v>30.0460226069699</v>
      </c>
      <c r="H7" s="24">
        <f>=H10*0.08</f>
        <v>30.0460226069699</v>
      </c>
      <c r="I7" s="24">
        <f>=I10*0.08</f>
        <v>30.0460226069699</v>
      </c>
      <c r="J7" s="24">
        <f>=J10*0.08</f>
        <v>30.0460226069699</v>
      </c>
      <c r="K7" s="24">
        <f>=K10*0.08</f>
        <v>30.0460226069699</v>
      </c>
      <c r="L7" s="24">
        <f>=L10*0.08</f>
        <v>30.0460226069699</v>
      </c>
      <c r="M7" s="24">
        <f>=M10*0.08</f>
        <v>30.0460226069699</v>
      </c>
      <c r="N7" s="24">
        <f>=N10*0.08</f>
        <v>30.0460226069699</v>
      </c>
      <c r="O7" s="24">
        <f>=O10*0.08</f>
        <v>30.0460226069699</v>
      </c>
    </row>
    <row r="8" spans="1:15" s="173" customFormat="true" ht="15" customHeight="true">
      <c r="A8" s="25">
        <v>5</v>
      </c>
      <c r="B8" s="26" t="s">
        <v>54</v>
      </c>
      <c r="C8" s="24">
        <f>=SUM(D8:O8)</f>
        <v>287.069011234945</v>
      </c>
      <c r="D8" s="27">
        <f>=营业收入及税金表!D5*0.02</f>
        <v>12.308900835312</v>
      </c>
      <c r="E8" s="27">
        <f>=营业收入及税金表!E5*0.02</f>
        <v>24.6555847039415</v>
      </c>
      <c r="F8" s="27">
        <f>=营业收入及税金表!F5*0.02</f>
        <v>24.6934974051257</v>
      </c>
      <c r="G8" s="27">
        <f>=营业收入及税金表!G5*0.02</f>
        <v>24.7315392555052</v>
      </c>
      <c r="H8" s="27">
        <f>=营业收入及税金表!H5*0.02</f>
        <v>24.7697097384832</v>
      </c>
      <c r="I8" s="27">
        <f>=营业收入及税金表!I5*0.02</f>
        <v>24.7729083395293</v>
      </c>
      <c r="J8" s="27">
        <f>=营业收入及税金表!J5*0.02</f>
        <v>25.2681745461712</v>
      </c>
      <c r="K8" s="27">
        <f>=营业收入及税金表!K5*0.02</f>
        <v>25.2365278479865</v>
      </c>
      <c r="L8" s="27">
        <f>=营业收入及税金表!L5*0.02</f>
        <v>25.2050077365945</v>
      </c>
      <c r="M8" s="27">
        <f>=营业收入及税金表!M5*0.02</f>
        <v>25.1736137056482</v>
      </c>
      <c r="N8" s="27">
        <f>=营业收入及税金表!N5*0.02</f>
        <v>25.1423452508256</v>
      </c>
      <c r="O8" s="27">
        <f>=营业收入及税金表!O5*0.02</f>
        <v>25.1112018698223</v>
      </c>
    </row>
    <row r="9" spans="1:15" s="173" customFormat="true" ht="21" customHeight="true">
      <c r="A9" s="25">
        <v>8</v>
      </c>
      <c r="B9" s="26" t="s">
        <v>55</v>
      </c>
      <c r="C9" s="24">
        <f>=SUM(D9:O9)</f>
        <v>1872.2832712151</v>
      </c>
      <c r="D9" s="28">
        <f>=SUM(D5:D8)</f>
        <v>78.791912138797</v>
      </c>
      <c r="E9" s="28">
        <f>=SUM(E5:E8)</f>
        <v>157.661607310911</v>
      </c>
      <c r="F9" s="28">
        <f>=SUM(F5:F8)</f>
        <v>157.699520012096</v>
      </c>
      <c r="G9" s="28">
        <f>=SUM(G5:G8)</f>
        <v>160.737561862475</v>
      </c>
      <c r="H9" s="28">
        <f>=SUM(H5:H8)</f>
        <v>160.775732345453</v>
      </c>
      <c r="I9" s="28">
        <f>=SUM(I5:I8)</f>
        <v>163.928930946499</v>
      </c>
      <c r="J9" s="28">
        <f>=SUM(J5:J8)</f>
        <v>164.424197153141</v>
      </c>
      <c r="K9" s="28">
        <f>=SUM(K5:K8)</f>
        <v>164.392550454956</v>
      </c>
      <c r="L9" s="28">
        <f>=SUM(L5:L8)</f>
        <v>164.361030343565</v>
      </c>
      <c r="M9" s="28">
        <f>=SUM(M5:M8)</f>
        <v>164.329636312618</v>
      </c>
      <c r="N9" s="28">
        <f>=SUM(N5:N8)</f>
        <v>167.605867857796</v>
      </c>
      <c r="O9" s="28">
        <f>=SUM(O5:O8)</f>
        <v>167.574724476792</v>
      </c>
    </row>
    <row r="10" spans="1:15" s="173" customFormat="true" ht="15" customHeight="true">
      <c r="A10" s="25">
        <v>9</v>
      </c>
      <c r="B10" s="26" t="s">
        <v>56</v>
      </c>
      <c r="C10" s="24">
        <f>=SUM(D10:O10)</f>
        <v>4319.11574975193</v>
      </c>
      <c r="D10" s="27">
        <f>=固定资产折旧!F9</f>
        <v>187.787641293562</v>
      </c>
      <c r="E10" s="27">
        <f>=固定资产折旧!G9</f>
        <v>375.575282587124</v>
      </c>
      <c r="F10" s="27">
        <f>=固定资产折旧!H9</f>
        <v>375.575282587124</v>
      </c>
      <c r="G10" s="27">
        <f>=固定资产折旧!I9</f>
        <v>375.575282587124</v>
      </c>
      <c r="H10" s="27">
        <f>=固定资产折旧!J9</f>
        <v>375.575282587124</v>
      </c>
      <c r="I10" s="27">
        <f>=固定资产折旧!K9</f>
        <v>375.575282587124</v>
      </c>
      <c r="J10" s="27">
        <f>=固定资产折旧!L9</f>
        <v>375.575282587124</v>
      </c>
      <c r="K10" s="27">
        <f>=固定资产折旧!M9</f>
        <v>375.575282587124</v>
      </c>
      <c r="L10" s="27">
        <f>=固定资产折旧!N9</f>
        <v>375.575282587124</v>
      </c>
      <c r="M10" s="27">
        <f>=固定资产折旧!O9</f>
        <v>375.575282587124</v>
      </c>
      <c r="N10" s="27">
        <f>=固定资产折旧!P9</f>
        <v>375.575282587124</v>
      </c>
      <c r="O10" s="27">
        <f>=固定资产折旧!Q9</f>
        <v>375.575282587124</v>
      </c>
    </row>
    <row r="11" spans="1:15" s="173" customFormat="true" ht="15" customHeight="true">
      <c r="A11" s="25">
        <v>10</v>
      </c>
      <c r="B11" s="26" t="s">
        <v>57</v>
      </c>
      <c r="C11" s="24" t="s"/>
      <c r="D11" s="27" t="s"/>
      <c r="E11" s="28" t="s"/>
      <c r="F11" s="28" t="s"/>
      <c r="G11" s="28" t="s"/>
      <c r="H11" s="28" t="s"/>
      <c r="I11" s="28" t="s"/>
      <c r="J11" s="28" t="s"/>
      <c r="K11" s="28" t="s"/>
      <c r="L11" s="28" t="s"/>
      <c r="M11" s="28" t="s"/>
      <c r="N11" s="28" t="s"/>
      <c r="O11" s="28" t="s"/>
    </row>
    <row r="12" spans="1:15" s="174" customFormat="true" ht="15" customHeight="true">
      <c r="A12" s="22">
        <v>11</v>
      </c>
      <c r="B12" s="23" t="s">
        <v>37</v>
      </c>
      <c r="C12" s="24">
        <f>=SUM(D12:O12)</f>
        <v>1982.25</v>
      </c>
      <c r="D12" s="24">
        <f>=还本付息表!E9</f>
        <v>155.25</v>
      </c>
      <c r="E12" s="24">
        <f>=还本付息表!F9</f>
        <v>294.75</v>
      </c>
      <c r="F12" s="24">
        <f>=还本付息表!G9</f>
        <v>272.25</v>
      </c>
      <c r="G12" s="24">
        <f>=还本付息表!H9</f>
        <v>248.625</v>
      </c>
      <c r="H12" s="24">
        <f>=还本付息表!I9</f>
        <v>223.875</v>
      </c>
      <c r="I12" s="24">
        <f>=还本付息表!J9</f>
        <v>198</v>
      </c>
      <c r="J12" s="24">
        <f>=还本付息表!K9</f>
        <v>171</v>
      </c>
      <c r="K12" s="24">
        <f>=还本付息表!L9</f>
        <v>142.875</v>
      </c>
      <c r="L12" s="24">
        <f>=还本付息表!M9</f>
        <v>113.625</v>
      </c>
      <c r="M12" s="24">
        <f>=还本付息表!N9</f>
        <v>83.25</v>
      </c>
      <c r="N12" s="24">
        <f>=还本付息表!O9</f>
        <v>51.75</v>
      </c>
      <c r="O12" s="24">
        <f>=还本付息表!P9</f>
        <v>27</v>
      </c>
    </row>
    <row r="13" spans="1:15" s="173" customFormat="true" ht="18.95" customHeight="true">
      <c r="A13" s="25">
        <v>12</v>
      </c>
      <c r="B13" s="26" t="s">
        <v>58</v>
      </c>
      <c r="C13" s="24">
        <f>=SUM(D13:O13)</f>
        <v>8173.64902096703</v>
      </c>
      <c r="D13" s="28">
        <f>=SUM(D9:D12)</f>
        <v>421.829553432359</v>
      </c>
      <c r="E13" s="28">
        <f>=SUM(E9:E12)</f>
        <v>827.986889898036</v>
      </c>
      <c r="F13" s="28">
        <f>=SUM(F9:F12)</f>
        <v>805.52480259922</v>
      </c>
      <c r="G13" s="28">
        <f>=SUM(G9:G12)</f>
        <v>784.937844449599</v>
      </c>
      <c r="H13" s="28">
        <f>=SUM(H9:H12)</f>
        <v>760.226014932577</v>
      </c>
      <c r="I13" s="28">
        <f>=SUM(I9:I12)</f>
        <v>737.504213533623</v>
      </c>
      <c r="J13" s="28">
        <f>=SUM(J9:J12)</f>
        <v>710.999479740265</v>
      </c>
      <c r="K13" s="28">
        <f>=SUM(K9:K12)</f>
        <v>682.842833042081</v>
      </c>
      <c r="L13" s="28">
        <f>=SUM(L9:L12)</f>
        <v>653.561312930689</v>
      </c>
      <c r="M13" s="28">
        <f>=SUM(M9:M12)</f>
        <v>623.154918899742</v>
      </c>
      <c r="N13" s="28">
        <f>=SUM(N9:N12)</f>
        <v>594.93115044492</v>
      </c>
      <c r="O13" s="28">
        <f>=SUM(O9:O12)</f>
        <v>570.150007063916</v>
      </c>
    </row>
    <row r="14" spans="1:15" s="173" customFormat="true" ht="15" customHeight="true">
      <c r="A14" s="29">
        <v>12.1</v>
      </c>
      <c r="B14" s="26" t="s">
        <v>59</v>
      </c>
      <c r="C14" s="24">
        <f>=SUM(D14:O14)</f>
        <v>6588.43476098687</v>
      </c>
      <c r="D14" s="28">
        <f>=D8+D10+D11+D12</f>
        <v>355.346542128874</v>
      </c>
      <c r="E14" s="28">
        <f>=E8+E10+E11+E12</f>
        <v>694.980867291066</v>
      </c>
      <c r="F14" s="28">
        <f>=F8+F10+F11+F12</f>
        <v>672.51877999225</v>
      </c>
      <c r="G14" s="28">
        <f>=G8+G10+G11+G12</f>
        <v>648.931821842629</v>
      </c>
      <c r="H14" s="28">
        <f>=H8+H10+H11+H12</f>
        <v>624.219992325607</v>
      </c>
      <c r="I14" s="28">
        <f>=I8+I10+I11+I12</f>
        <v>598.348190926653</v>
      </c>
      <c r="J14" s="28">
        <f>=J8+J10+J11+J12</f>
        <v>571.843457133295</v>
      </c>
      <c r="K14" s="28">
        <f>=K8+K10+K11+K12</f>
        <v>543.686810435111</v>
      </c>
      <c r="L14" s="28">
        <f>=L8+L10+L11+L12</f>
        <v>514.405290323719</v>
      </c>
      <c r="M14" s="28">
        <f>=M8+M10+M11+M12</f>
        <v>483.998896292772</v>
      </c>
      <c r="N14" s="28">
        <f>=N8+N10+N11+N12</f>
        <v>452.46762783795</v>
      </c>
      <c r="O14" s="28">
        <f>=O8+O10+O11+O12</f>
        <v>427.686484456946</v>
      </c>
    </row>
    <row r="15" spans="1:15" s="173" customFormat="true" ht="15" customHeight="true">
      <c r="A15" s="29">
        <v>12.2</v>
      </c>
      <c r="B15" s="26" t="s">
        <v>60</v>
      </c>
      <c r="C15" s="24">
        <f>=SUM(D15:O15)</f>
        <v>1239.685</v>
      </c>
      <c r="D15" s="27">
        <f>=D5+D6</f>
        <v>51.46</v>
      </c>
      <c r="E15" s="27">
        <f>=E5+E6</f>
        <v>102.96</v>
      </c>
      <c r="F15" s="27">
        <f>=F5+F6</f>
        <v>102.96</v>
      </c>
      <c r="G15" s="27">
        <f>=G5+G6</f>
        <v>105.96</v>
      </c>
      <c r="H15" s="27">
        <f>=H5+H6</f>
        <v>105.96</v>
      </c>
      <c r="I15" s="27">
        <f>=I5+I6</f>
        <v>109.11</v>
      </c>
      <c r="J15" s="27">
        <f>=J5+J6</f>
        <v>109.11</v>
      </c>
      <c r="K15" s="27">
        <f>=K5+K6</f>
        <v>109.11</v>
      </c>
      <c r="L15" s="27">
        <f>=L5+L6</f>
        <v>109.11</v>
      </c>
      <c r="M15" s="27">
        <f>=M5+M6</f>
        <v>109.11</v>
      </c>
      <c r="N15" s="27">
        <f>=N5+N6</f>
        <v>112.4175</v>
      </c>
      <c r="O15" s="27">
        <f>=O5+O6</f>
        <v>112.4175</v>
      </c>
    </row>
  </sheetData>
  <mergeCells count="5">
    <mergeCell ref="A1:M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>
  <sheetPr/>
  <dimension ref="O26"/>
  <sheetViews>
    <sheetView showGridLines="true" zoomScale="120" zoomScaleNormal="120" workbookViewId="0"/>
  </sheetViews>
  <sheetFormatPr defaultColWidth="9" defaultRowHeight="14.4"/>
  <cols>
    <col min="1" max="1" width="3.62963" customWidth="true"/>
    <col min="2" max="2" width="26.5093" customWidth="true"/>
    <col min="3" max="3" width="9.93519" style="165" customWidth="true"/>
    <col min="4" max="4" width="7.5" style="165" customWidth="true"/>
    <col min="5" max="13" width="8.24074" customWidth="true"/>
    <col min="14" max="14" width="11.5185" customWidth="true"/>
  </cols>
  <sheetData>
    <row r="1" spans="1:13" ht="27" customHeight="true">
      <c r="A1" s="30" t="s">
        <v>61</v>
      </c>
      <c r="B1" s="30" t="s"/>
      <c r="C1" s="30" t="s"/>
      <c r="D1" s="30" t="s"/>
      <c r="E1" s="30" t="s"/>
      <c r="F1" s="30" t="s"/>
      <c r="G1" s="30" t="s"/>
      <c r="H1" s="30" t="s"/>
      <c r="I1" s="30" t="s"/>
      <c r="J1" s="30" t="s"/>
      <c r="K1" s="30" t="s"/>
      <c r="L1" s="30" t="s"/>
      <c r="M1" s="30" t="s"/>
    </row>
    <row r="2" spans="11:11">
      <c r="K2" s="16" t="s">
        <v>48</v>
      </c>
    </row>
    <row r="3" spans="1:15">
      <c r="A3" s="31" t="s">
        <v>2</v>
      </c>
      <c r="B3" s="32" t="s"/>
      <c r="C3" s="33" t="s"/>
      <c r="D3" s="34" t="s">
        <v>50</v>
      </c>
      <c r="E3" s="8" t="s"/>
      <c r="F3" s="8" t="s"/>
      <c r="G3" s="8" t="s"/>
      <c r="H3" s="8" t="s"/>
      <c r="I3" s="8" t="s"/>
      <c r="J3" s="8" t="s"/>
      <c r="K3" s="8" t="s"/>
      <c r="L3" s="8" t="s"/>
      <c r="M3" s="8" t="s"/>
      <c r="N3" s="8" t="s"/>
      <c r="O3" s="8" t="s"/>
    </row>
    <row r="4" spans="1:15">
      <c r="A4" s="31" t="s"/>
      <c r="B4" s="26" t="s">
        <v>62</v>
      </c>
      <c r="C4" s="26" t="s">
        <v>49</v>
      </c>
      <c r="D4" s="35">
        <v>0.5</v>
      </c>
      <c r="E4" s="36">
        <v>2</v>
      </c>
      <c r="F4" s="36">
        <v>3</v>
      </c>
      <c r="G4" s="36">
        <v>4</v>
      </c>
      <c r="H4" s="36">
        <v>5</v>
      </c>
      <c r="I4" s="36">
        <v>6</v>
      </c>
      <c r="J4" s="36">
        <v>7</v>
      </c>
      <c r="K4" s="36">
        <v>8</v>
      </c>
      <c r="L4" s="36">
        <v>9</v>
      </c>
      <c r="M4" s="36">
        <v>10</v>
      </c>
      <c r="N4" s="36">
        <v>11</v>
      </c>
      <c r="O4" s="36">
        <v>12</v>
      </c>
    </row>
    <row r="5" spans="1:15" ht="12" customHeight="true">
      <c r="A5" s="37">
        <v>1</v>
      </c>
      <c r="B5" s="26" t="s">
        <v>8</v>
      </c>
      <c r="C5" s="27">
        <f>=SUM(D5:O5)</f>
        <v>14353.4505617473</v>
      </c>
      <c r="D5" s="27">
        <f>=营业收入及税金表!D5</f>
        <v>615.4450417656</v>
      </c>
      <c r="E5" s="27">
        <f>=营业收入及税金表!E5</f>
        <v>1232.77923519708</v>
      </c>
      <c r="F5" s="27">
        <f>=营业收入及税金表!F5</f>
        <v>1234.67487025629</v>
      </c>
      <c r="G5" s="27">
        <f>=营业收入及税金表!G5</f>
        <v>1236.57696277526</v>
      </c>
      <c r="H5" s="27">
        <f>=营业收入及税金表!H5</f>
        <v>1238.48548692416</v>
      </c>
      <c r="I5" s="27">
        <f>=营业收入及税金表!I5</f>
        <v>1238.64541697646</v>
      </c>
      <c r="J5" s="27">
        <f>=营业收入及税金表!J5</f>
        <v>1263.40872730856</v>
      </c>
      <c r="K5" s="27">
        <f>=营业收入及税金表!K5</f>
        <v>1261.82639239932</v>
      </c>
      <c r="L5" s="27">
        <f>=营业收入及税金表!L5</f>
        <v>1260.25038682973</v>
      </c>
      <c r="M5" s="27">
        <f>=营业收入及税金表!M5</f>
        <v>1258.68068528241</v>
      </c>
      <c r="N5" s="27">
        <f>=营业收入及税金表!N5</f>
        <v>1257.11726254128</v>
      </c>
      <c r="O5" s="27">
        <f>=营业收入及税金表!O5</f>
        <v>1255.56009349111</v>
      </c>
    </row>
    <row r="6" spans="1:15" ht="12" customHeight="true">
      <c r="A6" s="37">
        <v>2</v>
      </c>
      <c r="B6" s="26" t="s">
        <v>63</v>
      </c>
      <c r="C6" s="27">
        <f>=SUM(D6:O6)</f>
        <v>176.1990162016</v>
      </c>
      <c r="D6" s="38">
        <f>=营业收入及税金表!D22</f>
        <v>7.57592543543499</v>
      </c>
      <c r="E6" s="38">
        <f>=营业收入及税金表!E22</f>
        <v>15.1615097952265</v>
      </c>
      <c r="F6" s="38">
        <f>=营业收入及税金表!F22</f>
        <v>15.1717718366856</v>
      </c>
      <c r="G6" s="38">
        <f>=营业收入及税金表!G22</f>
        <v>15.1821166627789</v>
      </c>
      <c r="H6" s="38">
        <f>=营业收入及税金表!H22</f>
        <v>15.1925439423677</v>
      </c>
      <c r="I6" s="38">
        <f>=营业收入及税金表!I22</f>
        <v>15.1875742456383</v>
      </c>
      <c r="J6" s="38">
        <f>=营业收入及税金表!J22</f>
        <v>15.5050398840957</v>
      </c>
      <c r="K6" s="38">
        <f>=营业收入及税金表!K22</f>
        <v>15.4847543505593</v>
      </c>
      <c r="L6" s="38">
        <f>=营业收入及税金表!L22</f>
        <v>15.4645499591571</v>
      </c>
      <c r="M6" s="38">
        <f>=营业收入及税金表!M22</f>
        <v>15.4444263853205</v>
      </c>
      <c r="N6" s="38">
        <f>=营业收入及税金表!N22</f>
        <v>15.4243833057792</v>
      </c>
      <c r="O6" s="38">
        <f>=营业收入及税金表!O22</f>
        <v>15.4044203985561</v>
      </c>
    </row>
    <row r="7" spans="1:15" ht="12" customHeight="true">
      <c r="A7" s="37">
        <v>3</v>
      </c>
      <c r="B7" s="26" t="s">
        <v>64</v>
      </c>
      <c r="C7" s="27">
        <f>=SUM(D7:O7)</f>
        <v>1761.990162016</v>
      </c>
      <c r="D7" s="27">
        <f>=营业收入及税金表!D27</f>
        <v>75.7592543543499</v>
      </c>
      <c r="E7" s="27">
        <f>=营业收入及税金表!E27</f>
        <v>151.615097952265</v>
      </c>
      <c r="F7" s="27">
        <f>=营业收入及税金表!F27</f>
        <v>151.717718366856</v>
      </c>
      <c r="G7" s="27">
        <f>=营业收入及税金表!G27</f>
        <v>151.821166627789</v>
      </c>
      <c r="H7" s="27">
        <f>=营业收入及税金表!H27</f>
        <v>151.925439423677</v>
      </c>
      <c r="I7" s="27">
        <f>=营业收入及税金表!I27</f>
        <v>151.875742456383</v>
      </c>
      <c r="J7" s="27">
        <f>=营业收入及税金表!J27</f>
        <v>155.050398840957</v>
      </c>
      <c r="K7" s="27">
        <f>=营业收入及税金表!K27</f>
        <v>154.847543505593</v>
      </c>
      <c r="L7" s="27">
        <f>=营业收入及税金表!L27</f>
        <v>154.645499591571</v>
      </c>
      <c r="M7" s="27">
        <f>=营业收入及税金表!M27</f>
        <v>154.444263853205</v>
      </c>
      <c r="N7" s="27">
        <f>=营业收入及税金表!N27</f>
        <v>154.243833057792</v>
      </c>
      <c r="O7" s="27">
        <f>=营业收入及税金表!O27</f>
        <v>154.044203985561</v>
      </c>
    </row>
    <row r="8" spans="1:15" ht="12" customHeight="true">
      <c r="A8" s="37">
        <v>4</v>
      </c>
      <c r="B8" s="26" t="s">
        <v>65</v>
      </c>
      <c r="C8" s="27">
        <f>=SUM(D8:O8)</f>
        <v>8173.64902096703</v>
      </c>
      <c r="D8" s="27">
        <f>=总成本费用表!D13</f>
        <v>421.829553432359</v>
      </c>
      <c r="E8" s="27">
        <f>=总成本费用表!E13</f>
        <v>827.986889898036</v>
      </c>
      <c r="F8" s="27">
        <f>=总成本费用表!F13</f>
        <v>805.52480259922</v>
      </c>
      <c r="G8" s="27">
        <f>=总成本费用表!G13</f>
        <v>784.937844449599</v>
      </c>
      <c r="H8" s="27">
        <f>=总成本费用表!H13</f>
        <v>760.226014932577</v>
      </c>
      <c r="I8" s="27">
        <f>=总成本费用表!I13</f>
        <v>737.504213533623</v>
      </c>
      <c r="J8" s="27">
        <f>=总成本费用表!J13</f>
        <v>710.999479740265</v>
      </c>
      <c r="K8" s="27">
        <f>=总成本费用表!K13</f>
        <v>682.842833042081</v>
      </c>
      <c r="L8" s="27">
        <f>=总成本费用表!L13</f>
        <v>653.561312930689</v>
      </c>
      <c r="M8" s="27">
        <f>=总成本费用表!M13</f>
        <v>623.154918899742</v>
      </c>
      <c r="N8" s="27">
        <f>=总成本费用表!N13</f>
        <v>594.93115044492</v>
      </c>
      <c r="O8" s="27">
        <f>=总成本费用表!O13</f>
        <v>570.150007063916</v>
      </c>
    </row>
    <row r="9" spans="1:15" ht="12" customHeight="true">
      <c r="A9" s="37">
        <v>5</v>
      </c>
      <c r="B9" s="26" t="s">
        <v>10</v>
      </c>
      <c r="C9" s="27" t="s"/>
      <c r="D9" s="27" t="s"/>
      <c r="E9" s="27" t="s"/>
      <c r="F9" s="27" t="s"/>
      <c r="G9" s="27" t="s"/>
      <c r="H9" s="27" t="s"/>
      <c r="I9" s="27" t="s"/>
      <c r="J9" s="27" t="s"/>
      <c r="K9" s="27" t="s"/>
      <c r="L9" s="27" t="s"/>
      <c r="M9" s="27" t="s"/>
      <c r="N9" s="27" t="s"/>
      <c r="O9" s="27" t="s"/>
    </row>
    <row r="10" spans="1:15" ht="12" customHeight="true">
      <c r="A10" s="37">
        <v>6</v>
      </c>
      <c r="B10" s="31" t="s">
        <v>66</v>
      </c>
      <c r="C10" s="27">
        <f>=SUM(D10:O10)</f>
        <v>4241.61236256264</v>
      </c>
      <c r="D10" s="24">
        <f>=D5-D6-D7-D8+D9</f>
        <v>110.280308543456</v>
      </c>
      <c r="E10" s="24">
        <f>=E5-E6-E7-E8+E9</f>
        <v>238.015737551548</v>
      </c>
      <c r="F10" s="24">
        <f>=F5-F6-F7-F8+F9</f>
        <v>262.260577453526</v>
      </c>
      <c r="G10" s="27">
        <f>=G5-G6-G7-G8+G9</f>
        <v>284.635835035095</v>
      </c>
      <c r="H10" s="27">
        <f>=H5-H6-H7-H8+H9</f>
        <v>311.141488625538</v>
      </c>
      <c r="I10" s="27">
        <f>=I5-I6-I7-I8+I9</f>
        <v>334.07788674082</v>
      </c>
      <c r="J10" s="27">
        <f>=J5-J6-J7-J8+J9</f>
        <v>381.85380884324</v>
      </c>
      <c r="K10" s="27">
        <f>=K5-K6-K7-K8+K9</f>
        <v>408.651261501091</v>
      </c>
      <c r="L10" s="27">
        <f>=L5-L6-L7-L8+L9</f>
        <v>436.57902434831</v>
      </c>
      <c r="M10" s="27">
        <f>=M5-M6-M7-M8+M9</f>
        <v>465.637076144141</v>
      </c>
      <c r="N10" s="27">
        <f>=N5-N6-N7-N8+N9</f>
        <v>492.517895732788</v>
      </c>
      <c r="O10" s="27">
        <f>=O5-O6-O7-O8+O9</f>
        <v>515.961462043081</v>
      </c>
    </row>
    <row r="11" spans="1:15" ht="12" customHeight="true">
      <c r="A11" s="37">
        <v>7</v>
      </c>
      <c r="B11" s="31" t="s">
        <v>67</v>
      </c>
      <c r="C11" s="27" t="s"/>
      <c r="D11" s="24" t="s"/>
      <c r="E11" s="24" t="s"/>
      <c r="F11" s="24" t="s"/>
      <c r="G11" s="27" t="s"/>
      <c r="H11" s="27" t="s"/>
      <c r="I11" s="27" t="s"/>
      <c r="J11" s="27" t="s"/>
      <c r="K11" s="27" t="s"/>
      <c r="L11" s="27" t="s"/>
      <c r="M11" s="27" t="s"/>
      <c r="N11" s="27" t="s"/>
      <c r="O11" s="27" t="s"/>
    </row>
    <row r="12" spans="1:15" ht="12" customHeight="true">
      <c r="A12" s="37">
        <v>8</v>
      </c>
      <c r="B12" s="31" t="s">
        <v>68</v>
      </c>
      <c r="C12" s="27">
        <f>=SUM(D12:O12)</f>
        <v>4241.61236256264</v>
      </c>
      <c r="D12" s="39">
        <f>=D10-D11</f>
        <v>110.280308543456</v>
      </c>
      <c r="E12" s="24">
        <f>=E10-E11</f>
        <v>238.015737551548</v>
      </c>
      <c r="F12" s="24">
        <f>=F10-F11</f>
        <v>262.260577453526</v>
      </c>
      <c r="G12" s="24">
        <f>=G10-G11</f>
        <v>284.635835035095</v>
      </c>
      <c r="H12" s="24">
        <f>=H10-H11</f>
        <v>311.141488625538</v>
      </c>
      <c r="I12" s="27">
        <f>=I10-I11</f>
        <v>334.07788674082</v>
      </c>
      <c r="J12" s="27">
        <f>=J10-J11</f>
        <v>381.85380884324</v>
      </c>
      <c r="K12" s="27">
        <f>=K10-K11</f>
        <v>408.651261501091</v>
      </c>
      <c r="L12" s="27">
        <f>=L10-L11</f>
        <v>436.57902434831</v>
      </c>
      <c r="M12" s="27">
        <f>=M10-M11</f>
        <v>465.637076144141</v>
      </c>
      <c r="N12" s="27">
        <f>=N10-N11</f>
        <v>492.517895732788</v>
      </c>
      <c r="O12" s="27">
        <f>=O10-O11</f>
        <v>515.961462043081</v>
      </c>
    </row>
    <row r="13" spans="1:15" ht="12" customHeight="true">
      <c r="A13" s="37">
        <v>9</v>
      </c>
      <c r="B13" s="26" t="s">
        <v>19</v>
      </c>
      <c r="C13" s="27">
        <f>=SUM(D13:O13)</f>
        <v>1060.40309064066</v>
      </c>
      <c r="D13" s="24">
        <f>=D12*0.25</f>
        <v>27.570077135864</v>
      </c>
      <c r="E13" s="24">
        <f>=E12*0.25</f>
        <v>59.503934387887</v>
      </c>
      <c r="F13" s="24">
        <f>=F12*0.25</f>
        <v>65.5651443633815</v>
      </c>
      <c r="G13" s="24">
        <f>=G12*0.25</f>
        <v>71.1589587587738</v>
      </c>
      <c r="H13" s="24">
        <f>=H12*0.25</f>
        <v>77.7853721563846</v>
      </c>
      <c r="I13" s="27">
        <f>=I12*0.25</f>
        <v>83.519471685205</v>
      </c>
      <c r="J13" s="27">
        <f>=J12*0.25</f>
        <v>95.4634522108101</v>
      </c>
      <c r="K13" s="27">
        <f>=K12*0.25</f>
        <v>102.162815375273</v>
      </c>
      <c r="L13" s="27">
        <f>=L12*0.25</f>
        <v>109.144756087078</v>
      </c>
      <c r="M13" s="27">
        <f>=M12*0.25</f>
        <v>116.409269036035</v>
      </c>
      <c r="N13" s="27">
        <f>=N12*0.25</f>
        <v>123.129473933197</v>
      </c>
      <c r="O13" s="27">
        <f>=O12*0.25</f>
        <v>128.99036551077</v>
      </c>
    </row>
    <row r="14" spans="1:15" ht="12" customHeight="true">
      <c r="A14" s="37">
        <v>10</v>
      </c>
      <c r="B14" s="31" t="s">
        <v>69</v>
      </c>
      <c r="C14" s="27">
        <f>=SUM(D14:O14)</f>
        <v>3181.20927192198</v>
      </c>
      <c r="D14" s="24">
        <f>=D10-D11-D13</f>
        <v>82.7102314075921</v>
      </c>
      <c r="E14" s="24">
        <f>=E10-E11-E13</f>
        <v>178.511803163661</v>
      </c>
      <c r="F14" s="24">
        <f>=F10-F11-F13</f>
        <v>196.695433090144</v>
      </c>
      <c r="G14" s="24">
        <f>=G10-G11-G13</f>
        <v>213.476876276321</v>
      </c>
      <c r="H14" s="24">
        <f>=H10-H11-H13</f>
        <v>233.356116469154</v>
      </c>
      <c r="I14" s="24">
        <f>=I10-I11-I13</f>
        <v>250.558415055615</v>
      </c>
      <c r="J14" s="24">
        <f>=J10-J11-J13</f>
        <v>286.39035663243</v>
      </c>
      <c r="K14" s="24">
        <f>=K10-K11-K13</f>
        <v>306.488446125818</v>
      </c>
      <c r="L14" s="24">
        <f>=L10-L11-L13</f>
        <v>327.434268261233</v>
      </c>
      <c r="M14" s="24">
        <f>=M10-M11-M13</f>
        <v>349.227807108106</v>
      </c>
      <c r="N14" s="24">
        <f>=N10-N11-N13</f>
        <v>369.388421799591</v>
      </c>
      <c r="O14" s="24">
        <f>=O10-O11-O13</f>
        <v>386.971096532311</v>
      </c>
    </row>
    <row r="15" spans="1:15" ht="12" customHeight="true">
      <c r="A15" s="37">
        <v>11</v>
      </c>
      <c r="B15" s="31" t="s">
        <v>70</v>
      </c>
      <c r="C15" s="27">
        <f>=SUM(D15:O15)</f>
        <v>12616.1101793022</v>
      </c>
      <c r="D15" s="24">
        <v>0</v>
      </c>
      <c r="E15" s="24">
        <f>=D24</f>
        <v>74.4392082668329</v>
      </c>
      <c r="F15" s="24">
        <f>=E24</f>
        <v>235.099831114128</v>
      </c>
      <c r="G15" s="24">
        <f>=F24</f>
        <v>412.125720895258</v>
      </c>
      <c r="H15" s="24">
        <f>=G24</f>
        <v>604.254909543947</v>
      </c>
      <c r="I15" s="24">
        <f>=H24</f>
        <v>814.275414366186</v>
      </c>
      <c r="J15" s="24">
        <f>=I24</f>
        <v>1039.77798791624</v>
      </c>
      <c r="K15" s="24">
        <f>=J24</f>
        <v>1297.52930888543</v>
      </c>
      <c r="L15" s="24">
        <f>=K24</f>
        <v>1573.36891039866</v>
      </c>
      <c r="M15" s="24">
        <f>=L24</f>
        <v>1868.05975183378</v>
      </c>
      <c r="N15" s="24">
        <f>=M24</f>
        <v>2182.36477823107</v>
      </c>
      <c r="O15" s="24">
        <f>=N24</f>
        <v>2514.8143578507</v>
      </c>
    </row>
    <row r="16" spans="1:15" ht="12" customHeight="true">
      <c r="A16" s="37">
        <v>12</v>
      </c>
      <c r="B16" s="31" t="s">
        <v>71</v>
      </c>
      <c r="C16" s="27">
        <f>=SUM(D16:O16)</f>
        <v>15797.3194512242</v>
      </c>
      <c r="D16" s="24">
        <f>=D14+D15+D11</f>
        <v>82.7102314075921</v>
      </c>
      <c r="E16" s="24">
        <f>=E14+E15+E11</f>
        <v>252.951011430494</v>
      </c>
      <c r="F16" s="24">
        <f>=F14+F15+F11</f>
        <v>431.795264204272</v>
      </c>
      <c r="G16" s="24">
        <f>=G14+G15+G11</f>
        <v>625.602597171579</v>
      </c>
      <c r="H16" s="24">
        <f>=H14+H15+H11</f>
        <v>837.611026013101</v>
      </c>
      <c r="I16" s="24">
        <f>=I14+I15+I11</f>
        <v>1064.8338294218</v>
      </c>
      <c r="J16" s="24">
        <f>=J14+J15+J11</f>
        <v>1326.16834454867</v>
      </c>
      <c r="K16" s="24">
        <f>=K14+K15+K11</f>
        <v>1604.01775501124</v>
      </c>
      <c r="L16" s="24">
        <f>=L14+L15+L11</f>
        <v>1900.8031786599</v>
      </c>
      <c r="M16" s="24">
        <f>=M14+M15+M11</f>
        <v>2217.28755894188</v>
      </c>
      <c r="N16" s="24">
        <f>=N14+N15+N11</f>
        <v>2551.75320003066</v>
      </c>
      <c r="O16" s="24">
        <f>=O14+O15+O11</f>
        <v>2901.78545438301</v>
      </c>
    </row>
    <row r="17" spans="1:15" ht="12" customHeight="true">
      <c r="A17" s="37">
        <v>13</v>
      </c>
      <c r="B17" s="31" t="s">
        <v>72</v>
      </c>
      <c r="C17" s="27">
        <f>=SUM(D17:O17)</f>
        <v>318.120927192198</v>
      </c>
      <c r="D17" s="24">
        <f>=D14*0.1</f>
        <v>8.27102314075921</v>
      </c>
      <c r="E17" s="24">
        <f>=E14*0.1</f>
        <v>17.8511803163661</v>
      </c>
      <c r="F17" s="24">
        <f>=F14*0.1</f>
        <v>19.6695433090144</v>
      </c>
      <c r="G17" s="24">
        <f>=G14*0.1</f>
        <v>21.3476876276321</v>
      </c>
      <c r="H17" s="24">
        <f>=H14*0.1</f>
        <v>23.3356116469154</v>
      </c>
      <c r="I17" s="24">
        <f>=I14*0.1</f>
        <v>25.0558415055615</v>
      </c>
      <c r="J17" s="24">
        <f>=J14*0.1</f>
        <v>28.639035663243</v>
      </c>
      <c r="K17" s="24">
        <f>=K14*0.1</f>
        <v>30.6488446125818</v>
      </c>
      <c r="L17" s="24">
        <f>=L14*0.1</f>
        <v>32.7434268261233</v>
      </c>
      <c r="M17" s="24">
        <f>=M14*0.1</f>
        <v>34.9227807108106</v>
      </c>
      <c r="N17" s="24">
        <f>=N14*0.1</f>
        <v>36.9388421799591</v>
      </c>
      <c r="O17" s="24">
        <f>=O14*0.1</f>
        <v>38.6971096532311</v>
      </c>
    </row>
    <row r="18" spans="1:15" ht="12" customHeight="true">
      <c r="A18" s="37">
        <v>14</v>
      </c>
      <c r="B18" s="26" t="s">
        <v>73</v>
      </c>
      <c r="C18" s="27">
        <f>=SUM(D18:O18)</f>
        <v>15479.198524032</v>
      </c>
      <c r="D18" s="27">
        <f>=D16-D17</f>
        <v>74.4392082668329</v>
      </c>
      <c r="E18" s="27">
        <f>=E16-E17</f>
        <v>235.099831114128</v>
      </c>
      <c r="F18" s="27">
        <f>=F16-F17</f>
        <v>412.125720895258</v>
      </c>
      <c r="G18" s="27">
        <f>=G16-G17</f>
        <v>604.254909543947</v>
      </c>
      <c r="H18" s="27">
        <f>=H16-H17</f>
        <v>814.275414366186</v>
      </c>
      <c r="I18" s="27">
        <f>=I16-I17</f>
        <v>1039.77798791624</v>
      </c>
      <c r="J18" s="27">
        <f>=J16-J17</f>
        <v>1297.52930888543</v>
      </c>
      <c r="K18" s="27">
        <f>=K16-K17</f>
        <v>1573.36891039866</v>
      </c>
      <c r="L18" s="27">
        <f>=L16-L17</f>
        <v>1868.05975183377</v>
      </c>
      <c r="M18" s="27">
        <f>=M16-M17</f>
        <v>2182.36477823107</v>
      </c>
      <c r="N18" s="27">
        <f>=N16-N17</f>
        <v>2514.8143578507</v>
      </c>
      <c r="O18" s="27">
        <f>=O16-O17</f>
        <v>2863.08834472978</v>
      </c>
    </row>
    <row r="19" spans="1:15" ht="12" customHeight="true">
      <c r="A19" s="37">
        <v>15</v>
      </c>
      <c r="B19" s="31" t="s">
        <v>74</v>
      </c>
      <c r="C19" s="27" t="s"/>
      <c r="D19" s="27" t="s"/>
      <c r="E19" s="27" t="s"/>
      <c r="F19" s="27" t="s"/>
      <c r="G19" s="27" t="s"/>
      <c r="H19" s="27" t="s"/>
      <c r="I19" s="27" t="s"/>
      <c r="J19" s="27" t="s"/>
      <c r="K19" s="27" t="s"/>
      <c r="L19" s="27" t="s"/>
      <c r="M19" s="27" t="s"/>
      <c r="N19" s="27" t="s"/>
      <c r="O19" s="27" t="s"/>
    </row>
    <row r="20" spans="1:15" ht="12" customHeight="true">
      <c r="A20" s="37">
        <v>16</v>
      </c>
      <c r="B20" s="31" t="s">
        <v>75</v>
      </c>
      <c r="C20" s="27" t="s"/>
      <c r="D20" s="27" t="s"/>
      <c r="E20" s="27" t="s"/>
      <c r="F20" s="27" t="s"/>
      <c r="G20" s="27" t="s"/>
      <c r="H20" s="27" t="s"/>
      <c r="I20" s="27" t="s"/>
      <c r="J20" s="27" t="s"/>
      <c r="K20" s="27" t="s"/>
      <c r="L20" s="27" t="s"/>
      <c r="M20" s="27" t="s"/>
      <c r="N20" s="27" t="s"/>
      <c r="O20" s="27" t="s"/>
    </row>
    <row r="21" spans="1:15" ht="12" customHeight="true">
      <c r="A21" s="37">
        <v>17</v>
      </c>
      <c r="B21" s="31" t="s">
        <v>76</v>
      </c>
      <c r="C21" s="27" t="s"/>
      <c r="D21" s="27" t="s"/>
      <c r="E21" s="27" t="s"/>
      <c r="F21" s="27" t="s"/>
      <c r="G21" s="27" t="s"/>
      <c r="H21" s="27" t="s"/>
      <c r="I21" s="27" t="s"/>
      <c r="J21" s="27" t="s"/>
      <c r="K21" s="27" t="s"/>
      <c r="L21" s="27" t="s"/>
      <c r="M21" s="27" t="s"/>
      <c r="N21" s="27" t="s"/>
      <c r="O21" s="27" t="s"/>
    </row>
    <row r="22" spans="1:15" ht="12" customHeight="true">
      <c r="A22" s="37">
        <v>18</v>
      </c>
      <c r="B22" s="31" t="s">
        <v>77</v>
      </c>
      <c r="C22" s="27" t="s"/>
      <c r="D22" s="27" t="s"/>
      <c r="E22" s="27" t="s"/>
      <c r="F22" s="27" t="s"/>
      <c r="G22" s="27" t="s"/>
      <c r="H22" s="27" t="s"/>
      <c r="I22" s="27" t="s"/>
      <c r="J22" s="27" t="s"/>
      <c r="K22" s="27" t="s"/>
      <c r="L22" s="27" t="s"/>
      <c r="M22" s="27" t="s"/>
      <c r="N22" s="27" t="s"/>
      <c r="O22" s="27" t="s"/>
    </row>
    <row r="23" spans="1:15" ht="12" customHeight="true">
      <c r="A23" s="37" t="s"/>
      <c r="B23" s="31" t="s">
        <v>78</v>
      </c>
      <c r="C23" s="27" t="s"/>
      <c r="D23" s="27" t="s"/>
      <c r="E23" s="27" t="s"/>
      <c r="F23" s="27" t="s"/>
      <c r="G23" s="27" t="s"/>
      <c r="H23" s="27" t="s"/>
      <c r="I23" s="27" t="s"/>
      <c r="J23" s="27" t="s"/>
      <c r="K23" s="27" t="s"/>
      <c r="L23" s="27" t="s"/>
      <c r="M23" s="27" t="s"/>
      <c r="N23" s="27" t="s"/>
      <c r="O23" s="27" t="s"/>
    </row>
    <row r="24" spans="1:15" ht="12" customHeight="true">
      <c r="A24" s="37">
        <v>19</v>
      </c>
      <c r="B24" s="26" t="s">
        <v>79</v>
      </c>
      <c r="C24" s="27">
        <f>=SUM(D24:O24)</f>
        <v>15479.198524032</v>
      </c>
      <c r="D24" s="27">
        <f>=D18-D19-D20-D21-D22</f>
        <v>74.4392082668329</v>
      </c>
      <c r="E24" s="27">
        <f>=E18-E19-E20-E21-E22</f>
        <v>235.099831114128</v>
      </c>
      <c r="F24" s="27">
        <f>=F18-F19-F20-F21-F22</f>
        <v>412.125720895258</v>
      </c>
      <c r="G24" s="27">
        <f>=G18-G19-G20-G21-G22</f>
        <v>604.254909543947</v>
      </c>
      <c r="H24" s="27">
        <f>=H18-H19-H20-H21-H22</f>
        <v>814.275414366186</v>
      </c>
      <c r="I24" s="27">
        <f>=I18-I19-I20-I21-I22</f>
        <v>1039.77798791624</v>
      </c>
      <c r="J24" s="27">
        <f>=J18-J19-J20-J21-J22</f>
        <v>1297.52930888543</v>
      </c>
      <c r="K24" s="27">
        <f>=K18-K19-K20-K21-K22</f>
        <v>1573.36891039866</v>
      </c>
      <c r="L24" s="27">
        <f>=L18-L19-L20-L21-L22</f>
        <v>1868.05975183377</v>
      </c>
      <c r="M24" s="27">
        <f>=M18-M19-M20-M21-M22</f>
        <v>2182.36477823107</v>
      </c>
      <c r="N24" s="27">
        <f>=N18-N19-N20-N21-N22</f>
        <v>2514.8143578507</v>
      </c>
      <c r="O24" s="27">
        <f>=O18-O19-O20-O21-O22</f>
        <v>2863.08834472978</v>
      </c>
    </row>
    <row r="25" spans="1:15" ht="12" customHeight="true">
      <c r="A25" s="37">
        <v>20</v>
      </c>
      <c r="B25" s="26" t="s">
        <v>80</v>
      </c>
      <c r="C25" s="27">
        <f>=SUM(D25:O25)</f>
        <v>6223.86236256263</v>
      </c>
      <c r="D25" s="27">
        <f>=D10+总成本费用表!D12</f>
        <v>265.530308543456</v>
      </c>
      <c r="E25" s="27">
        <f>=E10+总成本费用表!E12</f>
        <v>532.765737551548</v>
      </c>
      <c r="F25" s="27">
        <f>=F10+总成本费用表!F12</f>
        <v>534.510577453526</v>
      </c>
      <c r="G25" s="27">
        <f>=G10+总成本费用表!G12</f>
        <v>533.260835035095</v>
      </c>
      <c r="H25" s="27">
        <f>=H10+总成本费用表!H12</f>
        <v>535.016488625539</v>
      </c>
      <c r="I25" s="27">
        <f>=I10+总成本费用表!I12</f>
        <v>532.07788674082</v>
      </c>
      <c r="J25" s="27">
        <f>=J10+总成本费用表!J12</f>
        <v>552.85380884324</v>
      </c>
      <c r="K25" s="27">
        <f>=K10+总成本费用表!K12</f>
        <v>551.526261501091</v>
      </c>
      <c r="L25" s="27">
        <f>=L10+总成本费用表!L12</f>
        <v>550.20402434831</v>
      </c>
      <c r="M25" s="27">
        <f>=M10+总成本费用表!M12</f>
        <v>548.887076144141</v>
      </c>
      <c r="N25" s="27">
        <f>=N10+总成本费用表!N12</f>
        <v>544.267895732788</v>
      </c>
      <c r="O25" s="27">
        <f>=O10+总成本费用表!O12</f>
        <v>542.961462043081</v>
      </c>
    </row>
    <row r="26" spans="1:15" ht="18" customHeight="true">
      <c r="A26" s="37">
        <v>21</v>
      </c>
      <c r="B26" s="26" t="s">
        <v>81</v>
      </c>
      <c r="C26" s="27">
        <f>=SUM(D26:O26)</f>
        <v>10542.9781123146</v>
      </c>
      <c r="D26" s="27">
        <f>=D25+总成本费用表!D10+总成本费用表!D11</f>
        <v>453.317949837018</v>
      </c>
      <c r="E26" s="27">
        <f>=E25+总成本费用表!E10+总成本费用表!E11</f>
        <v>908.341020138672</v>
      </c>
      <c r="F26" s="27">
        <f>=F25+总成本费用表!F10+总成本费用表!F11</f>
        <v>910.08586004065</v>
      </c>
      <c r="G26" s="27">
        <f>=G25+总成本费用表!G10+总成本费用表!G11</f>
        <v>908.836117622219</v>
      </c>
      <c r="H26" s="27">
        <f>=H25+总成本费用表!H10+总成本费用表!H11</f>
        <v>910.591771212663</v>
      </c>
      <c r="I26" s="27">
        <f>=I25+总成本费用表!I10+总成本费用表!I11</f>
        <v>907.653169327944</v>
      </c>
      <c r="J26" s="27">
        <f>=J25+总成本费用表!J10+总成本费用表!J11</f>
        <v>928.429091430364</v>
      </c>
      <c r="K26" s="27">
        <f>=K25+总成本费用表!K10+总成本费用表!K11</f>
        <v>927.101544088215</v>
      </c>
      <c r="L26" s="27">
        <f>=L25+总成本费用表!L10+总成本费用表!L11</f>
        <v>925.779306935434</v>
      </c>
      <c r="M26" s="27">
        <f>=M25+总成本费用表!M10+总成本费用表!M11</f>
        <v>924.462358731265</v>
      </c>
      <c r="N26" s="27">
        <f>=N25+总成本费用表!N10+总成本费用表!N11</f>
        <v>919.843178319912</v>
      </c>
      <c r="O26" s="27">
        <f>=O25+总成本费用表!O10+总成本费用表!O11</f>
        <v>918.536744630205</v>
      </c>
    </row>
  </sheetData>
  <mergeCells count="3">
    <mergeCell ref="A1:M1"/>
    <mergeCell ref="D3:O3"/>
    <mergeCell ref="A3:A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>
  <sheetPr/>
  <dimension ref="N30"/>
  <sheetViews>
    <sheetView showGridLines="true" workbookViewId="0"/>
  </sheetViews>
  <sheetFormatPr defaultColWidth="9" defaultRowHeight="14.4"/>
  <cols>
    <col min="1" max="1" width="4.12963" customWidth="true"/>
    <col min="2" max="2" width="17.5556" customWidth="true"/>
    <col min="3" max="3" width="9.62963" customWidth="true"/>
    <col min="4" max="13" width="11.5556" customWidth="true"/>
  </cols>
  <sheetData>
    <row r="1" spans="1:13" ht="17.85" customHeight="true">
      <c r="A1" s="30" t="s">
        <v>82</v>
      </c>
      <c r="B1" s="40" t="s"/>
      <c r="C1" s="40" t="s"/>
      <c r="D1" s="40" t="s"/>
      <c r="E1" s="40" t="s"/>
      <c r="F1" s="40" t="s"/>
      <c r="G1" s="40" t="s"/>
      <c r="H1" s="40" t="s"/>
      <c r="I1" s="40" t="s"/>
      <c r="J1" s="40" t="s"/>
      <c r="K1" s="40" t="s"/>
      <c r="L1" s="40" t="s"/>
      <c r="M1" s="40" t="s"/>
    </row>
    <row r="2" spans="13:13">
      <c r="M2" s="16" t="s">
        <v>48</v>
      </c>
    </row>
    <row r="3" spans="1:15" s="173" customFormat="true" ht="15" customHeight="true">
      <c r="A3" s="41" t="s">
        <v>2</v>
      </c>
      <c r="B3" s="42" t="s">
        <v>229</v>
      </c>
      <c r="C3" s="43" t="s">
        <v>49</v>
      </c>
      <c r="D3" s="19" t="s">
        <v>83</v>
      </c>
      <c r="E3" s="8" t="s"/>
      <c r="F3" s="8" t="s"/>
      <c r="G3" s="8" t="s"/>
      <c r="H3" s="8" t="s"/>
      <c r="I3" s="8" t="s"/>
      <c r="J3" s="8" t="s"/>
      <c r="K3" s="8" t="s"/>
      <c r="L3" s="8" t="s"/>
      <c r="M3" s="8" t="s"/>
      <c r="N3" s="8" t="s"/>
      <c r="O3" s="8" t="s"/>
    </row>
    <row r="4" spans="1:15" s="173" customFormat="true" ht="15" customHeight="true">
      <c r="A4" s="41" t="s"/>
      <c r="B4" s="44" t="s"/>
      <c r="C4" s="45" t="s"/>
      <c r="D4" s="21">
        <v>1</v>
      </c>
      <c r="E4" s="21">
        <v>2</v>
      </c>
      <c r="F4" s="21">
        <v>3</v>
      </c>
      <c r="G4" s="21">
        <v>4</v>
      </c>
      <c r="H4" s="21">
        <v>5</v>
      </c>
      <c r="I4" s="21">
        <v>6</v>
      </c>
      <c r="J4" s="21">
        <v>7</v>
      </c>
      <c r="K4" s="21">
        <v>8</v>
      </c>
      <c r="L4" s="21">
        <v>9</v>
      </c>
      <c r="M4" s="21">
        <v>10</v>
      </c>
      <c r="N4" s="21">
        <v>11</v>
      </c>
      <c r="O4" s="21">
        <v>12</v>
      </c>
    </row>
    <row r="5" spans="1:15" s="173" customFormat="true" ht="15" customHeight="true">
      <c r="A5" s="25">
        <v>1</v>
      </c>
      <c r="B5" s="26" t="s">
        <v>6</v>
      </c>
      <c r="C5" s="46">
        <f>=SUM(D5:O5)</f>
        <v>18723.1788278918</v>
      </c>
      <c r="D5" s="47">
        <f>=D6+D7+D8+D9</f>
        <v>1397.44100319628</v>
      </c>
      <c r="E5" s="47">
        <f>=E6+E7+E8+E9</f>
        <v>1232.77923519708</v>
      </c>
      <c r="F5" s="47">
        <f>=F6+F7+F8+F9</f>
        <v>1234.67487025629</v>
      </c>
      <c r="G5" s="47">
        <f>=G6+G7+G8+G9</f>
        <v>1236.57696277526</v>
      </c>
      <c r="H5" s="47">
        <f>=H6+H7+H8+H9</f>
        <v>1238.48548692416</v>
      </c>
      <c r="I5" s="47">
        <f>=I6+I7+I8+I9</f>
        <v>1238.64541697646</v>
      </c>
      <c r="J5" s="47">
        <f>=J6+J7+J8+J9</f>
        <v>1263.40872730856</v>
      </c>
      <c r="K5" s="47">
        <f>=K6+K7+K8+K9</f>
        <v>1261.82639239932</v>
      </c>
      <c r="L5" s="47">
        <f>=L6+L7+L8+L9</f>
        <v>1260.25038682973</v>
      </c>
      <c r="M5" s="47">
        <f>=M6+M7+M8+M9</f>
        <v>1258.68068528241</v>
      </c>
      <c r="N5" s="47">
        <f>=N6+N7+N8+N9</f>
        <v>1257.11726254128</v>
      </c>
      <c r="O5" s="47">
        <f>=O6+O7+O8+O9</f>
        <v>4843.29239820496</v>
      </c>
    </row>
    <row r="6" spans="1:15" s="173" customFormat="true" ht="15" customHeight="true">
      <c r="A6" s="25">
        <v>1.1</v>
      </c>
      <c r="B6" s="26" t="s">
        <v>8</v>
      </c>
      <c r="C6" s="46">
        <f>=SUM(D6:O6)</f>
        <v>14353.4505617473</v>
      </c>
      <c r="D6" s="47">
        <f>=营业收入及税金表!D5</f>
        <v>615.4450417656</v>
      </c>
      <c r="E6" s="47">
        <f>=营业收入及税金表!E5</f>
        <v>1232.77923519708</v>
      </c>
      <c r="F6" s="47">
        <f>=营业收入及税金表!F5</f>
        <v>1234.67487025629</v>
      </c>
      <c r="G6" s="47">
        <f>=营业收入及税金表!G5</f>
        <v>1236.57696277526</v>
      </c>
      <c r="H6" s="47">
        <f>=营业收入及税金表!H5</f>
        <v>1238.48548692416</v>
      </c>
      <c r="I6" s="47">
        <f>=营业收入及税金表!I5</f>
        <v>1238.64541697646</v>
      </c>
      <c r="J6" s="47">
        <f>=营业收入及税金表!J5</f>
        <v>1263.40872730856</v>
      </c>
      <c r="K6" s="47">
        <f>=营业收入及税金表!K5</f>
        <v>1261.82639239932</v>
      </c>
      <c r="L6" s="47">
        <f>=营业收入及税金表!L5</f>
        <v>1260.25038682973</v>
      </c>
      <c r="M6" s="47">
        <f>=营业收入及税金表!M5</f>
        <v>1258.68068528241</v>
      </c>
      <c r="N6" s="47">
        <f>=营业收入及税金表!N5</f>
        <v>1257.11726254128</v>
      </c>
      <c r="O6" s="47">
        <f>=营业收入及税金表!O5</f>
        <v>1255.56009349111</v>
      </c>
    </row>
    <row r="7" spans="1:15" s="174" customFormat="true" ht="15" customHeight="true">
      <c r="A7" s="22">
        <v>1.2</v>
      </c>
      <c r="B7" s="23" t="s">
        <v>84</v>
      </c>
      <c r="C7" s="46" t="s"/>
      <c r="D7" s="48">
        <f>=D11*0.09</f>
        <v>781.995961430681</v>
      </c>
      <c r="E7" s="48" t="s"/>
      <c r="F7" s="49" t="s"/>
      <c r="G7" s="48" t="s"/>
      <c r="H7" s="48" t="s"/>
      <c r="I7" s="48" t="s"/>
      <c r="J7" s="48" t="s"/>
      <c r="K7" s="48" t="s"/>
      <c r="L7" s="48" t="s"/>
      <c r="M7" s="48" t="s"/>
      <c r="N7" s="48" t="s"/>
      <c r="O7" s="48" t="s"/>
    </row>
    <row r="8" spans="1:15" s="173" customFormat="true" ht="15" customHeight="true">
      <c r="A8" s="25">
        <v>1.3</v>
      </c>
      <c r="B8" s="26" t="s">
        <v>85</v>
      </c>
      <c r="C8" s="46">
        <f>=SUM(D8:O8)</f>
        <v>3587.73230471385</v>
      </c>
      <c r="D8" s="47" t="s"/>
      <c r="E8" s="47" t="s"/>
      <c r="F8" s="47" t="s"/>
      <c r="G8" s="47" t="s"/>
      <c r="H8" s="47" t="s"/>
      <c r="I8" s="47" t="s"/>
      <c r="J8" s="47" t="s"/>
      <c r="K8" s="47" t="s"/>
      <c r="L8" s="47" t="s"/>
      <c r="M8" s="47" t="s"/>
      <c r="N8" s="47" t="s"/>
      <c r="O8" s="47">
        <f>=固定资产折旧!Q8</f>
        <v>3587.73230471385</v>
      </c>
    </row>
    <row r="9" spans="1:15" s="173" customFormat="true" ht="15" customHeight="true">
      <c r="A9" s="25">
        <v>1.4</v>
      </c>
      <c r="B9" s="26" t="s">
        <v>86</v>
      </c>
      <c r="C9" s="46" t="s"/>
      <c r="D9" s="47" t="s"/>
      <c r="E9" s="47" t="s"/>
      <c r="F9" s="47" t="s"/>
      <c r="G9" s="47" t="s"/>
      <c r="H9" s="47" t="s"/>
      <c r="I9" s="47" t="s"/>
      <c r="J9" s="47" t="s"/>
      <c r="K9" s="47" t="s"/>
      <c r="L9" s="47" t="s"/>
      <c r="M9" s="47" t="s"/>
      <c r="N9" s="47" t="s"/>
      <c r="O9" s="47" t="s"/>
    </row>
    <row r="10" spans="1:15" s="173" customFormat="true" ht="15" customHeight="true">
      <c r="A10" s="25">
        <v>2</v>
      </c>
      <c r="B10" s="26" t="s">
        <v>13</v>
      </c>
      <c r="C10" s="46">
        <f>=SUM(D10:O10)</f>
        <v>12499.3164653291</v>
      </c>
      <c r="D10" s="47">
        <f>=D11+D12+D13+D14+D15+D16</f>
        <v>8850.97110782503</v>
      </c>
      <c r="E10" s="47">
        <f>=E11+E12+E13+E14+E15+E16</f>
        <v>324.438215058403</v>
      </c>
      <c r="F10" s="47">
        <f>=F11+F12+F13+F14+F15+F16</f>
        <v>324.589010215637</v>
      </c>
      <c r="G10" s="47">
        <f>=G11+G12+G13+G14+G15+G16</f>
        <v>327.740845153043</v>
      </c>
      <c r="H10" s="47">
        <f>=H11+H12+H13+H14+H15+H16</f>
        <v>327.893715711498</v>
      </c>
      <c r="I10" s="47">
        <f>=I11+I12+I13+I14+I15+I16</f>
        <v>330.99224764852</v>
      </c>
      <c r="J10" s="47">
        <f>=J11+J12+J13+J14+J15+J16</f>
        <v>334.979635878195</v>
      </c>
      <c r="K10" s="47">
        <f>=K11+K12+K13+K14+K15+K16</f>
        <v>334.724848311109</v>
      </c>
      <c r="L10" s="47">
        <f>=L11+L12+L13+L14+L15+L16</f>
        <v>334.471079894293</v>
      </c>
      <c r="M10" s="47">
        <f>=M11+M12+M13+M14+M15+M16</f>
        <v>334.218326551143</v>
      </c>
      <c r="N10" s="47">
        <f>=N11+N12+N13+N14+N15+N16</f>
        <v>337.274084221366</v>
      </c>
      <c r="O10" s="47">
        <f>=O11+O12+O13+O14+O15+O16</f>
        <v>337.023348860909</v>
      </c>
    </row>
    <row r="11" spans="1:15" s="173" customFormat="true" ht="15" customHeight="true">
      <c r="A11" s="25">
        <v>2.1</v>
      </c>
      <c r="B11" s="26" t="s">
        <v>24</v>
      </c>
      <c r="C11" s="46">
        <f>=SUM(D11:O11)</f>
        <v>8688.84401589645</v>
      </c>
      <c r="D11" s="47">
        <f>=总投资!G53</f>
        <v>8688.84401589645</v>
      </c>
      <c r="E11" s="47" t="s"/>
      <c r="F11" s="47" t="s"/>
      <c r="G11" s="47" t="s"/>
      <c r="H11" s="47" t="s"/>
      <c r="I11" s="47" t="s"/>
      <c r="J11" s="47" t="s"/>
      <c r="K11" s="47" t="s"/>
      <c r="L11" s="47" t="s"/>
      <c r="M11" s="47" t="s"/>
      <c r="N11" s="47" t="s"/>
      <c r="O11" s="47" t="s"/>
    </row>
    <row r="12" spans="1:15" s="173" customFormat="true" ht="15" customHeight="true">
      <c r="A12" s="25">
        <v>2.2</v>
      </c>
      <c r="B12" s="26" t="s">
        <v>28</v>
      </c>
      <c r="C12" s="46" t="s"/>
      <c r="D12" s="47" t="s"/>
      <c r="E12" s="47" t="s"/>
      <c r="F12" s="47" t="s"/>
      <c r="G12" s="47" t="s"/>
      <c r="H12" s="47" t="s"/>
      <c r="I12" s="47" t="s"/>
      <c r="J12" s="47" t="s"/>
      <c r="K12" s="47" t="s"/>
      <c r="L12" s="47" t="s"/>
      <c r="M12" s="47" t="s"/>
      <c r="N12" s="47" t="s"/>
      <c r="O12" s="47" t="s"/>
    </row>
    <row r="13" spans="1:15" s="173" customFormat="true" ht="15" customHeight="true">
      <c r="A13" s="25">
        <v>2.3</v>
      </c>
      <c r="B13" s="26" t="s">
        <v>15</v>
      </c>
      <c r="C13" s="46">
        <f>=SUM(D13:O13)</f>
        <v>1872.2832712151</v>
      </c>
      <c r="D13" s="47">
        <f>=总成本费用表!D9</f>
        <v>78.791912138797</v>
      </c>
      <c r="E13" s="47">
        <f>=总成本费用表!E9</f>
        <v>157.661607310911</v>
      </c>
      <c r="F13" s="47">
        <f>=总成本费用表!F9</f>
        <v>157.699520012096</v>
      </c>
      <c r="G13" s="47">
        <f>=总成本费用表!G9</f>
        <v>160.737561862475</v>
      </c>
      <c r="H13" s="47">
        <f>=总成本费用表!H9</f>
        <v>160.775732345453</v>
      </c>
      <c r="I13" s="47">
        <f>=总成本费用表!I9</f>
        <v>163.928930946499</v>
      </c>
      <c r="J13" s="47">
        <f>=总成本费用表!J9</f>
        <v>164.424197153141</v>
      </c>
      <c r="K13" s="47">
        <f>=总成本费用表!K9</f>
        <v>164.392550454956</v>
      </c>
      <c r="L13" s="47">
        <f>=总成本费用表!L9</f>
        <v>164.361030343565</v>
      </c>
      <c r="M13" s="47">
        <f>=总成本费用表!M9</f>
        <v>164.329636312618</v>
      </c>
      <c r="N13" s="47">
        <f>=总成本费用表!N9</f>
        <v>167.605867857796</v>
      </c>
      <c r="O13" s="47">
        <f>=总成本费用表!O9</f>
        <v>167.574724476792</v>
      </c>
    </row>
    <row r="14" spans="1:15" s="173" customFormat="true" ht="15" customHeight="true">
      <c r="A14" s="25">
        <v>2.4</v>
      </c>
      <c r="B14" s="26" t="s">
        <v>63</v>
      </c>
      <c r="C14" s="46">
        <f>=SUM(D14:O14)</f>
        <v>176.1990162016</v>
      </c>
      <c r="D14" s="47">
        <f>=营业收入及税金表!D22</f>
        <v>7.57592543543499</v>
      </c>
      <c r="E14" s="47">
        <f>=营业收入及税金表!E22</f>
        <v>15.1615097952265</v>
      </c>
      <c r="F14" s="47">
        <f>=营业收入及税金表!F22</f>
        <v>15.1717718366856</v>
      </c>
      <c r="G14" s="47">
        <f>=营业收入及税金表!G22</f>
        <v>15.1821166627789</v>
      </c>
      <c r="H14" s="47">
        <f>=营业收入及税金表!H22</f>
        <v>15.1925439423677</v>
      </c>
      <c r="I14" s="47">
        <f>=营业收入及税金表!I22</f>
        <v>15.1875742456383</v>
      </c>
      <c r="J14" s="47">
        <f>=营业收入及税金表!J22</f>
        <v>15.5050398840957</v>
      </c>
      <c r="K14" s="47">
        <f>=营业收入及税金表!K22</f>
        <v>15.4847543505593</v>
      </c>
      <c r="L14" s="47">
        <f>=营业收入及税金表!L22</f>
        <v>15.4645499591571</v>
      </c>
      <c r="M14" s="47">
        <f>=营业收入及税金表!M22</f>
        <v>15.4444263853205</v>
      </c>
      <c r="N14" s="47">
        <f>=营业收入及税金表!N22</f>
        <v>15.4243833057792</v>
      </c>
      <c r="O14" s="47">
        <f>=营业收入及税金表!O22</f>
        <v>15.4044203985561</v>
      </c>
    </row>
    <row r="15" spans="1:15" s="173" customFormat="true" ht="15" customHeight="true">
      <c r="A15" s="25">
        <v>2.5</v>
      </c>
      <c r="B15" s="26" t="s">
        <v>64</v>
      </c>
      <c r="C15" s="46">
        <f>=SUM(D15:O15)</f>
        <v>1761.990162016</v>
      </c>
      <c r="D15" s="47">
        <f>=利润及利润分配表!D7</f>
        <v>75.7592543543499</v>
      </c>
      <c r="E15" s="47">
        <f>=利润及利润分配表!E7</f>
        <v>151.615097952265</v>
      </c>
      <c r="F15" s="47">
        <f>=利润及利润分配表!F7</f>
        <v>151.717718366856</v>
      </c>
      <c r="G15" s="47">
        <f>=利润及利润分配表!G7</f>
        <v>151.821166627789</v>
      </c>
      <c r="H15" s="47">
        <f>=利润及利润分配表!H7</f>
        <v>151.925439423677</v>
      </c>
      <c r="I15" s="47">
        <f>=利润及利润分配表!I7</f>
        <v>151.875742456383</v>
      </c>
      <c r="J15" s="47">
        <f>=利润及利润分配表!J7</f>
        <v>155.050398840957</v>
      </c>
      <c r="K15" s="47">
        <f>=利润及利润分配表!K7</f>
        <v>154.847543505593</v>
      </c>
      <c r="L15" s="47">
        <f>=利润及利润分配表!L7</f>
        <v>154.645499591571</v>
      </c>
      <c r="M15" s="47">
        <f>=利润及利润分配表!M7</f>
        <v>154.444263853205</v>
      </c>
      <c r="N15" s="47">
        <f>=利润及利润分配表!N7</f>
        <v>154.243833057792</v>
      </c>
      <c r="O15" s="47">
        <f>=利润及利润分配表!O7</f>
        <v>154.044203985561</v>
      </c>
    </row>
    <row r="16" spans="1:15" s="173" customFormat="true" ht="15" customHeight="true">
      <c r="A16" s="25">
        <v>2.6</v>
      </c>
      <c r="B16" s="26" t="s">
        <v>26</v>
      </c>
      <c r="C16" s="46" t="s"/>
      <c r="D16" s="47" t="s"/>
      <c r="E16" s="47" t="s"/>
      <c r="F16" s="47" t="s"/>
      <c r="G16" s="47" t="s"/>
      <c r="H16" s="47" t="s"/>
      <c r="I16" s="47" t="s"/>
      <c r="J16" s="47" t="s"/>
      <c r="K16" s="47" t="s"/>
      <c r="L16" s="47" t="s"/>
      <c r="M16" s="47" t="s"/>
      <c r="N16" s="47" t="s"/>
      <c r="O16" s="47" t="s"/>
    </row>
    <row r="17" spans="1:15" s="173" customFormat="true" ht="22" customHeight="true">
      <c r="A17" s="25">
        <v>3</v>
      </c>
      <c r="B17" s="31" t="s">
        <v>87</v>
      </c>
      <c r="C17" s="46">
        <f>=SUM(D17:O17)</f>
        <v>6223.86236256263</v>
      </c>
      <c r="D17" s="47">
        <f>=D5-D10</f>
        <v>-7453.53010462875</v>
      </c>
      <c r="E17" s="47">
        <f>=E5-E10</f>
        <v>908.341020138672</v>
      </c>
      <c r="F17" s="47">
        <f>=F5-F10</f>
        <v>910.08586004065</v>
      </c>
      <c r="G17" s="47">
        <f>=G5-G10</f>
        <v>908.836117622219</v>
      </c>
      <c r="H17" s="47">
        <f>=H5-H10</f>
        <v>910.591771212662</v>
      </c>
      <c r="I17" s="47">
        <f>=I5-I10</f>
        <v>907.653169327944</v>
      </c>
      <c r="J17" s="47">
        <f>=J5-J10</f>
        <v>928.429091430364</v>
      </c>
      <c r="K17" s="47">
        <f>=K5-K10</f>
        <v>927.101544088215</v>
      </c>
      <c r="L17" s="47">
        <f>=L5-L10</f>
        <v>925.779306935434</v>
      </c>
      <c r="M17" s="47">
        <f>=M5-M10</f>
        <v>924.462358731265</v>
      </c>
      <c r="N17" s="47">
        <f>=N5-N10</f>
        <v>919.843178319912</v>
      </c>
      <c r="O17" s="47">
        <f>=O5-O10</f>
        <v>4506.26904934405</v>
      </c>
    </row>
    <row r="18" spans="1:15" s="173" customFormat="true" ht="22" customHeight="true">
      <c r="A18" s="25">
        <v>4</v>
      </c>
      <c r="B18" s="31" t="s">
        <v>88</v>
      </c>
      <c r="C18" s="46" t="s"/>
      <c r="D18" s="47">
        <f>=D17</f>
        <v>-7453.53010462875</v>
      </c>
      <c r="E18" s="47">
        <f>=D18+E17</f>
        <v>-6545.18908449008</v>
      </c>
      <c r="F18" s="47">
        <f>=E18+F17</f>
        <v>-5635.10322444943</v>
      </c>
      <c r="G18" s="47">
        <f>=F18+G17</f>
        <v>-4726.26710682721</v>
      </c>
      <c r="H18" s="47">
        <f>=G18+H17</f>
        <v>-3815.67533561455</v>
      </c>
      <c r="I18" s="47">
        <f>=H18+I17</f>
        <v>-2908.02216628661</v>
      </c>
      <c r="J18" s="47">
        <f>=I18+J17</f>
        <v>-1979.59307485624</v>
      </c>
      <c r="K18" s="47">
        <f>=J18+K17</f>
        <v>-1052.49153076803</v>
      </c>
      <c r="L18" s="47">
        <f>=K18+L17</f>
        <v>-126.712223832592</v>
      </c>
      <c r="M18" s="47">
        <f>=L18+M17</f>
        <v>797.750134898673</v>
      </c>
      <c r="N18" s="47">
        <f>=M18+N17</f>
        <v>1717.59331321859</v>
      </c>
      <c r="O18" s="47">
        <f>=N18+O17</f>
        <v>6223.86236256263</v>
      </c>
    </row>
    <row r="19" spans="1:15" s="173" customFormat="true" ht="22" customHeight="true">
      <c r="A19" s="25">
        <v>5</v>
      </c>
      <c r="B19" s="31" t="s">
        <v>89</v>
      </c>
      <c r="C19" s="46">
        <f>=SUM(D19:O19)</f>
        <v>2920.2984872907</v>
      </c>
      <c r="D19" s="47">
        <f>=D17/POWER(1.042,1)</f>
        <v>-7153.09990847289</v>
      </c>
      <c r="E19" s="47">
        <f>=E17/POWER(1.042,2)</f>
        <v>836.591579881698</v>
      </c>
      <c r="F19" s="47">
        <f>=F17/POWER(1.042,3)</f>
        <v>804.413239616786</v>
      </c>
      <c r="G19" s="47">
        <f>=G17/POWER(1.042,4)</f>
        <v>770.929566500885</v>
      </c>
      <c r="H19" s="47">
        <f>=H17/POWER(1.042,5)</f>
        <v>741.284853821283</v>
      </c>
      <c r="I19" s="47">
        <f>=I17/POWER(1.042,6)</f>
        <v>709.110007761004</v>
      </c>
      <c r="J19" s="47">
        <f>=J17/POWER(1.042,7)</f>
        <v>696.104926619331</v>
      </c>
      <c r="K19" s="47">
        <f>=K17/POWER(1.042,8)</f>
        <v>667.091723842025</v>
      </c>
      <c r="L19" s="47">
        <f>=L17/POWER(1.042,9)</f>
        <v>639.290128673405</v>
      </c>
      <c r="M19" s="47">
        <f>=M17/POWER(1.042,10)</f>
        <v>612.649443113246</v>
      </c>
      <c r="N19" s="47">
        <f>=N17/POWER(1.042,10)</f>
        <v>609.588271092636</v>
      </c>
      <c r="O19" s="47">
        <f>=O17/POWER(1.042,10)</f>
        <v>2986.34465484129</v>
      </c>
    </row>
    <row r="20" spans="1:15" s="173" customFormat="true" ht="22" customHeight="true">
      <c r="A20" s="25">
        <v>6</v>
      </c>
      <c r="B20" s="31" t="s">
        <v>90</v>
      </c>
      <c r="C20" s="46" t="s"/>
      <c r="D20" s="47">
        <f>=D19</f>
        <v>-7153.09990847289</v>
      </c>
      <c r="E20" s="47">
        <f>=D20+E19</f>
        <v>-6316.50832859119</v>
      </c>
      <c r="F20" s="47">
        <f>=E20+F19</f>
        <v>-5512.09508897441</v>
      </c>
      <c r="G20" s="47">
        <f>=F20+G19</f>
        <v>-4741.16552247352</v>
      </c>
      <c r="H20" s="47">
        <f>=G20+H19</f>
        <v>-3999.88066865224</v>
      </c>
      <c r="I20" s="47">
        <f>=H20+I19</f>
        <v>-3290.77066089124</v>
      </c>
      <c r="J20" s="47">
        <f>=I20+J19</f>
        <v>-2594.66573427191</v>
      </c>
      <c r="K20" s="47">
        <f>=J20+K19</f>
        <v>-1927.57401042988</v>
      </c>
      <c r="L20" s="47">
        <f>=K20+L19</f>
        <v>-1288.28388175647</v>
      </c>
      <c r="M20" s="47">
        <f>=L20+M19</f>
        <v>-675.634438643228</v>
      </c>
      <c r="N20" s="47">
        <f>=M20+N19</f>
        <v>-66.0461675505915</v>
      </c>
      <c r="O20" s="47">
        <f>=N20+O19</f>
        <v>2920.2984872907</v>
      </c>
    </row>
    <row r="21" spans="1:15" s="173" customFormat="true" ht="22" customHeight="true">
      <c r="A21" s="25">
        <v>7</v>
      </c>
      <c r="B21" s="31" t="s">
        <v>91</v>
      </c>
      <c r="C21" s="46">
        <f>=SUM(D21:O21)</f>
        <v>1032.8330135048</v>
      </c>
      <c r="D21" s="47" t="s"/>
      <c r="E21" s="47">
        <f>=利润及利润分配表!E13</f>
        <v>59.503934387887</v>
      </c>
      <c r="F21" s="47">
        <f>=利润及利润分配表!F13</f>
        <v>65.5651443633815</v>
      </c>
      <c r="G21" s="47">
        <f>=利润及利润分配表!G13</f>
        <v>71.1589587587738</v>
      </c>
      <c r="H21" s="47">
        <f>=利润及利润分配表!H13</f>
        <v>77.7853721563846</v>
      </c>
      <c r="I21" s="47">
        <f>=利润及利润分配表!I13</f>
        <v>83.519471685205</v>
      </c>
      <c r="J21" s="47">
        <f>=利润及利润分配表!J13</f>
        <v>95.4634522108101</v>
      </c>
      <c r="K21" s="47">
        <f>=利润及利润分配表!K13</f>
        <v>102.162815375273</v>
      </c>
      <c r="L21" s="47">
        <f>=利润及利润分配表!L13</f>
        <v>109.144756087078</v>
      </c>
      <c r="M21" s="47">
        <f>=利润及利润分配表!M13</f>
        <v>116.409269036035</v>
      </c>
      <c r="N21" s="47">
        <f>=利润及利润分配表!N13</f>
        <v>123.129473933197</v>
      </c>
      <c r="O21" s="47">
        <f>=利润及利润分配表!O13</f>
        <v>128.99036551077</v>
      </c>
    </row>
    <row r="22" spans="1:15" s="173" customFormat="true" ht="22" customHeight="true">
      <c r="A22" s="25">
        <v>8</v>
      </c>
      <c r="B22" s="31" t="s">
        <v>92</v>
      </c>
      <c r="C22" s="46">
        <f>=SUM(D22:O22)</f>
        <v>5191.02934905784</v>
      </c>
      <c r="D22" s="47">
        <f>=D17-D21</f>
        <v>-7453.53010462875</v>
      </c>
      <c r="E22" s="47">
        <f>=E17-E21</f>
        <v>848.837085750785</v>
      </c>
      <c r="F22" s="47">
        <f>=F17-F21</f>
        <v>844.520715677268</v>
      </c>
      <c r="G22" s="47">
        <f>=G17-G21</f>
        <v>837.677158863445</v>
      </c>
      <c r="H22" s="47">
        <f>=H17-H21</f>
        <v>832.806399056278</v>
      </c>
      <c r="I22" s="47">
        <f>=I17-I21</f>
        <v>824.133697642739</v>
      </c>
      <c r="J22" s="47">
        <f>=J17-J21</f>
        <v>832.965639219554</v>
      </c>
      <c r="K22" s="47">
        <f>=K17-K21</f>
        <v>824.938728712942</v>
      </c>
      <c r="L22" s="47">
        <f>=L17-L21</f>
        <v>816.634550848356</v>
      </c>
      <c r="M22" s="47">
        <f>=M17-M21</f>
        <v>808.05308969523</v>
      </c>
      <c r="N22" s="47">
        <f>=N17-N21</f>
        <v>796.713704386715</v>
      </c>
      <c r="O22" s="47">
        <f>=O17-O21</f>
        <v>4377.27868383328</v>
      </c>
    </row>
    <row r="23" spans="1:15" s="173" customFormat="true" ht="22" customHeight="true">
      <c r="A23" s="25">
        <v>9</v>
      </c>
      <c r="B23" s="31" t="s">
        <v>93</v>
      </c>
      <c r="C23" s="46" t="s"/>
      <c r="D23" s="47">
        <f>=D22</f>
        <v>-7453.53010462875</v>
      </c>
      <c r="E23" s="47">
        <f>=D23+E22</f>
        <v>-6604.69301887797</v>
      </c>
      <c r="F23" s="47">
        <f>=E23+F22</f>
        <v>-5760.1723032007</v>
      </c>
      <c r="G23" s="47">
        <f>=F23+G22</f>
        <v>-4922.49514433725</v>
      </c>
      <c r="H23" s="47">
        <f>=G23+H22</f>
        <v>-4089.68874528097</v>
      </c>
      <c r="I23" s="47">
        <f>=H23+I22</f>
        <v>-3265.55504763824</v>
      </c>
      <c r="J23" s="47">
        <f>=I23+J22</f>
        <v>-2432.58940841868</v>
      </c>
      <c r="K23" s="47">
        <f>=J23+K22</f>
        <v>-1607.65067970574</v>
      </c>
      <c r="L23" s="47">
        <f>=K23+L22</f>
        <v>-791.016128857383</v>
      </c>
      <c r="M23" s="47">
        <f>=L23+M22</f>
        <v>17.0369608378468</v>
      </c>
      <c r="N23" s="47">
        <f>=M23+N22</f>
        <v>813.750665224562</v>
      </c>
      <c r="O23" s="47">
        <f>=N23+O22</f>
        <v>5191.02934905784</v>
      </c>
    </row>
    <row r="24" spans="1:15" s="173" customFormat="true" ht="22" customHeight="true">
      <c r="A24" s="25">
        <v>10</v>
      </c>
      <c r="B24" s="31" t="s">
        <v>94</v>
      </c>
      <c r="C24" s="46">
        <f>=SUM(D24:O24)</f>
        <v>2151.65198237118</v>
      </c>
      <c r="D24" s="47">
        <f>=D22/POWER(1.042,1)</f>
        <v>-7153.09990847289</v>
      </c>
      <c r="E24" s="47">
        <f>=E22/POWER(1.042,2)</f>
        <v>781.787833959116</v>
      </c>
      <c r="F24" s="47">
        <f>=F22/POWER(1.042,3)</f>
        <v>746.461047962106</v>
      </c>
      <c r="G24" s="47">
        <f>=G22/POWER(1.042,4)</f>
        <v>710.568249245931</v>
      </c>
      <c r="H24" s="47">
        <f>=H22/POWER(1.042,5)</f>
        <v>677.962166255602</v>
      </c>
      <c r="I24" s="47">
        <f>=I22/POWER(1.042,6)</f>
        <v>643.859871237223</v>
      </c>
      <c r="J24" s="47">
        <f>=J22/POWER(1.042,7)</f>
        <v>624.529638846244</v>
      </c>
      <c r="K24" s="47">
        <f>=K22/POWER(1.0425,8)</f>
        <v>591.307222771593</v>
      </c>
      <c r="L24" s="47">
        <f>=L22/POWER(1.042,9)</f>
        <v>563.921015710718</v>
      </c>
      <c r="M24" s="47">
        <f>=M22/POWER(1.042,10)</f>
        <v>535.503983187734</v>
      </c>
      <c r="N24" s="47">
        <f>=N22/POWER(1.042,10)</f>
        <v>527.989271497317</v>
      </c>
      <c r="O24" s="47">
        <f>=O22/POWER(1.042,10)</f>
        <v>2900.86159017049</v>
      </c>
    </row>
    <row r="25" spans="1:15" s="173" customFormat="true" ht="22" customHeight="true">
      <c r="A25" s="25">
        <v>11</v>
      </c>
      <c r="B25" s="31" t="s">
        <v>95</v>
      </c>
      <c r="C25" s="46" t="s"/>
      <c r="D25" s="47">
        <f>=D24</f>
        <v>-7153.09990847289</v>
      </c>
      <c r="E25" s="47">
        <f>=D25+E24</f>
        <v>-6371.31207451378</v>
      </c>
      <c r="F25" s="47">
        <f>=E25+F24</f>
        <v>-5624.85102655167</v>
      </c>
      <c r="G25" s="47">
        <f>=F25+G24</f>
        <v>-4914.28277730574</v>
      </c>
      <c r="H25" s="47">
        <f>=G25+H24</f>
        <v>-4236.32061105014</v>
      </c>
      <c r="I25" s="47">
        <f>=H25+I24</f>
        <v>-3592.46073981291</v>
      </c>
      <c r="J25" s="47">
        <f>=I25+J24</f>
        <v>-2967.93110096667</v>
      </c>
      <c r="K25" s="47">
        <f>=J25+K24</f>
        <v>-2376.62387819508</v>
      </c>
      <c r="L25" s="47">
        <f>=K25+L24</f>
        <v>-1812.70286248436</v>
      </c>
      <c r="M25" s="47">
        <f>=L25+M24</f>
        <v>-1277.19887929662</v>
      </c>
      <c r="N25" s="47">
        <f>=M25+N24</f>
        <v>-749.209607799307</v>
      </c>
      <c r="O25" s="47">
        <f>=N25+O24</f>
        <v>2151.65198237118</v>
      </c>
    </row>
    <row r="26" spans="2:2">
      <c r="B26" s="50" t="s">
        <v>96</v>
      </c>
    </row>
    <row r="27" spans="2:12">
      <c r="B27" s="51" t="s">
        <v>230</v>
      </c>
      <c r="C27" s="51" t="s"/>
      <c r="D27" s="51" t="s"/>
      <c r="E27" s="51" t="s"/>
      <c r="F27" s="52">
        <f>=IRR(D17:O17)</f>
        <v>0.093930211597538</v>
      </c>
      <c r="G27" s="51" t="s"/>
      <c r="H27" s="50" t="s">
        <v>231</v>
      </c>
      <c r="L27" s="52">
        <f>=IRR(D22:O22,4.2%)</f>
        <v>0.079830330265974</v>
      </c>
    </row>
    <row r="28" spans="2:12">
      <c r="B28" s="51" t="s">
        <v>232</v>
      </c>
      <c r="C28" s="51" t="s"/>
      <c r="D28" s="51" t="s"/>
      <c r="E28" s="51" t="s"/>
      <c r="F28" s="53">
        <f>=O20</f>
        <v>2920.2984872907</v>
      </c>
      <c r="H28" s="50" t="s">
        <v>233</v>
      </c>
      <c r="L28" s="53">
        <f>=O25</f>
        <v>2151.65198237118</v>
      </c>
    </row>
    <row r="29" spans="2:12">
      <c r="B29" s="51" t="s">
        <v>97</v>
      </c>
      <c r="C29" s="51" t="s"/>
      <c r="D29" s="51" t="s"/>
      <c r="E29" s="51" t="s"/>
      <c r="F29" s="53">
        <f>=12-1+ABS(N20)/O19</f>
        <v>11.0221160566459</v>
      </c>
      <c r="H29" s="50" t="s">
        <v>98</v>
      </c>
      <c r="L29" s="53">
        <f>=12-1+ABS(N25/O24)</f>
        <v>11.2582714081699</v>
      </c>
    </row>
    <row r="30" spans="6:6">
      <c r="F30" s="53" t="s"/>
    </row>
  </sheetData>
  <mergeCells count="5">
    <mergeCell ref="A1:M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>
  <sheetPr/>
  <dimension ref="AA13"/>
  <sheetViews>
    <sheetView showGridLines="true" zoomScale="120" zoomScaleNormal="120" workbookViewId="0"/>
  </sheetViews>
  <sheetFormatPr defaultColWidth="8.62963" defaultRowHeight="14.4"/>
  <cols>
    <col min="1" max="1" width="4.12963" style="175" customWidth="true"/>
    <col min="2" max="2" width="9.62963" style="175" customWidth="true"/>
    <col min="3" max="3" width="9.37037" style="175"/>
    <col min="4" max="4" width="7.5" style="176" customWidth="true"/>
    <col min="5" max="5" width="8.61111" style="176" customWidth="true"/>
    <col min="6" max="6" width="8.7037" style="176" customWidth="true"/>
    <col min="7" max="14" width="8.7037" style="175" customWidth="true"/>
    <col min="15" max="15" width="9.53704" style="175" customWidth="true"/>
    <col min="16" max="26" width="8.62963" style="175"/>
  </cols>
  <sheetData>
    <row r="1" spans="1:14" ht="17.4">
      <c r="A1" s="54" t="s">
        <v>99</v>
      </c>
      <c r="B1" s="54" t="s"/>
      <c r="C1" s="54" t="s"/>
      <c r="D1" s="55" t="s"/>
      <c r="E1" s="55" t="s"/>
      <c r="F1" s="55" t="s"/>
      <c r="G1" s="54" t="s"/>
      <c r="H1" s="54" t="s"/>
      <c r="I1" s="54" t="s"/>
      <c r="J1" s="54" t="s"/>
      <c r="K1" s="54" t="s"/>
      <c r="L1" s="54" t="s"/>
      <c r="M1" s="54" t="s"/>
      <c r="N1" s="54" t="s"/>
    </row>
    <row r="2" spans="14:14" ht="16.15" customHeight="true">
      <c r="N2" s="56" t="s">
        <v>48</v>
      </c>
    </row>
    <row r="3" spans="1:16">
      <c r="A3" s="57" t="s">
        <v>2</v>
      </c>
      <c r="B3" s="58" t="s"/>
      <c r="C3" s="59" t="s"/>
      <c r="D3" s="60" t="s">
        <v>83</v>
      </c>
      <c r="E3" s="8" t="s"/>
      <c r="F3" s="8" t="s"/>
      <c r="G3" s="8" t="s"/>
      <c r="H3" s="8" t="s"/>
      <c r="I3" s="8" t="s"/>
      <c r="J3" s="8" t="s"/>
      <c r="K3" s="8" t="s"/>
      <c r="L3" s="8" t="s"/>
      <c r="M3" s="8" t="s"/>
      <c r="N3" s="8" t="s"/>
      <c r="O3" s="8" t="s"/>
      <c r="P3" s="8" t="s"/>
    </row>
    <row r="4" spans="1:16" ht="19.2">
      <c r="A4" s="57" t="s"/>
      <c r="B4" s="57" t="s">
        <v>229</v>
      </c>
      <c r="C4" s="57" t="s">
        <v>49</v>
      </c>
      <c r="D4" s="61" t="s">
        <v>100</v>
      </c>
      <c r="E4" s="62">
        <v>0.5</v>
      </c>
      <c r="F4" s="61">
        <v>2</v>
      </c>
      <c r="G4" s="61">
        <v>3</v>
      </c>
      <c r="H4" s="61">
        <v>4</v>
      </c>
      <c r="I4" s="61">
        <v>5</v>
      </c>
      <c r="J4" s="61">
        <v>6</v>
      </c>
      <c r="K4" s="61">
        <v>7</v>
      </c>
      <c r="L4" s="61">
        <v>8</v>
      </c>
      <c r="M4" s="61">
        <v>9</v>
      </c>
      <c r="N4" s="61">
        <v>10</v>
      </c>
      <c r="O4" s="61">
        <v>11</v>
      </c>
      <c r="P4" s="61">
        <v>12</v>
      </c>
    </row>
    <row r="5" spans="1:16" ht="12.95" customHeight="true">
      <c r="A5" s="63">
        <v>1</v>
      </c>
      <c r="B5" s="64" t="s">
        <v>34</v>
      </c>
      <c r="C5" s="65">
        <f>=SUM(D5:N5)</f>
        <v>7000</v>
      </c>
      <c r="D5" s="66">
        <f>=7000</f>
        <v>7000</v>
      </c>
      <c r="E5" s="66" t="s"/>
      <c r="F5" s="66" t="s"/>
      <c r="G5" s="66" t="s"/>
      <c r="H5" s="66" t="s"/>
      <c r="I5" s="66" t="s"/>
      <c r="J5" s="66" t="s"/>
      <c r="K5" s="66" t="s"/>
      <c r="L5" s="66" t="s"/>
      <c r="M5" s="66" t="s"/>
      <c r="N5" s="66" t="s"/>
      <c r="O5" s="66" t="s"/>
      <c r="P5" s="66" t="s"/>
    </row>
    <row r="6" spans="1:16">
      <c r="A6" s="67">
        <v>1.1</v>
      </c>
      <c r="B6" s="64" t="s">
        <v>101</v>
      </c>
      <c r="C6" s="65" t="s"/>
      <c r="D6" s="66" t="s"/>
      <c r="E6" s="66">
        <f>=D10</f>
        <v>7000</v>
      </c>
      <c r="F6" s="66">
        <f>=E10</f>
        <v>6800</v>
      </c>
      <c r="G6" s="66">
        <f>=F10</f>
        <v>6300</v>
      </c>
      <c r="H6" s="66">
        <f>=G10</f>
        <v>5800</v>
      </c>
      <c r="I6" s="66">
        <f>=H10</f>
        <v>5250</v>
      </c>
      <c r="J6" s="66">
        <f>=I10</f>
        <v>4700</v>
      </c>
      <c r="K6" s="66">
        <f>=J10</f>
        <v>4100</v>
      </c>
      <c r="L6" s="66">
        <f>=K10</f>
        <v>3500</v>
      </c>
      <c r="M6" s="66">
        <f>=L10</f>
        <v>2850</v>
      </c>
      <c r="N6" s="66">
        <f>=M10</f>
        <v>2200</v>
      </c>
      <c r="O6" s="66">
        <f>=N10</f>
        <v>1500</v>
      </c>
      <c r="P6" s="66">
        <f>=O10</f>
        <v>800</v>
      </c>
    </row>
    <row r="7" spans="1:16" ht="12.95" customHeight="true">
      <c r="A7" s="67">
        <v>1.2</v>
      </c>
      <c r="B7" s="64" t="s">
        <v>102</v>
      </c>
      <c r="C7" s="65">
        <f>=SUM(D7:P7)</f>
        <v>9061</v>
      </c>
      <c r="D7" s="66">
        <f>=D8+D9</f>
        <v>78.75</v>
      </c>
      <c r="E7" s="66">
        <f>=E8+E9</f>
        <v>355.25</v>
      </c>
      <c r="F7" s="66">
        <f>=F8+F9</f>
        <v>794.75</v>
      </c>
      <c r="G7" s="66">
        <f>=G8+G9</f>
        <v>772.25</v>
      </c>
      <c r="H7" s="66">
        <f>=H8+H9</f>
        <v>798.625</v>
      </c>
      <c r="I7" s="66">
        <f>=I8+I9</f>
        <v>773.875</v>
      </c>
      <c r="J7" s="66">
        <f>=J8+J9</f>
        <v>798</v>
      </c>
      <c r="K7" s="66">
        <f>=K8+K9</f>
        <v>771</v>
      </c>
      <c r="L7" s="66">
        <f>=L8+L9</f>
        <v>792.875</v>
      </c>
      <c r="M7" s="66">
        <f>=M8+M9</f>
        <v>763.625</v>
      </c>
      <c r="N7" s="66">
        <f>=N8+N9</f>
        <v>783.25</v>
      </c>
      <c r="O7" s="66">
        <f>=O8+O9</f>
        <v>751.75</v>
      </c>
      <c r="P7" s="66">
        <f>=P8+P9</f>
        <v>827</v>
      </c>
    </row>
    <row r="8" spans="1:16" ht="14.1" customHeight="true">
      <c r="A8" s="67" t="s"/>
      <c r="B8" s="65" t="s">
        <v>103</v>
      </c>
      <c r="C8" s="65">
        <f>=SUM(D8:P8)</f>
        <v>7000</v>
      </c>
      <c r="D8" s="66" t="s"/>
      <c r="E8" s="66">
        <v>200</v>
      </c>
      <c r="F8" s="66">
        <v>500</v>
      </c>
      <c r="G8" s="66">
        <v>500</v>
      </c>
      <c r="H8" s="66">
        <v>550</v>
      </c>
      <c r="I8" s="66">
        <f>=550</f>
        <v>550</v>
      </c>
      <c r="J8" s="66">
        <v>600</v>
      </c>
      <c r="K8" s="66">
        <f>=600</f>
        <v>600</v>
      </c>
      <c r="L8" s="66">
        <v>650</v>
      </c>
      <c r="M8" s="66">
        <v>650</v>
      </c>
      <c r="N8" s="66">
        <f>=700</f>
        <v>700</v>
      </c>
      <c r="O8" s="66">
        <f>=700</f>
        <v>700</v>
      </c>
      <c r="P8" s="66">
        <f>=800</f>
        <v>800</v>
      </c>
    </row>
    <row r="9" spans="1:16">
      <c r="A9" s="67" t="s"/>
      <c r="B9" s="68" t="s">
        <v>104</v>
      </c>
      <c r="C9" s="65">
        <f>=SUM(D9:P9)</f>
        <v>2061</v>
      </c>
      <c r="D9" s="66">
        <f>=D5*0.045*0.25</f>
        <v>78.75</v>
      </c>
      <c r="E9" s="66">
        <f>=(E6+F6)/2*0.045*0.5</f>
        <v>155.25</v>
      </c>
      <c r="F9" s="66">
        <f>=(F6+G6)/2*0.045</f>
        <v>294.75</v>
      </c>
      <c r="G9" s="66">
        <f>=(G6+H6)/2*0.045</f>
        <v>272.25</v>
      </c>
      <c r="H9" s="66">
        <f>=(H6+I6)/2*0.045</f>
        <v>248.625</v>
      </c>
      <c r="I9" s="66">
        <f>=(I6+J6)/2*0.045</f>
        <v>223.875</v>
      </c>
      <c r="J9" s="66">
        <f>=(J6+K6)/2*0.045</f>
        <v>198</v>
      </c>
      <c r="K9" s="66">
        <f>=(K6+L6)/2*0.045</f>
        <v>171</v>
      </c>
      <c r="L9" s="66">
        <f>=(L6+M6)/2*0.045</f>
        <v>142.875</v>
      </c>
      <c r="M9" s="66">
        <f>=(M6+N6)/2*0.045</f>
        <v>113.625</v>
      </c>
      <c r="N9" s="66">
        <f>=(N6+O6)/2*0.045</f>
        <v>83.25</v>
      </c>
      <c r="O9" s="66">
        <f>=(O6+P6)/2*0.045</f>
        <v>51.75</v>
      </c>
      <c r="P9" s="66">
        <f>=(P6+P6/2)/2*0.045</f>
        <v>27</v>
      </c>
    </row>
    <row r="10" spans="1:16">
      <c r="A10" s="67">
        <v>1.3</v>
      </c>
      <c r="B10" s="64" t="s">
        <v>105</v>
      </c>
      <c r="C10" s="65">
        <f>=SUM(D10:P10)</f>
        <v>50800</v>
      </c>
      <c r="D10" s="66">
        <f>=D5</f>
        <v>7000</v>
      </c>
      <c r="E10" s="66">
        <f>=E6-E8</f>
        <v>6800</v>
      </c>
      <c r="F10" s="66">
        <f>=F6-F8</f>
        <v>6300</v>
      </c>
      <c r="G10" s="66">
        <f>=G6-G8</f>
        <v>5800</v>
      </c>
      <c r="H10" s="66">
        <f>=H6-H8</f>
        <v>5250</v>
      </c>
      <c r="I10" s="66">
        <f>=I6-I8</f>
        <v>4700</v>
      </c>
      <c r="J10" s="66">
        <f>=J6-J8</f>
        <v>4100</v>
      </c>
      <c r="K10" s="66">
        <f>=K6-K8</f>
        <v>3500</v>
      </c>
      <c r="L10" s="66">
        <f>=L6-L8</f>
        <v>2850</v>
      </c>
      <c r="M10" s="66">
        <f>=M6-M8</f>
        <v>2200</v>
      </c>
      <c r="N10" s="66">
        <f>=N6-N8</f>
        <v>1500</v>
      </c>
      <c r="O10" s="66">
        <f>=O6-O8</f>
        <v>800</v>
      </c>
      <c r="P10" s="66">
        <f>=P6-P8</f>
        <v>0</v>
      </c>
    </row>
    <row r="11" spans="1:16" ht="19.9" customHeight="true">
      <c r="A11" s="63">
        <v>4</v>
      </c>
      <c r="B11" s="65" t="s">
        <v>106</v>
      </c>
      <c r="C11" s="65">
        <f>=SUM(D11:P11)</f>
        <v>10542.9781123146</v>
      </c>
      <c r="D11" s="66" t="s"/>
      <c r="E11" s="66">
        <f>=利润及利润分配表!D26</f>
        <v>453.317949837018</v>
      </c>
      <c r="F11" s="66">
        <f>=利润及利润分配表!E26</f>
        <v>908.341020138672</v>
      </c>
      <c r="G11" s="66">
        <f>=利润及利润分配表!F26</f>
        <v>910.08586004065</v>
      </c>
      <c r="H11" s="66">
        <f>=利润及利润分配表!G26</f>
        <v>908.836117622219</v>
      </c>
      <c r="I11" s="66">
        <f>=利润及利润分配表!H26</f>
        <v>910.591771212663</v>
      </c>
      <c r="J11" s="66">
        <f>=利润及利润分配表!I26</f>
        <v>907.653169327944</v>
      </c>
      <c r="K11" s="66">
        <f>=利润及利润分配表!J26</f>
        <v>928.429091430364</v>
      </c>
      <c r="L11" s="66">
        <f>=利润及利润分配表!K26</f>
        <v>927.101544088215</v>
      </c>
      <c r="M11" s="66">
        <f>=利润及利润分配表!L26</f>
        <v>925.779306935434</v>
      </c>
      <c r="N11" s="66">
        <f>=利润及利润分配表!M26</f>
        <v>924.462358731265</v>
      </c>
      <c r="O11" s="66">
        <f>=利润及利润分配表!N26</f>
        <v>919.843178319912</v>
      </c>
      <c r="P11" s="66">
        <f>=利润及利润分配表!O26</f>
        <v>918.536744630205</v>
      </c>
    </row>
    <row r="12" spans="1:16">
      <c r="A12" s="69" t="s">
        <v>107</v>
      </c>
      <c r="B12" s="65" t="s">
        <v>108</v>
      </c>
      <c r="C12" s="64">
        <f>=C11/C9</f>
        <v>5.11546730340347</v>
      </c>
      <c r="D12" s="66" t="s"/>
      <c r="E12" s="66">
        <f>=E11/E9</f>
        <v>2.91992238220302</v>
      </c>
      <c r="F12" s="66">
        <f>=F11/F9</f>
        <v>3.08173374092849</v>
      </c>
      <c r="G12" s="66">
        <f>=G11/G9</f>
        <v>3.34283144183893</v>
      </c>
      <c r="H12" s="66">
        <f>=H11/H9</f>
        <v>3.6554494424222</v>
      </c>
      <c r="I12" s="66">
        <f>=I11/I9</f>
        <v>4.06741159670648</v>
      </c>
      <c r="J12" s="66">
        <f>=J11/J9</f>
        <v>4.5841069157977</v>
      </c>
      <c r="K12" s="66">
        <f>=K11/K9</f>
        <v>5.42940989140564</v>
      </c>
      <c r="L12" s="66">
        <f>=L11/L9</f>
        <v>6.48889969615549</v>
      </c>
      <c r="M12" s="66">
        <f>=M11/M9</f>
        <v>8.14767266829865</v>
      </c>
      <c r="N12" s="66">
        <f>=N11/N9</f>
        <v>11.1046529577329</v>
      </c>
      <c r="O12" s="66">
        <f>=O11/O9</f>
        <v>17.7747474071481</v>
      </c>
      <c r="P12" s="66">
        <f>=P11/P9</f>
        <v>34.0198794307483</v>
      </c>
    </row>
    <row r="13" spans="1:16">
      <c r="A13" s="69" t="s"/>
      <c r="B13" s="65" t="s">
        <v>109</v>
      </c>
      <c r="C13" s="64">
        <f>=C11/C7</f>
        <v>1.1635556905766</v>
      </c>
      <c r="D13" s="66" t="s"/>
      <c r="E13" s="66">
        <f>=E11/E7</f>
        <v>1.27605334225762</v>
      </c>
      <c r="F13" s="66">
        <f>=F11/F7</f>
        <v>1.14292673185111</v>
      </c>
      <c r="G13" s="66">
        <f>=G11/G7</f>
        <v>1.1784860602663</v>
      </c>
      <c r="H13" s="66">
        <f>=H11/H7</f>
        <v>1.13800108639502</v>
      </c>
      <c r="I13" s="66">
        <f>=I11/I7</f>
        <v>1.17666518651289</v>
      </c>
      <c r="J13" s="66">
        <f>=J11/J7</f>
        <v>1.1374099866265</v>
      </c>
      <c r="K13" s="66">
        <f>=K11/K7</f>
        <v>1.2041881860316</v>
      </c>
      <c r="L13" s="66">
        <f>=L11/L7</f>
        <v>1.16929092743272</v>
      </c>
      <c r="M13" s="66">
        <f>=M11/M7</f>
        <v>1.21234808569053</v>
      </c>
      <c r="N13" s="66">
        <f>=N11/N7</f>
        <v>1.18029027606928</v>
      </c>
      <c r="O13" s="66">
        <f>=O11/O7</f>
        <v>1.22360249859649</v>
      </c>
      <c r="P13" s="66">
        <f>=P11/P7</f>
        <v>1.11068530185031</v>
      </c>
    </row>
  </sheetData>
  <mergeCells count="4">
    <mergeCell ref="A1:N1"/>
    <mergeCell ref="D3:P3"/>
    <mergeCell ref="A3:A4"/>
    <mergeCell ref="A12:A1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>
  <sheetPr/>
  <dimension ref="S32"/>
  <sheetViews>
    <sheetView showGridLines="true" topLeftCell="A3" workbookViewId="0"/>
  </sheetViews>
  <sheetFormatPr defaultColWidth="8.88889" defaultRowHeight="14.4"/>
  <cols>
    <col min="1" max="1" width="7.22222" customWidth="true"/>
    <col min="2" max="2" width="17.6667" customWidth="true"/>
    <col min="3" max="13" width="10.5556" customWidth="true"/>
  </cols>
  <sheetData>
    <row r="1" spans="1:13" ht="26" customHeight="true">
      <c r="A1" s="4" t="s">
        <v>1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</row>
    <row r="2" spans="1:19" ht="15.9" customHeight="true">
      <c r="A2" s="5" t="s">
        <v>2</v>
      </c>
      <c r="B2" s="6" t="s">
        <v>3</v>
      </c>
      <c r="C2" s="7" t="s">
        <v>4</v>
      </c>
      <c r="D2" s="8" t="s"/>
      <c r="E2" s="8" t="s"/>
      <c r="F2" s="8" t="s"/>
      <c r="G2" s="8" t="s"/>
      <c r="H2" s="8" t="s"/>
      <c r="I2" s="8" t="s"/>
      <c r="J2" s="8" t="s"/>
      <c r="K2" s="8" t="s"/>
      <c r="L2" s="8" t="s"/>
      <c r="M2" s="8" t="s"/>
      <c r="N2" s="8" t="s"/>
      <c r="O2" s="9" t="s"/>
      <c r="P2" s="9" t="s"/>
      <c r="Q2" s="9" t="s"/>
      <c r="R2" s="9" t="s"/>
      <c r="S2" s="9" t="s"/>
    </row>
    <row r="3" spans="1:19">
      <c r="A3" s="5" t="s"/>
      <c r="B3" s="6" t="s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1" t="s"/>
      <c r="P3" s="11" t="s"/>
      <c r="Q3" s="11" t="s"/>
      <c r="R3" s="11" t="s"/>
      <c r="S3" s="11" t="s"/>
    </row>
    <row r="4" spans="1:19">
      <c r="A4" s="5">
        <v>1</v>
      </c>
      <c r="B4" s="12" t="s">
        <v>5</v>
      </c>
      <c r="C4" s="13">
        <f>=C5-C9</f>
        <v>1207.74383413183</v>
      </c>
      <c r="D4" s="13">
        <f>=D5-D9</f>
        <v>848.837085750785</v>
      </c>
      <c r="E4" s="13">
        <f>=E5-E9</f>
        <v>844.520715677268</v>
      </c>
      <c r="F4" s="13">
        <f>=F5-F9</f>
        <v>837.677158863445</v>
      </c>
      <c r="G4" s="13">
        <f>=G5-G9</f>
        <v>832.806399056278</v>
      </c>
      <c r="H4" s="13">
        <f>=H5-H9</f>
        <v>824.133697642739</v>
      </c>
      <c r="I4" s="13">
        <f>=I5-I9</f>
        <v>832.965639219554</v>
      </c>
      <c r="J4" s="13">
        <f>=J5-J9</f>
        <v>824.938728712942</v>
      </c>
      <c r="K4" s="13">
        <f>=K5-K9</f>
        <v>816.634550848357</v>
      </c>
      <c r="L4" s="13">
        <f>=L5-L9</f>
        <v>808.05308969523</v>
      </c>
      <c r="M4" s="13">
        <f>=M5-M9</f>
        <v>796.713704386715</v>
      </c>
      <c r="N4" s="13">
        <f>=N5-N9</f>
        <v>789.546379119435</v>
      </c>
      <c r="O4" s="11" t="s"/>
      <c r="P4" s="11" t="s"/>
      <c r="Q4" s="11" t="s"/>
      <c r="R4" s="11" t="s"/>
      <c r="S4" s="11" t="s"/>
    </row>
    <row r="5" spans="1:19">
      <c r="A5" s="5">
        <v>1.1</v>
      </c>
      <c r="B5" s="12" t="s">
        <v>6</v>
      </c>
      <c r="C5" s="13">
        <f>=SUM(C6:C8)</f>
        <v>1397.44100319628</v>
      </c>
      <c r="D5" s="13">
        <f>=SUM(D6:D8)</f>
        <v>1232.77923519708</v>
      </c>
      <c r="E5" s="13">
        <f>=SUM(E6:E8)</f>
        <v>1234.67487025629</v>
      </c>
      <c r="F5" s="13">
        <f>=SUM(F6:F8)</f>
        <v>1236.57696277526</v>
      </c>
      <c r="G5" s="13">
        <f>=SUM(G6:G8)</f>
        <v>1238.48548692416</v>
      </c>
      <c r="H5" s="13">
        <f>=SUM(H6:H8)</f>
        <v>1238.64541697646</v>
      </c>
      <c r="I5" s="13">
        <f>=SUM(I6:I8)</f>
        <v>1263.40872730856</v>
      </c>
      <c r="J5" s="13">
        <f>=SUM(J6:J8)</f>
        <v>1261.82639239932</v>
      </c>
      <c r="K5" s="13">
        <f>=SUM(K6:K8)</f>
        <v>1260.25038682973</v>
      </c>
      <c r="L5" s="13">
        <f>=SUM(L6:L8)</f>
        <v>1258.68068528241</v>
      </c>
      <c r="M5" s="13">
        <f>=SUM(M6:M8)</f>
        <v>1257.11726254128</v>
      </c>
      <c r="N5" s="13">
        <f>=SUM(N6:N8)</f>
        <v>1255.56009349111</v>
      </c>
      <c r="O5" s="11" t="s"/>
      <c r="P5" s="11" t="s"/>
      <c r="Q5" s="11" t="s"/>
      <c r="R5" s="11" t="s"/>
      <c r="S5" s="11" t="s"/>
    </row>
    <row r="6" spans="1:19">
      <c r="A6" s="5" t="s">
        <v>7</v>
      </c>
      <c r="B6" s="12" t="s">
        <v>8</v>
      </c>
      <c r="C6" s="13">
        <f>=营业收入及税金表!D5</f>
        <v>615.4450417656</v>
      </c>
      <c r="D6" s="13">
        <f>=营业收入及税金表!E5</f>
        <v>1232.77923519708</v>
      </c>
      <c r="E6" s="13">
        <f>=营业收入及税金表!F5</f>
        <v>1234.67487025629</v>
      </c>
      <c r="F6" s="13">
        <f>=营业收入及税金表!G5</f>
        <v>1236.57696277526</v>
      </c>
      <c r="G6" s="13">
        <f>=营业收入及税金表!H5</f>
        <v>1238.48548692416</v>
      </c>
      <c r="H6" s="13">
        <f>=营业收入及税金表!I5</f>
        <v>1238.64541697646</v>
      </c>
      <c r="I6" s="13">
        <f>=营业收入及税金表!J5</f>
        <v>1263.40872730856</v>
      </c>
      <c r="J6" s="13">
        <f>=营业收入及税金表!K5</f>
        <v>1261.82639239932</v>
      </c>
      <c r="K6" s="13">
        <f>=营业收入及税金表!L5</f>
        <v>1260.25038682973</v>
      </c>
      <c r="L6" s="13">
        <f>=营业收入及税金表!M5</f>
        <v>1258.68068528241</v>
      </c>
      <c r="M6" s="13">
        <f>=营业收入及税金表!N5</f>
        <v>1257.11726254128</v>
      </c>
      <c r="N6" s="13">
        <f>=营业收入及税金表!O5</f>
        <v>1255.56009349111</v>
      </c>
      <c r="O6" s="11" t="s"/>
      <c r="P6" s="11" t="s"/>
      <c r="Q6" s="11" t="s"/>
      <c r="R6" s="11" t="s"/>
      <c r="S6" s="11" t="s"/>
    </row>
    <row r="7" spans="1:19">
      <c r="A7" s="5" t="s">
        <v>9</v>
      </c>
      <c r="B7" s="12" t="s">
        <v>10</v>
      </c>
      <c r="C7" s="13">
        <f>=项目投资现金流量表!D7</f>
        <v>781.995961430681</v>
      </c>
      <c r="D7" s="13" t="s"/>
      <c r="E7" s="13" t="s"/>
      <c r="F7" s="13" t="s"/>
      <c r="G7" s="13" t="s"/>
      <c r="H7" s="13" t="s"/>
      <c r="I7" s="13" t="s"/>
      <c r="J7" s="13" t="s"/>
      <c r="K7" s="13" t="s"/>
      <c r="L7" s="13" t="s"/>
      <c r="M7" s="13" t="s"/>
      <c r="N7" s="13" t="s"/>
      <c r="O7" s="11" t="s"/>
      <c r="P7" s="11" t="s"/>
      <c r="Q7" s="11" t="s"/>
      <c r="R7" s="11" t="s"/>
      <c r="S7" s="11" t="s"/>
    </row>
    <row r="8" spans="1:19">
      <c r="A8" s="5" t="s">
        <v>11</v>
      </c>
      <c r="B8" s="12" t="s">
        <v>12</v>
      </c>
      <c r="C8" s="13" t="s"/>
      <c r="D8" s="13" t="s"/>
      <c r="E8" s="13" t="s"/>
      <c r="F8" s="13" t="s"/>
      <c r="G8" s="13" t="s"/>
      <c r="H8" s="13" t="s"/>
      <c r="I8" s="13" t="s"/>
      <c r="J8" s="13" t="s"/>
      <c r="K8" s="13" t="s"/>
      <c r="L8" s="13" t="s"/>
      <c r="M8" s="13" t="s"/>
      <c r="N8" s="13" t="s"/>
      <c r="O8" s="11" t="s"/>
      <c r="P8" s="11" t="s"/>
      <c r="Q8" s="11" t="s"/>
      <c r="R8" s="11" t="s"/>
      <c r="S8" s="11" t="s"/>
    </row>
    <row r="9" spans="1:19">
      <c r="A9" s="5">
        <v>1.2</v>
      </c>
      <c r="B9" s="12" t="s">
        <v>13</v>
      </c>
      <c r="C9" s="13">
        <f>=SUM(C10:C13)</f>
        <v>189.697169064446</v>
      </c>
      <c r="D9" s="13">
        <f>=SUM(D10:D13)</f>
        <v>383.94214944629</v>
      </c>
      <c r="E9" s="13">
        <f>=SUM(E10:E13)</f>
        <v>390.154154579019</v>
      </c>
      <c r="F9" s="13">
        <f>=SUM(F10:F13)</f>
        <v>398.899803911816</v>
      </c>
      <c r="G9" s="13">
        <f>=SUM(G10:G13)</f>
        <v>405.679087867883</v>
      </c>
      <c r="H9" s="13">
        <f>=SUM(H10:H13)</f>
        <v>414.511719333725</v>
      </c>
      <c r="I9" s="13">
        <f>=SUM(I10:I13)</f>
        <v>430.443088089004</v>
      </c>
      <c r="J9" s="13">
        <f>=SUM(J10:J13)</f>
        <v>436.887663686382</v>
      </c>
      <c r="K9" s="13">
        <f>=SUM(K10:K13)</f>
        <v>443.61583598137</v>
      </c>
      <c r="L9" s="13">
        <f>=SUM(L10:L13)</f>
        <v>450.627595587178</v>
      </c>
      <c r="M9" s="13">
        <f>=SUM(M10:M13)</f>
        <v>460.403558154564</v>
      </c>
      <c r="N9" s="13">
        <f>=SUM(N10:N13)</f>
        <v>466.013714371679</v>
      </c>
      <c r="O9" s="11" t="s"/>
      <c r="P9" s="11" t="s"/>
      <c r="Q9" s="11" t="s"/>
      <c r="R9" s="11" t="s"/>
      <c r="S9" s="11" t="s"/>
    </row>
    <row r="10" spans="1:19">
      <c r="A10" s="5" t="s">
        <v>14</v>
      </c>
      <c r="B10" s="12" t="s">
        <v>15</v>
      </c>
      <c r="C10" s="13">
        <f>=总成本费用表!D9</f>
        <v>78.791912138797</v>
      </c>
      <c r="D10" s="13">
        <f>=总成本费用表!E9</f>
        <v>157.661607310911</v>
      </c>
      <c r="E10" s="13">
        <f>=总成本费用表!F9</f>
        <v>157.699520012096</v>
      </c>
      <c r="F10" s="13">
        <f>=总成本费用表!G9</f>
        <v>160.737561862475</v>
      </c>
      <c r="G10" s="13">
        <f>=总成本费用表!H9</f>
        <v>160.775732345453</v>
      </c>
      <c r="H10" s="13">
        <f>=总成本费用表!I9</f>
        <v>163.928930946499</v>
      </c>
      <c r="I10" s="13">
        <f>=总成本费用表!J9</f>
        <v>164.424197153141</v>
      </c>
      <c r="J10" s="13">
        <f>=总成本费用表!K9</f>
        <v>164.392550454956</v>
      </c>
      <c r="K10" s="13">
        <f>=总成本费用表!L9</f>
        <v>164.361030343565</v>
      </c>
      <c r="L10" s="13">
        <f>=总成本费用表!M9</f>
        <v>164.329636312618</v>
      </c>
      <c r="M10" s="13">
        <f>=总成本费用表!N9</f>
        <v>167.605867857796</v>
      </c>
      <c r="N10" s="13">
        <f>=总成本费用表!O9</f>
        <v>167.574724476792</v>
      </c>
      <c r="O10" s="11" t="s"/>
      <c r="P10" s="11" t="s"/>
      <c r="Q10" s="11" t="s"/>
      <c r="R10" s="11" t="s"/>
      <c r="S10" s="11" t="s"/>
    </row>
    <row r="11" spans="1:19">
      <c r="A11" s="5" t="s">
        <v>16</v>
      </c>
      <c r="B11" s="12" t="s">
        <v>17</v>
      </c>
      <c r="C11" s="13">
        <f>=利润及利润分配表!D6+利润及利润分配表!D7</f>
        <v>83.3351797897849</v>
      </c>
      <c r="D11" s="13">
        <f>=利润及利润分配表!E6+利润及利润分配表!E7</f>
        <v>166.776607747492</v>
      </c>
      <c r="E11" s="13">
        <f>=利润及利润分配表!F6+利润及利润分配表!F7</f>
        <v>166.889490203542</v>
      </c>
      <c r="F11" s="13">
        <f>=利润及利润分配表!G6+利润及利润分配表!G7</f>
        <v>167.003283290567</v>
      </c>
      <c r="G11" s="13">
        <f>=利润及利润分配表!H6+利润及利润分配表!H7</f>
        <v>167.117983366045</v>
      </c>
      <c r="H11" s="13">
        <f>=利润及利润分配表!I6+利润及利润分配表!I7</f>
        <v>167.063316702021</v>
      </c>
      <c r="I11" s="13">
        <f>=利润及利润分配表!J6+利润及利润分配表!J7</f>
        <v>170.555438725053</v>
      </c>
      <c r="J11" s="13">
        <f>=利润及利润分配表!K6+利润及利润分配表!K7</f>
        <v>170.332297856153</v>
      </c>
      <c r="K11" s="13">
        <f>=利润及利润分配表!L6+利润及利润分配表!L7</f>
        <v>170.110049550728</v>
      </c>
      <c r="L11" s="13">
        <f>=利润及利润分配表!M6+利润及利润分配表!M7</f>
        <v>169.888690238525</v>
      </c>
      <c r="M11" s="13">
        <f>=利润及利润分配表!N6+利润及利润分配表!N7</f>
        <v>169.668216363571</v>
      </c>
      <c r="N11" s="13">
        <f>=利润及利润分配表!O6+利润及利润分配表!O7</f>
        <v>169.448624384117</v>
      </c>
      <c r="O11" s="11" t="s"/>
      <c r="P11" s="11" t="s"/>
      <c r="Q11" s="11" t="s"/>
      <c r="R11" s="11" t="s"/>
      <c r="S11" s="11" t="s"/>
    </row>
    <row r="12" spans="1:19">
      <c r="A12" s="5" t="s">
        <v>18</v>
      </c>
      <c r="B12" s="12" t="s">
        <v>19</v>
      </c>
      <c r="C12" s="13">
        <f>=利润及利润分配表!D13</f>
        <v>27.570077135864</v>
      </c>
      <c r="D12" s="13">
        <f>=利润及利润分配表!E13</f>
        <v>59.503934387887</v>
      </c>
      <c r="E12" s="13">
        <f>=利润及利润分配表!F13</f>
        <v>65.5651443633815</v>
      </c>
      <c r="F12" s="13">
        <f>=利润及利润分配表!G13</f>
        <v>71.1589587587738</v>
      </c>
      <c r="G12" s="13">
        <f>=利润及利润分配表!H13</f>
        <v>77.7853721563846</v>
      </c>
      <c r="H12" s="13">
        <f>=利润及利润分配表!I13</f>
        <v>83.519471685205</v>
      </c>
      <c r="I12" s="13">
        <f>=利润及利润分配表!J13</f>
        <v>95.4634522108101</v>
      </c>
      <c r="J12" s="13">
        <f>=利润及利润分配表!K13</f>
        <v>102.162815375273</v>
      </c>
      <c r="K12" s="13">
        <f>=利润及利润分配表!L13</f>
        <v>109.144756087078</v>
      </c>
      <c r="L12" s="13">
        <f>=利润及利润分配表!M13</f>
        <v>116.409269036035</v>
      </c>
      <c r="M12" s="13">
        <f>=利润及利润分配表!N13</f>
        <v>123.129473933197</v>
      </c>
      <c r="N12" s="13">
        <f>=利润及利润分配表!O13</f>
        <v>128.99036551077</v>
      </c>
      <c r="O12" s="11" t="s"/>
      <c r="P12" s="11" t="s"/>
      <c r="Q12" s="11" t="s"/>
      <c r="R12" s="11" t="s"/>
      <c r="S12" s="11" t="s"/>
    </row>
    <row r="13" spans="1:19">
      <c r="A13" s="5" t="s">
        <v>20</v>
      </c>
      <c r="B13" s="12" t="s">
        <v>21</v>
      </c>
      <c r="C13" s="13" t="s"/>
      <c r="D13" s="13" t="s"/>
      <c r="E13" s="13" t="s"/>
      <c r="F13" s="13" t="s"/>
      <c r="G13" s="13" t="s"/>
      <c r="H13" s="13" t="s"/>
      <c r="I13" s="13" t="s"/>
      <c r="J13" s="13" t="s"/>
      <c r="K13" s="13" t="s"/>
      <c r="L13" s="13" t="s"/>
      <c r="M13" s="13" t="s"/>
      <c r="N13" s="13" t="s"/>
      <c r="O13" s="11" t="s"/>
      <c r="P13" s="11" t="s"/>
      <c r="Q13" s="11" t="s"/>
      <c r="R13" s="11" t="s"/>
      <c r="S13" s="11" t="s"/>
    </row>
    <row r="14" spans="1:19">
      <c r="A14" s="5">
        <v>2</v>
      </c>
      <c r="B14" s="12" t="s">
        <v>22</v>
      </c>
      <c r="C14" s="13">
        <f>=C15-C16</f>
        <v>-8767.59401589645</v>
      </c>
      <c r="D14" s="13" t="s"/>
      <c r="E14" s="13" t="s"/>
      <c r="F14" s="13" t="s"/>
      <c r="G14" s="13" t="s"/>
      <c r="H14" s="13" t="s"/>
      <c r="I14" s="13" t="s"/>
      <c r="J14" s="13" t="s"/>
      <c r="K14" s="13" t="s"/>
      <c r="L14" s="13" t="s"/>
      <c r="M14" s="13" t="s"/>
      <c r="N14" s="13" t="s"/>
      <c r="O14" s="11" t="s"/>
      <c r="P14" s="11" t="s"/>
      <c r="Q14" s="11" t="s"/>
      <c r="R14" s="11" t="s"/>
      <c r="S14" s="11" t="s"/>
    </row>
    <row r="15" spans="1:19">
      <c r="A15" s="5">
        <v>2.1</v>
      </c>
      <c r="B15" s="12" t="s">
        <v>6</v>
      </c>
      <c r="C15" s="13">
        <v>0</v>
      </c>
      <c r="D15" s="13" t="s"/>
      <c r="E15" s="13" t="s"/>
      <c r="F15" s="13" t="s"/>
      <c r="G15" s="13" t="s"/>
      <c r="H15" s="13" t="s"/>
      <c r="I15" s="13" t="s"/>
      <c r="J15" s="13" t="s"/>
      <c r="K15" s="13" t="s"/>
      <c r="L15" s="13" t="s"/>
      <c r="M15" s="13" t="s"/>
      <c r="N15" s="13" t="s"/>
      <c r="O15" s="11" t="s"/>
      <c r="P15" s="11" t="s"/>
      <c r="Q15" s="11" t="s"/>
      <c r="R15" s="11" t="s"/>
      <c r="S15" s="11" t="s"/>
    </row>
    <row r="16" spans="1:19">
      <c r="A16" s="5">
        <v>2.2</v>
      </c>
      <c r="B16" s="12" t="s">
        <v>13</v>
      </c>
      <c r="C16" s="13">
        <f>=SUM(C17:C20)</f>
        <v>8767.59401589645</v>
      </c>
      <c r="D16" s="13" t="s"/>
      <c r="E16" s="13" t="s"/>
      <c r="F16" s="13" t="s"/>
      <c r="G16" s="13" t="s"/>
      <c r="H16" s="13" t="s"/>
      <c r="I16" s="13" t="s"/>
      <c r="J16" s="13" t="s"/>
      <c r="K16" s="13" t="s"/>
      <c r="L16" s="13" t="s"/>
      <c r="M16" s="13" t="s"/>
      <c r="N16" s="13" t="s"/>
      <c r="O16" s="11" t="s"/>
      <c r="P16" s="11" t="s"/>
      <c r="Q16" s="11" t="s"/>
      <c r="R16" s="11" t="s"/>
      <c r="S16" s="11" t="s"/>
    </row>
    <row r="17" spans="1:19">
      <c r="A17" s="5" t="s">
        <v>23</v>
      </c>
      <c r="B17" s="12" t="s">
        <v>24</v>
      </c>
      <c r="C17" s="13">
        <f>=总投资!G57</f>
        <v>8767.59401589645</v>
      </c>
      <c r="D17" s="13" t="s"/>
      <c r="E17" s="13" t="s"/>
      <c r="F17" s="13" t="s"/>
      <c r="G17" s="13" t="s"/>
      <c r="H17" s="13" t="s"/>
      <c r="I17" s="13" t="s"/>
      <c r="J17" s="13" t="s"/>
      <c r="K17" s="13" t="s"/>
      <c r="L17" s="13" t="s"/>
      <c r="M17" s="13" t="s"/>
      <c r="N17" s="13" t="s"/>
      <c r="O17" s="11" t="s"/>
      <c r="P17" s="11" t="s"/>
      <c r="Q17" s="11" t="s"/>
      <c r="R17" s="11" t="s"/>
      <c r="S17" s="11" t="s"/>
    </row>
    <row r="18" spans="1:19">
      <c r="A18" s="5" t="s">
        <v>25</v>
      </c>
      <c r="B18" s="12" t="s">
        <v>26</v>
      </c>
      <c r="C18" s="13" t="s"/>
      <c r="D18" s="13" t="s"/>
      <c r="E18" s="13" t="s"/>
      <c r="F18" s="13" t="s"/>
      <c r="G18" s="13" t="s"/>
      <c r="H18" s="13" t="s"/>
      <c r="I18" s="13" t="s"/>
      <c r="J18" s="13" t="s"/>
      <c r="K18" s="13" t="s"/>
      <c r="L18" s="13" t="s"/>
      <c r="M18" s="13" t="s"/>
      <c r="N18" s="13" t="s"/>
      <c r="O18" s="11" t="s"/>
      <c r="P18" s="11" t="s"/>
      <c r="Q18" s="11" t="s"/>
      <c r="R18" s="11" t="s"/>
      <c r="S18" s="11" t="s"/>
    </row>
    <row r="19" spans="1:19">
      <c r="A19" s="5" t="s">
        <v>27</v>
      </c>
      <c r="B19" s="12" t="s">
        <v>28</v>
      </c>
      <c r="C19" s="13" t="s"/>
      <c r="D19" s="13" t="s"/>
      <c r="E19" s="13" t="s"/>
      <c r="F19" s="13" t="s"/>
      <c r="G19" s="13" t="s"/>
      <c r="H19" s="13" t="s"/>
      <c r="I19" s="13" t="s"/>
      <c r="J19" s="13" t="s"/>
      <c r="K19" s="13" t="s"/>
      <c r="L19" s="13" t="s"/>
      <c r="M19" s="13" t="s"/>
      <c r="N19" s="13" t="s"/>
      <c r="O19" s="11" t="s"/>
      <c r="P19" s="11" t="s"/>
      <c r="Q19" s="11" t="s"/>
      <c r="R19" s="11" t="s"/>
      <c r="S19" s="11" t="s"/>
    </row>
    <row r="20" spans="1:19">
      <c r="A20" s="5" t="s">
        <v>29</v>
      </c>
      <c r="B20" s="12" t="s">
        <v>21</v>
      </c>
      <c r="C20" s="13" t="s"/>
      <c r="D20" s="13" t="s"/>
      <c r="E20" s="13" t="s"/>
      <c r="F20" s="13" t="s"/>
      <c r="G20" s="13" t="s"/>
      <c r="H20" s="13" t="s"/>
      <c r="I20" s="13" t="s"/>
      <c r="J20" s="13" t="s"/>
      <c r="K20" s="13" t="s"/>
      <c r="L20" s="13" t="s"/>
      <c r="M20" s="13" t="s"/>
      <c r="N20" s="13" t="s"/>
      <c r="O20" s="11" t="s"/>
      <c r="P20" s="11" t="s"/>
      <c r="Q20" s="11" t="s"/>
      <c r="R20" s="11" t="s"/>
      <c r="S20" s="11" t="s"/>
    </row>
    <row r="21" spans="1:19">
      <c r="A21" s="5">
        <v>3</v>
      </c>
      <c r="B21" s="12" t="s">
        <v>30</v>
      </c>
      <c r="C21" s="13">
        <f>=C22-C26</f>
        <v>12369.61</v>
      </c>
      <c r="D21" s="13">
        <f>=D22-D26</f>
        <v>-655.25</v>
      </c>
      <c r="E21" s="13">
        <f>=E22-E26</f>
        <v>-794.75</v>
      </c>
      <c r="F21" s="13">
        <f>=F22-F26</f>
        <v>-822.25</v>
      </c>
      <c r="G21" s="13">
        <f>=G22-G26</f>
        <v>-798.625</v>
      </c>
      <c r="H21" s="13">
        <f>=H22-H26</f>
        <v>-823.875</v>
      </c>
      <c r="I21" s="13">
        <f>=I22-I26</f>
        <v>-798</v>
      </c>
      <c r="J21" s="13">
        <f>=J22-J26</f>
        <v>-821</v>
      </c>
      <c r="K21" s="13">
        <f>=K22-K26</f>
        <v>-792.875</v>
      </c>
      <c r="L21" s="13">
        <f>=L22-L26</f>
        <v>-813.625</v>
      </c>
      <c r="M21" s="13">
        <f>=M22-M26</f>
        <v>-783.25</v>
      </c>
      <c r="N21" s="13">
        <f>=N22-N26</f>
        <v>-851.75</v>
      </c>
      <c r="O21" s="14" t="s"/>
      <c r="P21" s="14" t="s"/>
      <c r="Q21" s="14" t="s"/>
      <c r="R21" s="14" t="s"/>
      <c r="S21" s="14" t="s"/>
    </row>
    <row r="22" spans="1:19">
      <c r="A22" s="5">
        <v>3.1</v>
      </c>
      <c r="B22" s="12" t="s">
        <v>6</v>
      </c>
      <c r="C22" s="13">
        <f>=SUM(C23:C25)</f>
        <v>12648.36</v>
      </c>
      <c r="D22" s="13" t="s"/>
      <c r="E22" s="13" t="s"/>
      <c r="F22" s="13" t="s"/>
      <c r="G22" s="13" t="s"/>
      <c r="H22" s="13" t="s"/>
      <c r="I22" s="13" t="s"/>
      <c r="J22" s="13" t="s"/>
      <c r="K22" s="13" t="s"/>
      <c r="L22" s="13" t="s"/>
      <c r="M22" s="13" t="s"/>
      <c r="N22" s="13" t="s"/>
      <c r="O22" s="11" t="s"/>
      <c r="P22" s="11" t="s"/>
      <c r="Q22" s="11" t="s"/>
      <c r="R22" s="11" t="s"/>
      <c r="S22" s="11" t="s"/>
    </row>
    <row r="23" spans="1:19">
      <c r="A23" s="5" t="s">
        <v>31</v>
      </c>
      <c r="B23" s="12" t="s">
        <v>32</v>
      </c>
      <c r="C23" s="13">
        <v>2648.36</v>
      </c>
      <c r="D23" s="13" t="s"/>
      <c r="E23" s="13" t="s"/>
      <c r="F23" s="13" t="s"/>
      <c r="G23" s="13" t="s"/>
      <c r="H23" s="13" t="s"/>
      <c r="I23" s="13" t="s"/>
      <c r="J23" s="13" t="s"/>
      <c r="K23" s="13" t="s"/>
      <c r="L23" s="13" t="s"/>
      <c r="M23" s="13" t="s"/>
      <c r="N23" s="13" t="s"/>
      <c r="O23" s="11" t="s"/>
      <c r="P23" s="11" t="s"/>
      <c r="Q23" s="11" t="s"/>
      <c r="R23" s="11" t="s"/>
      <c r="S23" s="11" t="s"/>
    </row>
    <row r="24" spans="1:19">
      <c r="A24" s="5" t="s">
        <v>33</v>
      </c>
      <c r="B24" s="12" t="s">
        <v>34</v>
      </c>
      <c r="C24" s="13">
        <v>10000</v>
      </c>
      <c r="D24" s="13" t="s"/>
      <c r="E24" s="13" t="s"/>
      <c r="F24" s="13" t="s"/>
      <c r="G24" s="13" t="s"/>
      <c r="H24" s="13" t="s"/>
      <c r="I24" s="13" t="s"/>
      <c r="J24" s="13" t="s"/>
      <c r="K24" s="13" t="s"/>
      <c r="L24" s="13" t="s"/>
      <c r="M24" s="13" t="s"/>
      <c r="N24" s="13" t="s"/>
      <c r="O24" s="11" t="s"/>
      <c r="P24" s="11" t="s"/>
      <c r="Q24" s="11" t="s"/>
      <c r="R24" s="11" t="s"/>
      <c r="S24" s="11" t="s"/>
    </row>
    <row r="25" spans="1:19">
      <c r="A25" s="5" t="s">
        <v>35</v>
      </c>
      <c r="B25" s="12" t="s">
        <v>12</v>
      </c>
      <c r="C25" s="13" t="s"/>
      <c r="D25" s="13" t="s"/>
      <c r="E25" s="13" t="s"/>
      <c r="F25" s="13" t="s"/>
      <c r="G25" s="13" t="s"/>
      <c r="H25" s="13" t="s"/>
      <c r="I25" s="13" t="s"/>
      <c r="J25" s="13" t="s"/>
      <c r="K25" s="13" t="s"/>
      <c r="L25" s="13" t="s"/>
      <c r="M25" s="13" t="s"/>
      <c r="N25" s="13" t="s"/>
      <c r="O25" s="11" t="s"/>
      <c r="P25" s="11" t="s"/>
      <c r="Q25" s="11" t="s"/>
      <c r="R25" s="11" t="s"/>
      <c r="S25" s="11" t="s"/>
    </row>
    <row r="26" spans="1:19">
      <c r="A26" s="5">
        <v>3.2</v>
      </c>
      <c r="B26" s="12" t="s">
        <v>13</v>
      </c>
      <c r="C26" s="13">
        <f>=SUM(C27:C30)</f>
        <v>278.75</v>
      </c>
      <c r="D26" s="13">
        <f>=SUM(D27:D30)</f>
        <v>655.25</v>
      </c>
      <c r="E26" s="13">
        <f>=SUM(E27:E30)</f>
        <v>794.75</v>
      </c>
      <c r="F26" s="13">
        <f>=SUM(F27:F30)</f>
        <v>822.25</v>
      </c>
      <c r="G26" s="13">
        <f>=SUM(G27:G30)</f>
        <v>798.625</v>
      </c>
      <c r="H26" s="13">
        <f>=SUM(H27:H30)</f>
        <v>823.875</v>
      </c>
      <c r="I26" s="13">
        <f>=SUM(I27:I30)</f>
        <v>798</v>
      </c>
      <c r="J26" s="13">
        <f>=SUM(J27:J30)</f>
        <v>821</v>
      </c>
      <c r="K26" s="13">
        <f>=SUM(K27:K30)</f>
        <v>792.875</v>
      </c>
      <c r="L26" s="13">
        <f>=SUM(L27:L30)</f>
        <v>813.625</v>
      </c>
      <c r="M26" s="13">
        <f>=SUM(M27:M30)</f>
        <v>783.25</v>
      </c>
      <c r="N26" s="13">
        <f>=SUM(N27:N30)</f>
        <v>851.75</v>
      </c>
      <c r="O26" s="11" t="s"/>
      <c r="P26" s="11" t="s"/>
      <c r="Q26" s="11" t="s"/>
      <c r="R26" s="11" t="s"/>
      <c r="S26" s="11" t="s"/>
    </row>
    <row r="27" spans="1:19">
      <c r="A27" s="5" t="s">
        <v>36</v>
      </c>
      <c r="B27" s="12" t="s">
        <v>37</v>
      </c>
      <c r="C27" s="13">
        <f>=还本付息表!D9</f>
        <v>78.75</v>
      </c>
      <c r="D27" s="13">
        <f>=还本付息表!E9</f>
        <v>155.25</v>
      </c>
      <c r="E27" s="13">
        <f>=还本付息表!F9</f>
        <v>294.75</v>
      </c>
      <c r="F27" s="13">
        <f>=还本付息表!G9</f>
        <v>272.25</v>
      </c>
      <c r="G27" s="13">
        <f>=还本付息表!H9</f>
        <v>248.625</v>
      </c>
      <c r="H27" s="13">
        <f>=还本付息表!I9</f>
        <v>223.875</v>
      </c>
      <c r="I27" s="13">
        <f>=还本付息表!J9</f>
        <v>198</v>
      </c>
      <c r="J27" s="13">
        <f>=还本付息表!K9</f>
        <v>171</v>
      </c>
      <c r="K27" s="13">
        <f>=还本付息表!L9</f>
        <v>142.875</v>
      </c>
      <c r="L27" s="13">
        <f>=还本付息表!M9</f>
        <v>113.625</v>
      </c>
      <c r="M27" s="13">
        <f>=还本付息表!N9</f>
        <v>83.25</v>
      </c>
      <c r="N27" s="13">
        <f>=还本付息表!O9</f>
        <v>51.75</v>
      </c>
      <c r="O27" s="11" t="s"/>
      <c r="P27" s="11" t="s"/>
      <c r="Q27" s="11" t="s"/>
      <c r="R27" s="11" t="s"/>
      <c r="S27" s="11" t="s"/>
    </row>
    <row r="28" spans="1:19">
      <c r="A28" s="5" t="s">
        <v>38</v>
      </c>
      <c r="B28" s="12" t="s">
        <v>39</v>
      </c>
      <c r="C28" s="13">
        <f>=还本付息表!E8</f>
        <v>200</v>
      </c>
      <c r="D28" s="13">
        <f>=还本付息表!F8</f>
        <v>500</v>
      </c>
      <c r="E28" s="13">
        <f>=还本付息表!G8</f>
        <v>500</v>
      </c>
      <c r="F28" s="13">
        <f>=还本付息表!H8</f>
        <v>550</v>
      </c>
      <c r="G28" s="13">
        <f>=还本付息表!I8</f>
        <v>550</v>
      </c>
      <c r="H28" s="13">
        <f>=还本付息表!J8</f>
        <v>600</v>
      </c>
      <c r="I28" s="13">
        <f>=还本付息表!K8</f>
        <v>600</v>
      </c>
      <c r="J28" s="13">
        <f>=还本付息表!L8</f>
        <v>650</v>
      </c>
      <c r="K28" s="13">
        <f>=还本付息表!M8</f>
        <v>650</v>
      </c>
      <c r="L28" s="13">
        <f>=还本付息表!N8</f>
        <v>700</v>
      </c>
      <c r="M28" s="13">
        <f>=还本付息表!O8</f>
        <v>700</v>
      </c>
      <c r="N28" s="13">
        <f>=还本付息表!P8</f>
        <v>800</v>
      </c>
      <c r="O28" s="11" t="s"/>
      <c r="P28" s="11" t="s"/>
      <c r="Q28" s="11" t="s"/>
      <c r="R28" s="11" t="s"/>
      <c r="S28" s="11" t="s"/>
    </row>
    <row r="29" spans="1:19">
      <c r="A29" s="5" t="s">
        <v>40</v>
      </c>
      <c r="B29" s="12" t="s">
        <v>41</v>
      </c>
      <c r="C29" s="13" t="s"/>
      <c r="D29" s="13" t="s"/>
      <c r="E29" s="13" t="s"/>
      <c r="F29" s="13" t="s"/>
      <c r="G29" s="13" t="s"/>
      <c r="H29" s="13" t="s"/>
      <c r="I29" s="13" t="s"/>
      <c r="J29" s="13" t="s"/>
      <c r="K29" s="13" t="s"/>
      <c r="L29" s="13" t="s"/>
      <c r="M29" s="13" t="s"/>
      <c r="N29" s="13" t="s"/>
      <c r="O29" s="11" t="s"/>
      <c r="P29" s="11" t="s"/>
      <c r="Q29" s="11" t="s"/>
      <c r="R29" s="11" t="s"/>
      <c r="S29" s="11" t="s"/>
    </row>
    <row r="30" spans="1:19">
      <c r="A30" s="5" t="s">
        <v>42</v>
      </c>
      <c r="B30" s="12" t="s">
        <v>21</v>
      </c>
      <c r="C30" s="13" t="s"/>
      <c r="D30" s="13" t="s"/>
      <c r="E30" s="13" t="s"/>
      <c r="F30" s="13" t="s"/>
      <c r="G30" s="13" t="s"/>
      <c r="H30" s="13" t="s"/>
      <c r="I30" s="13" t="s"/>
      <c r="J30" s="13" t="s"/>
      <c r="K30" s="13" t="s"/>
      <c r="L30" s="13" t="s"/>
      <c r="M30" s="13" t="s"/>
      <c r="N30" s="13" t="s"/>
      <c r="O30" s="11" t="s"/>
      <c r="P30" s="11" t="s"/>
      <c r="Q30" s="11" t="s"/>
      <c r="R30" s="11" t="s"/>
      <c r="S30" s="11" t="s"/>
    </row>
    <row r="31" spans="1:19">
      <c r="A31" s="5" t="s">
        <v>43</v>
      </c>
      <c r="B31" s="12" t="s">
        <v>44</v>
      </c>
      <c r="C31" s="13">
        <f>=C21+C14+C4</f>
        <v>4809.75981823539</v>
      </c>
      <c r="D31" s="13">
        <f>=D21+D14+D4</f>
        <v>193.587085750785</v>
      </c>
      <c r="E31" s="13">
        <f>=E21+E14+E4</f>
        <v>49.7707156772683</v>
      </c>
      <c r="F31" s="13">
        <f>=F21+F14+F4</f>
        <v>15.4271588634452</v>
      </c>
      <c r="G31" s="13">
        <f>=G21+G14+G4</f>
        <v>34.1813990562777</v>
      </c>
      <c r="H31" s="13">
        <f>=H21+H14+H4</f>
        <v>0.258697642738866</v>
      </c>
      <c r="I31" s="13">
        <f>=I21+I14+I4</f>
        <v>34.9656392195541</v>
      </c>
      <c r="J31" s="13">
        <f>=J21+J14+J4</f>
        <v>3.93872871294229</v>
      </c>
      <c r="K31" s="13">
        <f>=K21+K14+K4</f>
        <v>23.7595508483566</v>
      </c>
      <c r="L31" s="13">
        <f>=L21+L14+L4</f>
        <v>-5.57191030477043</v>
      </c>
      <c r="M31" s="13">
        <f>=M21+M14+M4</f>
        <v>13.4637043867148</v>
      </c>
      <c r="N31" s="13">
        <f>=N21+N14+N4</f>
        <v>-62.2036208805656</v>
      </c>
      <c r="O31" s="14" t="s"/>
      <c r="P31" s="14" t="s"/>
      <c r="Q31" s="14" t="s"/>
      <c r="R31" s="14" t="s"/>
      <c r="S31" s="14" t="s"/>
    </row>
    <row r="32" spans="1:19">
      <c r="A32" s="5" t="s">
        <v>45</v>
      </c>
      <c r="B32" s="12" t="s">
        <v>46</v>
      </c>
      <c r="C32" s="13">
        <f>=C31</f>
        <v>4809.75981823539</v>
      </c>
      <c r="D32" s="13">
        <f>=D31+C32</f>
        <v>5003.34690398617</v>
      </c>
      <c r="E32" s="13">
        <f>=E31+D32</f>
        <v>5053.11761966344</v>
      </c>
      <c r="F32" s="13">
        <f>=F31+E32</f>
        <v>5068.54477852688</v>
      </c>
      <c r="G32" s="13">
        <f>=G31+F32</f>
        <v>5102.72617758316</v>
      </c>
      <c r="H32" s="13">
        <f>=H31+G32</f>
        <v>5102.9848752259</v>
      </c>
      <c r="I32" s="13">
        <f>=I31+H32</f>
        <v>5137.95051444545</v>
      </c>
      <c r="J32" s="13">
        <f>=J31+I32</f>
        <v>5141.88924315839</v>
      </c>
      <c r="K32" s="13">
        <f>=K31+J32</f>
        <v>5165.64879400675</v>
      </c>
      <c r="L32" s="13">
        <f>=L31+K32</f>
        <v>5160.07688370198</v>
      </c>
      <c r="M32" s="13">
        <f>=M31+L32</f>
        <v>5173.54058808869</v>
      </c>
      <c r="N32" s="13">
        <f>=N31+M32</f>
        <v>5111.33696720813</v>
      </c>
      <c r="O32" s="14" t="s"/>
      <c r="P32" s="14" t="s"/>
      <c r="Q32" s="14" t="s"/>
      <c r="R32" s="14" t="s"/>
      <c r="S32" s="14" t="s"/>
    </row>
  </sheetData>
  <mergeCells count="4">
    <mergeCell ref="A1:M1"/>
    <mergeCell ref="C2:N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2025-06-09T17:32:08Z</dcterms:created>
  <dcterms:modified xsi:type="dcterms:W3CDTF">2025-06-09T17:32:08Z</dcterms:modified>
</cp:coreProperties>
</file>